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Y:\ariel\_testimony and exhibits\exhibits PDFs\"/>
    </mc:Choice>
  </mc:AlternateContent>
  <xr:revisionPtr revIDLastSave="0" documentId="13_ncr:1_{49F8F935-E801-4828-B21D-73FA6C84B24B}" xr6:coauthVersionLast="47" xr6:coauthVersionMax="47" xr10:uidLastSave="{00000000-0000-0000-0000-000000000000}"/>
  <bookViews>
    <workbookView xWindow="-120" yWindow="-120" windowWidth="29040" windowHeight="15990" tabRatio="936" firstSheet="4" activeTab="11" xr2:uid="{00000000-000D-0000-FFFF-FFFF00000000}"/>
  </bookViews>
  <sheets>
    <sheet name="Exh. No AEB-4 Summary" sheetId="1" r:id="rId1"/>
    <sheet name="Exh. No. AEB-5 Proxy Selection" sheetId="2" r:id="rId2"/>
    <sheet name="Exh. No. AEB-6 CGDCF" sheetId="3" r:id="rId3"/>
    <sheet name="Exh. No. AEB-7 CAPM" sheetId="4" r:id="rId4"/>
    <sheet name="Exh. No. AEB-8 LT Beta" sheetId="5" r:id="rId5"/>
    <sheet name="Exh. No. AEB-9 Market Return" sheetId="6" r:id="rId6"/>
    <sheet name="Exh. No. AEB-10 Risk Premium" sheetId="13" r:id="rId7"/>
    <sheet name="Exh. No AEB-11 Expected Earning" sheetId="8" r:id="rId8"/>
    <sheet name="Exh. No AEB-12 CapEx 1" sheetId="9" r:id="rId9"/>
    <sheet name="Exh. No AEB-12 CapEx 2" sheetId="10" r:id="rId10"/>
    <sheet name="Exh. No. AEB-13 Reg Risk" sheetId="15" r:id="rId11"/>
    <sheet name="Exh. No. AEB-14 CapStruct" sheetId="16" r:id="rId12"/>
  </sheets>
  <definedNames>
    <definedName name="_xlnm._FilterDatabase" localSheetId="10" hidden="1">'Exh. No. AEB-13 Reg Risk'!$A$6:$D$92</definedName>
    <definedName name="CIQWBGuid" localSheetId="10" hidden="1">"4a843912-7ccd-404d-8ae8-78e7fc821032"</definedName>
    <definedName name="CIQWBGuid" localSheetId="11" hidden="1">"6df3e850-8dab-470e-b8f1-07d8a1fa8102"</definedName>
    <definedName name="CIQWBGuid" hidden="1">"000b5138-c688-4ce3-ab4a-abf3091f2d49"</definedName>
    <definedName name="CIQWBInfo" localSheetId="10" hidden="1">"{ ""CIQVersion"":""9.49.2423.4439"" }"</definedName>
    <definedName name="CIQWBInfo" hidden="1">"{ ""CIQVersion"":""9.47.1108.4092"" }"</definedName>
    <definedName name="IQ_CH">110000</definedName>
    <definedName name="IQ_CQ">5000</definedName>
    <definedName name="IQ_CY">10000</definedName>
    <definedName name="IQ_DAILY">500000</definedName>
    <definedName name="IQ_DNTM" hidden="1">700000</definedName>
    <definedName name="IQ_EXPENSE_CODE_" localSheetId="10" hidden="1">8229</definedName>
    <definedName name="IQ_EXPENSE_CODE_" hidden="1">"0"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6" hidden="1">44848.0750810184</definedName>
    <definedName name="IQ_NAMES_REVISION_DATE_" localSheetId="10" hidden="1">44848.0750810184</definedName>
    <definedName name="IQ_NAMES_REVISION_DATE_" localSheetId="11" hidden="1">44626.8089467593</definedName>
    <definedName name="IQ_NAMES_REVISION_DATE_" hidden="1">44775.8369791667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7">'Exh. No AEB-11 Expected Earning'!$A$1:$M$38</definedName>
    <definedName name="_xlnm.Print_Area" localSheetId="8">'Exh. No AEB-12 CapEx 1'!$A$1:$J$113</definedName>
    <definedName name="_xlnm.Print_Area" localSheetId="9">'Exh. No AEB-12 CapEx 2'!$A$1:$F$59</definedName>
    <definedName name="_xlnm.Print_Area" localSheetId="0">'Exh. No AEB-4 Summary'!$A$2:$E$30</definedName>
    <definedName name="_xlnm.Print_Area" localSheetId="6">'Exh. No. AEB-10 Risk Premium'!$B$2:$E$132,'Exh. No. AEB-10 Risk Premium'!$G$2:$O$61</definedName>
    <definedName name="_xlnm.Print_Area" localSheetId="10">'Exh. No. AEB-13 Reg Risk'!$A$2:$AA$118</definedName>
    <definedName name="_xlnm.Print_Area" localSheetId="1">'Exh. No. AEB-5 Proxy Selection'!$B$1:$L$37</definedName>
    <definedName name="_xlnm.Print_Area" localSheetId="2">'Exh. No. AEB-6 CGDCF'!$A$1:$M$119</definedName>
    <definedName name="_xlnm.Print_Area" localSheetId="3">'Exh. No. AEB-7 CAPM'!$B$1:$I$323</definedName>
    <definedName name="_xlnm.Print_Area" localSheetId="5">'Exh. No. AEB-9 Market Return'!$A$1:$J$536</definedName>
    <definedName name="_xlnm.Print_Titles" localSheetId="8">'Exh. No AEB-12 CapEx 1'!$2:$10</definedName>
    <definedName name="_xlnm.Print_Titles" localSheetId="10">'Exh. No. AEB-13 Reg Risk'!$A:$D,'Exh. No. AEB-13 Reg Risk'!$4:$7</definedName>
    <definedName name="_xlnm.Print_Titles" localSheetId="5">'Exh. No. AEB-9 Market Return'!$12:$18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3" i="15" l="1"/>
  <c r="AA34" i="15"/>
  <c r="AA35" i="15"/>
  <c r="AA32" i="15"/>
  <c r="AA31" i="15"/>
  <c r="AA30" i="15"/>
  <c r="AA29" i="15"/>
  <c r="P34" i="15"/>
  <c r="P33" i="15"/>
  <c r="P32" i="15"/>
  <c r="P31" i="15"/>
  <c r="P30" i="15"/>
  <c r="P29" i="15"/>
  <c r="D10" i="4" l="1"/>
  <c r="D11" i="4" s="1"/>
  <c r="D12" i="4" s="1"/>
  <c r="D13" i="4" s="1"/>
  <c r="D14" i="4" s="1"/>
  <c r="D15" i="4" s="1"/>
  <c r="D16" i="4" s="1"/>
  <c r="D17" i="4" s="1"/>
  <c r="D18" i="4" s="1"/>
  <c r="D19" i="4" s="1"/>
  <c r="D20" i="4" s="1"/>
  <c r="D21" i="4" s="1"/>
  <c r="D22" i="4" s="1"/>
  <c r="D23" i="4" s="1"/>
  <c r="D24" i="4" s="1"/>
  <c r="D25" i="4" s="1"/>
  <c r="J21" i="1" l="1"/>
  <c r="L20" i="1"/>
  <c r="I20" i="1"/>
  <c r="G15" i="16" l="1"/>
  <c r="G25" i="16" l="1"/>
  <c r="G14" i="16" l="1"/>
  <c r="G18" i="16" l="1"/>
  <c r="G16" i="16"/>
  <c r="G10" i="16"/>
  <c r="G19" i="16"/>
  <c r="G22" i="16"/>
  <c r="G24" i="16"/>
  <c r="G20" i="16"/>
  <c r="F31" i="16"/>
  <c r="F28" i="16"/>
  <c r="F30" i="16"/>
  <c r="F29" i="16"/>
  <c r="G21" i="16"/>
  <c r="G13" i="16" l="1"/>
  <c r="G17" i="16"/>
  <c r="G12" i="16"/>
  <c r="G26" i="16"/>
  <c r="D28" i="16"/>
  <c r="D30" i="16"/>
  <c r="D31" i="16"/>
  <c r="G23" i="16"/>
  <c r="D29" i="16"/>
  <c r="G11" i="16"/>
  <c r="E31" i="16"/>
  <c r="E28" i="16"/>
  <c r="E30" i="16"/>
  <c r="E29" i="16"/>
  <c r="AA36" i="15" l="1"/>
  <c r="P35" i="15"/>
  <c r="P36" i="15"/>
  <c r="AA103" i="15"/>
  <c r="P103" i="15"/>
  <c r="F99" i="15"/>
  <c r="H98" i="15"/>
  <c r="F98" i="15"/>
  <c r="H97" i="15"/>
  <c r="F97" i="15"/>
  <c r="H96" i="15"/>
  <c r="F96" i="15"/>
  <c r="AA92" i="15"/>
  <c r="P92" i="15"/>
  <c r="AA91" i="15"/>
  <c r="P91" i="15"/>
  <c r="AA90" i="15"/>
  <c r="P90" i="15"/>
  <c r="AA89" i="15"/>
  <c r="P89" i="15"/>
  <c r="AA88" i="15"/>
  <c r="P88" i="15"/>
  <c r="AA87" i="15"/>
  <c r="P87" i="15"/>
  <c r="AA86" i="15"/>
  <c r="P86" i="15"/>
  <c r="AA85" i="15"/>
  <c r="P85" i="15"/>
  <c r="AA84" i="15"/>
  <c r="P84" i="15"/>
  <c r="AA83" i="15"/>
  <c r="P83" i="15"/>
  <c r="AA82" i="15"/>
  <c r="P82" i="15"/>
  <c r="AA81" i="15"/>
  <c r="P81" i="15"/>
  <c r="AA80" i="15"/>
  <c r="P80" i="15"/>
  <c r="AA79" i="15"/>
  <c r="P79" i="15"/>
  <c r="AA78" i="15"/>
  <c r="P78" i="15"/>
  <c r="AA77" i="15"/>
  <c r="P77" i="15"/>
  <c r="AA76" i="15"/>
  <c r="P76" i="15"/>
  <c r="AA75" i="15"/>
  <c r="P75" i="15"/>
  <c r="AA74" i="15"/>
  <c r="P74" i="15"/>
  <c r="AA73" i="15"/>
  <c r="P73" i="15"/>
  <c r="AA72" i="15"/>
  <c r="P72" i="15"/>
  <c r="AA71" i="15"/>
  <c r="P71" i="15"/>
  <c r="AA70" i="15"/>
  <c r="P70" i="15"/>
  <c r="AA69" i="15"/>
  <c r="P69" i="15"/>
  <c r="AA68" i="15"/>
  <c r="P68" i="15"/>
  <c r="AA67" i="15"/>
  <c r="P67" i="15"/>
  <c r="AA66" i="15"/>
  <c r="P66" i="15"/>
  <c r="AA65" i="15"/>
  <c r="P65" i="15"/>
  <c r="AA64" i="15"/>
  <c r="P64" i="15"/>
  <c r="AA63" i="15"/>
  <c r="P63" i="15"/>
  <c r="AA62" i="15"/>
  <c r="P62" i="15"/>
  <c r="AA61" i="15"/>
  <c r="P61" i="15"/>
  <c r="AA60" i="15"/>
  <c r="P60" i="15"/>
  <c r="AA59" i="15"/>
  <c r="P59" i="15"/>
  <c r="AA58" i="15"/>
  <c r="P58" i="15"/>
  <c r="AA57" i="15"/>
  <c r="P57" i="15"/>
  <c r="AA56" i="15"/>
  <c r="P56" i="15"/>
  <c r="AA55" i="15"/>
  <c r="P55" i="15"/>
  <c r="AA54" i="15"/>
  <c r="P54" i="15"/>
  <c r="AA53" i="15"/>
  <c r="P53" i="15"/>
  <c r="AA52" i="15"/>
  <c r="P52" i="15"/>
  <c r="AA51" i="15"/>
  <c r="P51" i="15"/>
  <c r="AA50" i="15"/>
  <c r="P50" i="15"/>
  <c r="AA49" i="15"/>
  <c r="P49" i="15"/>
  <c r="AA48" i="15"/>
  <c r="P48" i="15"/>
  <c r="AA47" i="15"/>
  <c r="P47" i="15"/>
  <c r="AA46" i="15"/>
  <c r="P46" i="15"/>
  <c r="AA45" i="15"/>
  <c r="P45" i="15"/>
  <c r="AA44" i="15"/>
  <c r="P44" i="15"/>
  <c r="AA43" i="15"/>
  <c r="P43" i="15"/>
  <c r="AA42" i="15"/>
  <c r="P42" i="15"/>
  <c r="AA41" i="15"/>
  <c r="P41" i="15"/>
  <c r="AA40" i="15"/>
  <c r="P40" i="15"/>
  <c r="AA39" i="15"/>
  <c r="P39" i="15"/>
  <c r="AA38" i="15"/>
  <c r="P38" i="15"/>
  <c r="AA37" i="15"/>
  <c r="P37" i="15"/>
  <c r="AA28" i="15"/>
  <c r="P28" i="15"/>
  <c r="AA27" i="15"/>
  <c r="P27" i="15"/>
  <c r="AA26" i="15"/>
  <c r="P26" i="15"/>
  <c r="AA25" i="15"/>
  <c r="P25" i="15"/>
  <c r="AA24" i="15"/>
  <c r="P24" i="15"/>
  <c r="AA23" i="15"/>
  <c r="P23" i="15"/>
  <c r="AA22" i="15"/>
  <c r="P22" i="15"/>
  <c r="AA21" i="15"/>
  <c r="P21" i="15"/>
  <c r="AA20" i="15"/>
  <c r="P20" i="15"/>
  <c r="AA19" i="15"/>
  <c r="P19" i="15"/>
  <c r="AA18" i="15"/>
  <c r="P18" i="15"/>
  <c r="AA17" i="15"/>
  <c r="P17" i="15"/>
  <c r="AA16" i="15"/>
  <c r="P16" i="15"/>
  <c r="AA15" i="15"/>
  <c r="P15" i="15"/>
  <c r="AA14" i="15"/>
  <c r="P14" i="15"/>
  <c r="AA13" i="15"/>
  <c r="P13" i="15"/>
  <c r="AA12" i="15"/>
  <c r="P12" i="15"/>
  <c r="AA11" i="15"/>
  <c r="P11" i="15"/>
  <c r="AA10" i="15"/>
  <c r="P10" i="15"/>
  <c r="AA9" i="15"/>
  <c r="P9" i="15"/>
  <c r="AA8" i="15"/>
  <c r="AA97" i="15" s="1"/>
  <c r="P8" i="15"/>
  <c r="P96" i="15" l="1"/>
  <c r="H101" i="15"/>
  <c r="F101" i="15"/>
  <c r="P97" i="15"/>
  <c r="P101" i="15" s="1"/>
  <c r="AA96" i="15"/>
  <c r="AA101" i="15" s="1"/>
  <c r="F78" i="9" l="1"/>
  <c r="H93" i="9"/>
  <c r="I93" i="9" s="1"/>
  <c r="F93" i="9"/>
  <c r="H92" i="9"/>
  <c r="I92" i="9" s="1"/>
  <c r="F92" i="9"/>
  <c r="G79" i="9"/>
  <c r="E79" i="9"/>
  <c r="H78" i="9"/>
  <c r="I78" i="9" s="1"/>
  <c r="H77" i="9"/>
  <c r="F77" i="9"/>
  <c r="B13" i="8"/>
  <c r="C13" i="8"/>
  <c r="B14" i="8"/>
  <c r="C14" i="8"/>
  <c r="B15" i="8"/>
  <c r="C15" i="8"/>
  <c r="B16" i="8"/>
  <c r="C16" i="8"/>
  <c r="B17" i="8"/>
  <c r="C17" i="8"/>
  <c r="B18" i="8"/>
  <c r="C18" i="8"/>
  <c r="B19" i="8"/>
  <c r="C19" i="8"/>
  <c r="B20" i="8"/>
  <c r="C20" i="8"/>
  <c r="B21" i="8"/>
  <c r="C21" i="8"/>
  <c r="B22" i="8"/>
  <c r="C22" i="8"/>
  <c r="B23" i="8"/>
  <c r="C23" i="8"/>
  <c r="M6" i="5"/>
  <c r="M15" i="5"/>
  <c r="A7" i="5"/>
  <c r="B7" i="5"/>
  <c r="A8" i="5"/>
  <c r="B8" i="5"/>
  <c r="A9" i="5"/>
  <c r="B9" i="5"/>
  <c r="A10" i="5"/>
  <c r="B10" i="5"/>
  <c r="A11" i="5"/>
  <c r="B11" i="5"/>
  <c r="A12" i="5"/>
  <c r="B12" i="5"/>
  <c r="A13" i="5"/>
  <c r="B13" i="5"/>
  <c r="A14" i="5"/>
  <c r="B14" i="5"/>
  <c r="A15" i="5"/>
  <c r="B15" i="5"/>
  <c r="A16" i="5"/>
  <c r="B16" i="5"/>
  <c r="A17" i="5"/>
  <c r="B17" i="5"/>
  <c r="A18" i="5"/>
  <c r="B18" i="5"/>
  <c r="A19" i="5"/>
  <c r="B19" i="5"/>
  <c r="A20" i="5"/>
  <c r="B20" i="5"/>
  <c r="A21" i="5"/>
  <c r="B21" i="5"/>
  <c r="A22" i="5"/>
  <c r="B22" i="5"/>
  <c r="B6" i="5"/>
  <c r="A6" i="5"/>
  <c r="E197" i="4"/>
  <c r="E161" i="4"/>
  <c r="D125" i="4"/>
  <c r="D233" i="4" s="1"/>
  <c r="E89" i="4"/>
  <c r="E53" i="4"/>
  <c r="C90" i="4"/>
  <c r="C126" i="4" s="1"/>
  <c r="C162" i="4" s="1"/>
  <c r="C198" i="4" s="1"/>
  <c r="C234" i="4" s="1"/>
  <c r="C270" i="4" s="1"/>
  <c r="C306" i="4" s="1"/>
  <c r="C94" i="4"/>
  <c r="C130" i="4" s="1"/>
  <c r="C166" i="4" s="1"/>
  <c r="C202" i="4" s="1"/>
  <c r="C238" i="4" s="1"/>
  <c r="C274" i="4" s="1"/>
  <c r="C310" i="4" s="1"/>
  <c r="B10" i="4"/>
  <c r="C10" i="4"/>
  <c r="B11" i="4"/>
  <c r="C11" i="4"/>
  <c r="B12" i="4"/>
  <c r="C12" i="4"/>
  <c r="B13" i="4"/>
  <c r="C13" i="4"/>
  <c r="B14" i="4"/>
  <c r="C14" i="4"/>
  <c r="B15" i="4"/>
  <c r="C15" i="4"/>
  <c r="B16" i="4"/>
  <c r="C16" i="4"/>
  <c r="B17" i="4"/>
  <c r="B89" i="4" s="1"/>
  <c r="B125" i="4" s="1"/>
  <c r="B161" i="4" s="1"/>
  <c r="B197" i="4" s="1"/>
  <c r="B233" i="4" s="1"/>
  <c r="B269" i="4" s="1"/>
  <c r="B305" i="4" s="1"/>
  <c r="C17" i="4"/>
  <c r="C53" i="4" s="1"/>
  <c r="B18" i="4"/>
  <c r="B90" i="4" s="1"/>
  <c r="B126" i="4" s="1"/>
  <c r="B162" i="4" s="1"/>
  <c r="B198" i="4" s="1"/>
  <c r="B234" i="4" s="1"/>
  <c r="B270" i="4" s="1"/>
  <c r="B306" i="4" s="1"/>
  <c r="C18" i="4"/>
  <c r="B19" i="4"/>
  <c r="B91" i="4" s="1"/>
  <c r="B127" i="4" s="1"/>
  <c r="B163" i="4" s="1"/>
  <c r="B199" i="4" s="1"/>
  <c r="B235" i="4" s="1"/>
  <c r="B271" i="4" s="1"/>
  <c r="B307" i="4" s="1"/>
  <c r="C19" i="4"/>
  <c r="C91" i="4" s="1"/>
  <c r="C127" i="4" s="1"/>
  <c r="C163" i="4" s="1"/>
  <c r="C199" i="4" s="1"/>
  <c r="C235" i="4" s="1"/>
  <c r="C271" i="4" s="1"/>
  <c r="C307" i="4" s="1"/>
  <c r="B20" i="4"/>
  <c r="B92" i="4" s="1"/>
  <c r="B128" i="4" s="1"/>
  <c r="B164" i="4" s="1"/>
  <c r="B200" i="4" s="1"/>
  <c r="B236" i="4" s="1"/>
  <c r="B272" i="4" s="1"/>
  <c r="B308" i="4" s="1"/>
  <c r="C20" i="4"/>
  <c r="C92" i="4" s="1"/>
  <c r="C128" i="4" s="1"/>
  <c r="C164" i="4" s="1"/>
  <c r="C200" i="4" s="1"/>
  <c r="C236" i="4" s="1"/>
  <c r="C272" i="4" s="1"/>
  <c r="C308" i="4" s="1"/>
  <c r="B21" i="4"/>
  <c r="B93" i="4" s="1"/>
  <c r="B129" i="4" s="1"/>
  <c r="B165" i="4" s="1"/>
  <c r="B201" i="4" s="1"/>
  <c r="B237" i="4" s="1"/>
  <c r="B273" i="4" s="1"/>
  <c r="B309" i="4" s="1"/>
  <c r="C21" i="4"/>
  <c r="C93" i="4" s="1"/>
  <c r="C129" i="4" s="1"/>
  <c r="C165" i="4" s="1"/>
  <c r="C201" i="4" s="1"/>
  <c r="C237" i="4" s="1"/>
  <c r="C273" i="4" s="1"/>
  <c r="C309" i="4" s="1"/>
  <c r="B22" i="4"/>
  <c r="B94" i="4" s="1"/>
  <c r="B130" i="4" s="1"/>
  <c r="B166" i="4" s="1"/>
  <c r="B202" i="4" s="1"/>
  <c r="B238" i="4" s="1"/>
  <c r="B274" i="4" s="1"/>
  <c r="B310" i="4" s="1"/>
  <c r="C22" i="4"/>
  <c r="B23" i="4"/>
  <c r="B95" i="4" s="1"/>
  <c r="B131" i="4" s="1"/>
  <c r="B167" i="4" s="1"/>
  <c r="B203" i="4" s="1"/>
  <c r="B239" i="4" s="1"/>
  <c r="B275" i="4" s="1"/>
  <c r="B311" i="4" s="1"/>
  <c r="C23" i="4"/>
  <c r="C95" i="4" s="1"/>
  <c r="C131" i="4" s="1"/>
  <c r="C167" i="4" s="1"/>
  <c r="C203" i="4" s="1"/>
  <c r="C239" i="4" s="1"/>
  <c r="C275" i="4" s="1"/>
  <c r="C311" i="4" s="1"/>
  <c r="B24" i="4"/>
  <c r="B96" i="4" s="1"/>
  <c r="B132" i="4" s="1"/>
  <c r="B168" i="4" s="1"/>
  <c r="B204" i="4" s="1"/>
  <c r="B240" i="4" s="1"/>
  <c r="B276" i="4" s="1"/>
  <c r="B312" i="4" s="1"/>
  <c r="C24" i="4"/>
  <c r="C96" i="4" s="1"/>
  <c r="C132" i="4" s="1"/>
  <c r="C168" i="4" s="1"/>
  <c r="C204" i="4" s="1"/>
  <c r="C240" i="4" s="1"/>
  <c r="C276" i="4" s="1"/>
  <c r="C312" i="4" s="1"/>
  <c r="B25" i="4"/>
  <c r="B97" i="4" s="1"/>
  <c r="B133" i="4" s="1"/>
  <c r="B169" i="4" s="1"/>
  <c r="B205" i="4" s="1"/>
  <c r="B241" i="4" s="1"/>
  <c r="B277" i="4" s="1"/>
  <c r="B313" i="4" s="1"/>
  <c r="C25" i="4"/>
  <c r="C97" i="4" s="1"/>
  <c r="C133" i="4" s="1"/>
  <c r="C169" i="4" s="1"/>
  <c r="C205" i="4" s="1"/>
  <c r="C241" i="4" s="1"/>
  <c r="C277" i="4" s="1"/>
  <c r="C313" i="4" s="1"/>
  <c r="C9" i="4"/>
  <c r="B9" i="4"/>
  <c r="A55" i="3"/>
  <c r="A95" i="3" s="1"/>
  <c r="B55" i="3"/>
  <c r="B95" i="3" s="1"/>
  <c r="I55" i="3"/>
  <c r="I95" i="3" s="1"/>
  <c r="H55" i="3"/>
  <c r="J15" i="3"/>
  <c r="C55" i="3"/>
  <c r="B53" i="4" l="1"/>
  <c r="C89" i="4"/>
  <c r="C125" i="4" s="1"/>
  <c r="C161" i="4" s="1"/>
  <c r="C197" i="4" s="1"/>
  <c r="C233" i="4" s="1"/>
  <c r="C269" i="4" s="1"/>
  <c r="C305" i="4" s="1"/>
  <c r="C95" i="3"/>
  <c r="E55" i="3"/>
  <c r="H95" i="3"/>
  <c r="G55" i="3"/>
  <c r="G95" i="3" s="1"/>
  <c r="J95" i="3" s="1"/>
  <c r="F79" i="9"/>
  <c r="H79" i="9"/>
  <c r="I77" i="9"/>
  <c r="I79" i="9" s="1"/>
  <c r="M55" i="3" l="1"/>
  <c r="K55" i="3"/>
  <c r="J55" i="3"/>
  <c r="F55" i="3" s="1"/>
  <c r="L55" i="3" s="1"/>
  <c r="J79" i="9"/>
  <c r="B8" i="8" l="1"/>
  <c r="C8" i="8"/>
  <c r="B9" i="8"/>
  <c r="C9" i="8"/>
  <c r="B10" i="8"/>
  <c r="C10" i="8"/>
  <c r="B11" i="8"/>
  <c r="C11" i="8"/>
  <c r="B12" i="8"/>
  <c r="C12" i="8"/>
  <c r="C7" i="8"/>
  <c r="B7" i="8"/>
  <c r="J49" i="13"/>
  <c r="K49" i="13" s="1"/>
  <c r="L49" i="13" s="1"/>
  <c r="E26" i="1" s="1"/>
  <c r="I16" i="1" s="1"/>
  <c r="J47" i="13"/>
  <c r="K47" i="13" s="1"/>
  <c r="L47" i="13" s="1"/>
  <c r="C26" i="1" s="1"/>
  <c r="I15" i="1" s="1"/>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G60" i="13"/>
  <c r="E60" i="13"/>
  <c r="E59" i="13"/>
  <c r="E58" i="13"/>
  <c r="E57" i="13"/>
  <c r="E56" i="13"/>
  <c r="E55" i="13"/>
  <c r="E54" i="13"/>
  <c r="E53" i="13"/>
  <c r="E52" i="13"/>
  <c r="E51" i="13"/>
  <c r="E50" i="13"/>
  <c r="E49" i="13"/>
  <c r="K48" i="13"/>
  <c r="L48" i="13" s="1"/>
  <c r="D26" i="1" s="1"/>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D132" i="13"/>
  <c r="C132" i="13"/>
  <c r="L50" i="13" l="1"/>
  <c r="E132" i="13"/>
  <c r="C131" i="13"/>
  <c r="D131" i="13"/>
  <c r="E131" i="13"/>
  <c r="E15" i="3" l="1"/>
  <c r="E95" i="3"/>
  <c r="F95" i="3" l="1"/>
  <c r="L95" i="3" s="1"/>
  <c r="K95" i="3"/>
  <c r="M95" i="3"/>
  <c r="F15" i="3"/>
  <c r="L15" i="3" s="1"/>
  <c r="K15" i="3"/>
  <c r="M15" i="3"/>
  <c r="F9" i="9" l="1"/>
  <c r="G9" i="9" s="1"/>
  <c r="F12" i="9"/>
  <c r="H12" i="9"/>
  <c r="I12" i="9" s="1"/>
  <c r="F13" i="9"/>
  <c r="H13" i="9"/>
  <c r="E14" i="9"/>
  <c r="G14" i="9"/>
  <c r="F17" i="9"/>
  <c r="H17" i="9"/>
  <c r="I17" i="9" s="1"/>
  <c r="F18" i="9"/>
  <c r="H18" i="9"/>
  <c r="E19" i="9"/>
  <c r="G19" i="9"/>
  <c r="F22" i="9"/>
  <c r="H22" i="9"/>
  <c r="I22" i="9" s="1"/>
  <c r="F23" i="9"/>
  <c r="H23" i="9"/>
  <c r="E24" i="9"/>
  <c r="G24" i="9"/>
  <c r="F27" i="9"/>
  <c r="H27" i="9"/>
  <c r="F28" i="9"/>
  <c r="H28" i="9"/>
  <c r="I28" i="9" s="1"/>
  <c r="E29" i="9"/>
  <c r="G29" i="9"/>
  <c r="F32" i="9"/>
  <c r="H32" i="9"/>
  <c r="I32" i="9" s="1"/>
  <c r="F33" i="9"/>
  <c r="H33" i="9"/>
  <c r="I33" i="9" s="1"/>
  <c r="E34" i="9"/>
  <c r="G34" i="9"/>
  <c r="F37" i="9"/>
  <c r="H37" i="9"/>
  <c r="I37" i="9" s="1"/>
  <c r="F38" i="9"/>
  <c r="H38" i="9"/>
  <c r="E39" i="9"/>
  <c r="G39" i="9"/>
  <c r="F42" i="9"/>
  <c r="H42" i="9"/>
  <c r="I42" i="9" s="1"/>
  <c r="F43" i="9"/>
  <c r="H43" i="9"/>
  <c r="I43" i="9" s="1"/>
  <c r="E44" i="9"/>
  <c r="G44" i="9"/>
  <c r="F47" i="9"/>
  <c r="H47" i="9"/>
  <c r="I47" i="9" s="1"/>
  <c r="F48" i="9"/>
  <c r="H48" i="9"/>
  <c r="I48" i="9" s="1"/>
  <c r="E49" i="9"/>
  <c r="G49" i="9"/>
  <c r="F52" i="9"/>
  <c r="H52" i="9"/>
  <c r="I52" i="9" s="1"/>
  <c r="F53" i="9"/>
  <c r="H53" i="9"/>
  <c r="E54" i="9"/>
  <c r="G54" i="9"/>
  <c r="F57" i="9"/>
  <c r="H57" i="9"/>
  <c r="I57" i="9" s="1"/>
  <c r="F58" i="9"/>
  <c r="H58" i="9"/>
  <c r="I58" i="9" s="1"/>
  <c r="E59" i="9"/>
  <c r="G59" i="9"/>
  <c r="F62" i="9"/>
  <c r="H62" i="9"/>
  <c r="I62" i="9" s="1"/>
  <c r="F63" i="9"/>
  <c r="H63" i="9"/>
  <c r="E64" i="9"/>
  <c r="G64" i="9"/>
  <c r="F67" i="9"/>
  <c r="H67" i="9"/>
  <c r="I67" i="9" s="1"/>
  <c r="F68" i="9"/>
  <c r="H68" i="9"/>
  <c r="I68" i="9" s="1"/>
  <c r="E69" i="9"/>
  <c r="G69" i="9"/>
  <c r="F72" i="9"/>
  <c r="H72" i="9"/>
  <c r="F73" i="9"/>
  <c r="H73" i="9"/>
  <c r="I73" i="9" s="1"/>
  <c r="E74" i="9"/>
  <c r="G74" i="9"/>
  <c r="F82" i="9"/>
  <c r="H82" i="9"/>
  <c r="I82" i="9" s="1"/>
  <c r="F83" i="9"/>
  <c r="H83" i="9"/>
  <c r="I83" i="9" s="1"/>
  <c r="E84" i="9"/>
  <c r="G84" i="9"/>
  <c r="F87" i="9"/>
  <c r="H87" i="9"/>
  <c r="I87" i="9" s="1"/>
  <c r="F88" i="9"/>
  <c r="H88" i="9"/>
  <c r="I88" i="9" s="1"/>
  <c r="E89" i="9"/>
  <c r="G89" i="9"/>
  <c r="E94" i="9"/>
  <c r="G94" i="9"/>
  <c r="A97" i="9"/>
  <c r="C97" i="9"/>
  <c r="J100" i="9"/>
  <c r="J103" i="9"/>
  <c r="J104" i="9"/>
  <c r="G7" i="8"/>
  <c r="J7" i="8"/>
  <c r="G8" i="8"/>
  <c r="J8" i="8"/>
  <c r="G9" i="8"/>
  <c r="J9" i="8"/>
  <c r="G10" i="8"/>
  <c r="J10" i="8"/>
  <c r="G11" i="8"/>
  <c r="J11" i="8"/>
  <c r="G12" i="8"/>
  <c r="J12" i="8"/>
  <c r="G13" i="8"/>
  <c r="J13" i="8"/>
  <c r="G14" i="8"/>
  <c r="J14" i="8"/>
  <c r="G15" i="8"/>
  <c r="J15" i="8"/>
  <c r="G16" i="8"/>
  <c r="J16" i="8"/>
  <c r="G17" i="8"/>
  <c r="J17" i="8"/>
  <c r="G18" i="8"/>
  <c r="J18" i="8"/>
  <c r="G19" i="8"/>
  <c r="J19" i="8"/>
  <c r="G20" i="8"/>
  <c r="J20" i="8"/>
  <c r="K20" i="8" s="1"/>
  <c r="L20" i="8" s="1"/>
  <c r="M20" i="8" s="1"/>
  <c r="G21" i="8"/>
  <c r="J21" i="8"/>
  <c r="G22" i="8"/>
  <c r="J22" i="8"/>
  <c r="G23" i="8"/>
  <c r="J23" i="8"/>
  <c r="E19" i="6"/>
  <c r="E20" i="6"/>
  <c r="E21" i="6"/>
  <c r="E22" i="6"/>
  <c r="E23" i="6"/>
  <c r="F23" i="6"/>
  <c r="J23" i="6" s="1"/>
  <c r="E24" i="6"/>
  <c r="F24" i="6"/>
  <c r="H24" i="6" s="1"/>
  <c r="E25" i="6"/>
  <c r="E26" i="6"/>
  <c r="E27" i="6"/>
  <c r="F27" i="6"/>
  <c r="J27" i="6" s="1"/>
  <c r="E28" i="6"/>
  <c r="E29" i="6"/>
  <c r="E30" i="6"/>
  <c r="F30" i="6"/>
  <c r="H30" i="6" s="1"/>
  <c r="E31" i="6"/>
  <c r="E32" i="6"/>
  <c r="E33" i="6"/>
  <c r="F33" i="6"/>
  <c r="J33" i="6" s="1"/>
  <c r="E34" i="6"/>
  <c r="F34" i="6"/>
  <c r="J34" i="6" s="1"/>
  <c r="E35" i="6"/>
  <c r="F35" i="6"/>
  <c r="E36" i="6"/>
  <c r="E37" i="6"/>
  <c r="E38" i="6"/>
  <c r="F38" i="6"/>
  <c r="H38" i="6" s="1"/>
  <c r="E39" i="6"/>
  <c r="E40" i="6"/>
  <c r="E41" i="6"/>
  <c r="E42" i="6"/>
  <c r="E43" i="6"/>
  <c r="E44" i="6"/>
  <c r="E45" i="6"/>
  <c r="E46" i="6"/>
  <c r="E47" i="6"/>
  <c r="E48" i="6"/>
  <c r="E49" i="6"/>
  <c r="E50" i="6"/>
  <c r="E51" i="6"/>
  <c r="E52" i="6"/>
  <c r="E53" i="6"/>
  <c r="E54" i="6"/>
  <c r="F54" i="6"/>
  <c r="H54" i="6" s="1"/>
  <c r="E55" i="6"/>
  <c r="E56" i="6"/>
  <c r="E57" i="6"/>
  <c r="E58" i="6"/>
  <c r="E59" i="6"/>
  <c r="E60" i="6"/>
  <c r="E61" i="6"/>
  <c r="E62" i="6"/>
  <c r="E63" i="6"/>
  <c r="E64" i="6"/>
  <c r="E65" i="6"/>
  <c r="E66" i="6"/>
  <c r="E67" i="6"/>
  <c r="E68" i="6"/>
  <c r="E69" i="6"/>
  <c r="F69" i="6"/>
  <c r="H69" i="6" s="1"/>
  <c r="E70" i="6"/>
  <c r="F70" i="6"/>
  <c r="J70" i="6" s="1"/>
  <c r="E71" i="6"/>
  <c r="E72" i="6"/>
  <c r="E73" i="6"/>
  <c r="E74" i="6"/>
  <c r="E75" i="6"/>
  <c r="E76" i="6"/>
  <c r="F76" i="6"/>
  <c r="J76" i="6" s="1"/>
  <c r="E77" i="6"/>
  <c r="F477" i="6" s="1"/>
  <c r="J477" i="6" s="1"/>
  <c r="E78" i="6"/>
  <c r="F78" i="6"/>
  <c r="H78" i="6" s="1"/>
  <c r="E79" i="6"/>
  <c r="F79" i="6"/>
  <c r="H79" i="6" s="1"/>
  <c r="E80" i="6"/>
  <c r="F80" i="6"/>
  <c r="H80" i="6" s="1"/>
  <c r="E81" i="6"/>
  <c r="E82" i="6"/>
  <c r="F82" i="6"/>
  <c r="J82" i="6" s="1"/>
  <c r="E83" i="6"/>
  <c r="E84" i="6"/>
  <c r="E85" i="6"/>
  <c r="E86" i="6"/>
  <c r="E87" i="6"/>
  <c r="E88" i="6"/>
  <c r="F88" i="6"/>
  <c r="J88" i="6" s="1"/>
  <c r="E89" i="6"/>
  <c r="E90" i="6"/>
  <c r="F90" i="6"/>
  <c r="J90" i="6" s="1"/>
  <c r="E91" i="6"/>
  <c r="E92" i="6"/>
  <c r="F92" i="6"/>
  <c r="J92" i="6" s="1"/>
  <c r="E93" i="6"/>
  <c r="F93" i="6"/>
  <c r="J93" i="6" s="1"/>
  <c r="E94" i="6"/>
  <c r="E95" i="6"/>
  <c r="E96" i="6"/>
  <c r="E97" i="6"/>
  <c r="E98" i="6"/>
  <c r="F98" i="6"/>
  <c r="J98" i="6" s="1"/>
  <c r="E99" i="6"/>
  <c r="E100" i="6"/>
  <c r="F100" i="6"/>
  <c r="J100" i="6" s="1"/>
  <c r="E101" i="6"/>
  <c r="E102" i="6"/>
  <c r="F102" i="6"/>
  <c r="J102" i="6" s="1"/>
  <c r="E103" i="6"/>
  <c r="E104" i="6"/>
  <c r="E105" i="6"/>
  <c r="E106" i="6"/>
  <c r="E107" i="6"/>
  <c r="E108" i="6"/>
  <c r="F108" i="6"/>
  <c r="H108" i="6" s="1"/>
  <c r="E109" i="6"/>
  <c r="E110" i="6"/>
  <c r="E111" i="6"/>
  <c r="E112" i="6"/>
  <c r="E113" i="6"/>
  <c r="E114" i="6"/>
  <c r="E115" i="6"/>
  <c r="E116" i="6"/>
  <c r="E117" i="6"/>
  <c r="E118" i="6"/>
  <c r="E119" i="6"/>
  <c r="E120" i="6"/>
  <c r="E121" i="6"/>
  <c r="E122" i="6"/>
  <c r="F122" i="6"/>
  <c r="H122" i="6" s="1"/>
  <c r="E123" i="6"/>
  <c r="E124" i="6"/>
  <c r="E125" i="6"/>
  <c r="E126" i="6"/>
  <c r="F126" i="6"/>
  <c r="H126" i="6" s="1"/>
  <c r="E127" i="6"/>
  <c r="E128" i="6"/>
  <c r="E129" i="6"/>
  <c r="E130" i="6"/>
  <c r="E131" i="6"/>
  <c r="E132" i="6"/>
  <c r="F132" i="6"/>
  <c r="H132" i="6" s="1"/>
  <c r="E133" i="6"/>
  <c r="E134" i="6"/>
  <c r="E135" i="6"/>
  <c r="E136" i="6"/>
  <c r="F136" i="6"/>
  <c r="H136" i="6" s="1"/>
  <c r="E137" i="6"/>
  <c r="F137" i="6"/>
  <c r="E138" i="6"/>
  <c r="E139" i="6"/>
  <c r="E140" i="6"/>
  <c r="E141" i="6"/>
  <c r="E142" i="6"/>
  <c r="E143" i="6"/>
  <c r="F143" i="6"/>
  <c r="J143" i="6" s="1"/>
  <c r="E144" i="6"/>
  <c r="E145" i="6"/>
  <c r="E146" i="6"/>
  <c r="F146" i="6"/>
  <c r="H146" i="6" s="1"/>
  <c r="E147" i="6"/>
  <c r="E148" i="6"/>
  <c r="E149" i="6"/>
  <c r="E150" i="6"/>
  <c r="E151" i="6"/>
  <c r="E152" i="6"/>
  <c r="E153" i="6"/>
  <c r="E154" i="6"/>
  <c r="E155" i="6"/>
  <c r="E156" i="6"/>
  <c r="E157" i="6"/>
  <c r="E158" i="6"/>
  <c r="F158" i="6"/>
  <c r="H158" i="6" s="1"/>
  <c r="E159" i="6"/>
  <c r="E160" i="6"/>
  <c r="E161" i="6"/>
  <c r="F161" i="6"/>
  <c r="J161" i="6" s="1"/>
  <c r="E162" i="6"/>
  <c r="E163" i="6"/>
  <c r="E164" i="6"/>
  <c r="E165" i="6"/>
  <c r="E166" i="6"/>
  <c r="E167" i="6"/>
  <c r="E168" i="6"/>
  <c r="E169" i="6"/>
  <c r="E170" i="6"/>
  <c r="E171" i="6"/>
  <c r="F171" i="6"/>
  <c r="H171" i="6" s="1"/>
  <c r="E172" i="6"/>
  <c r="F172" i="6"/>
  <c r="H172" i="6" s="1"/>
  <c r="E173" i="6"/>
  <c r="E174" i="6"/>
  <c r="E175" i="6"/>
  <c r="E176" i="6"/>
  <c r="E177" i="6"/>
  <c r="E178" i="6"/>
  <c r="E179" i="6"/>
  <c r="E180" i="6"/>
  <c r="E181" i="6"/>
  <c r="F181" i="6"/>
  <c r="J181" i="6" s="1"/>
  <c r="E182" i="6"/>
  <c r="E183" i="6"/>
  <c r="E184" i="6"/>
  <c r="E185" i="6"/>
  <c r="E186" i="6"/>
  <c r="E187" i="6"/>
  <c r="E188" i="6"/>
  <c r="E189" i="6"/>
  <c r="F189" i="6"/>
  <c r="E190" i="6"/>
  <c r="E191" i="6"/>
  <c r="E192" i="6"/>
  <c r="E193" i="6"/>
  <c r="E194" i="6"/>
  <c r="E195" i="6"/>
  <c r="E196" i="6"/>
  <c r="E197" i="6"/>
  <c r="F197" i="6"/>
  <c r="J197" i="6" s="1"/>
  <c r="E198" i="6"/>
  <c r="E199" i="6"/>
  <c r="E200" i="6"/>
  <c r="E201" i="6"/>
  <c r="E202" i="6"/>
  <c r="E203" i="6"/>
  <c r="E204" i="6"/>
  <c r="E205" i="6"/>
  <c r="E206" i="6"/>
  <c r="E207" i="6"/>
  <c r="E208" i="6"/>
  <c r="E209" i="6"/>
  <c r="E210" i="6"/>
  <c r="E211" i="6"/>
  <c r="E212" i="6"/>
  <c r="E213" i="6"/>
  <c r="E214" i="6"/>
  <c r="F214" i="6"/>
  <c r="E215" i="6"/>
  <c r="E216" i="6"/>
  <c r="E217" i="6"/>
  <c r="E218" i="6"/>
  <c r="E219" i="6"/>
  <c r="E220" i="6"/>
  <c r="E221" i="6"/>
  <c r="E222" i="6"/>
  <c r="E223" i="6"/>
  <c r="F223" i="6"/>
  <c r="J223" i="6" s="1"/>
  <c r="E224" i="6"/>
  <c r="E225" i="6"/>
  <c r="E226" i="6"/>
  <c r="E227" i="6"/>
  <c r="E228" i="6"/>
  <c r="E229" i="6"/>
  <c r="E230" i="6"/>
  <c r="E231" i="6"/>
  <c r="E232" i="6"/>
  <c r="E233" i="6"/>
  <c r="E234" i="6"/>
  <c r="E235" i="6"/>
  <c r="E236" i="6"/>
  <c r="E237" i="6"/>
  <c r="E238" i="6"/>
  <c r="E239" i="6"/>
  <c r="E240" i="6"/>
  <c r="F240" i="6"/>
  <c r="H240" i="6" s="1"/>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F258" i="6" s="1"/>
  <c r="J258" i="6" s="1"/>
  <c r="E267" i="6"/>
  <c r="E268" i="6"/>
  <c r="E269" i="6"/>
  <c r="F269" i="6" s="1"/>
  <c r="H269" i="6" s="1"/>
  <c r="E270" i="6"/>
  <c r="E271" i="6"/>
  <c r="E272" i="6"/>
  <c r="E273" i="6"/>
  <c r="E274" i="6"/>
  <c r="E275" i="6"/>
  <c r="E276" i="6"/>
  <c r="E277" i="6"/>
  <c r="E278" i="6"/>
  <c r="E279" i="6"/>
  <c r="E280" i="6"/>
  <c r="E281" i="6"/>
  <c r="E282" i="6"/>
  <c r="E283" i="6"/>
  <c r="E284" i="6"/>
  <c r="E285" i="6"/>
  <c r="F285" i="6" s="1"/>
  <c r="E286" i="6"/>
  <c r="E287" i="6"/>
  <c r="E288" i="6"/>
  <c r="E289" i="6"/>
  <c r="E290" i="6"/>
  <c r="E291" i="6"/>
  <c r="E292" i="6"/>
  <c r="E293" i="6"/>
  <c r="E294" i="6"/>
  <c r="E295" i="6"/>
  <c r="E296" i="6"/>
  <c r="F296" i="6" s="1"/>
  <c r="J296" i="6" s="1"/>
  <c r="E297" i="6"/>
  <c r="E298" i="6"/>
  <c r="F298" i="6" s="1"/>
  <c r="E299" i="6"/>
  <c r="E300" i="6"/>
  <c r="E301" i="6"/>
  <c r="E302" i="6"/>
  <c r="E303" i="6"/>
  <c r="E304" i="6"/>
  <c r="E305" i="6"/>
  <c r="E306" i="6"/>
  <c r="E307" i="6"/>
  <c r="F307" i="6" s="1"/>
  <c r="J307" i="6" s="1"/>
  <c r="E308" i="6"/>
  <c r="E309" i="6"/>
  <c r="E310" i="6"/>
  <c r="E311" i="6"/>
  <c r="E312" i="6"/>
  <c r="E313" i="6"/>
  <c r="E314" i="6"/>
  <c r="F314" i="6" s="1"/>
  <c r="E315" i="6"/>
  <c r="E316" i="6"/>
  <c r="E317" i="6"/>
  <c r="E318" i="6"/>
  <c r="F318" i="6" s="1"/>
  <c r="J318" i="6" s="1"/>
  <c r="E319" i="6"/>
  <c r="E320" i="6"/>
  <c r="E321" i="6"/>
  <c r="F321" i="6"/>
  <c r="E322" i="6"/>
  <c r="F322" i="6"/>
  <c r="E323" i="6"/>
  <c r="F323" i="6" s="1"/>
  <c r="J323" i="6" s="1"/>
  <c r="E324" i="6"/>
  <c r="E325" i="6"/>
  <c r="E326" i="6"/>
  <c r="E327" i="6"/>
  <c r="E328" i="6"/>
  <c r="E329" i="6"/>
  <c r="E330" i="6"/>
  <c r="E331" i="6"/>
  <c r="E332" i="6"/>
  <c r="E333" i="6"/>
  <c r="E334" i="6"/>
  <c r="F334" i="6"/>
  <c r="J334" i="6" s="1"/>
  <c r="E335" i="6"/>
  <c r="E336" i="6"/>
  <c r="E337" i="6"/>
  <c r="E338" i="6"/>
  <c r="F338" i="6" s="1"/>
  <c r="E339" i="6"/>
  <c r="F339" i="6"/>
  <c r="J339" i="6" s="1"/>
  <c r="E340" i="6"/>
  <c r="F340" i="6" s="1"/>
  <c r="J340" i="6" s="1"/>
  <c r="E341" i="6"/>
  <c r="E342" i="6"/>
  <c r="E343" i="6"/>
  <c r="E344" i="6"/>
  <c r="E345" i="6"/>
  <c r="E346" i="6"/>
  <c r="E347" i="6"/>
  <c r="E348" i="6"/>
  <c r="E349" i="6"/>
  <c r="E350" i="6"/>
  <c r="E351" i="6"/>
  <c r="E352" i="6"/>
  <c r="E353" i="6"/>
  <c r="E354" i="6"/>
  <c r="E355" i="6"/>
  <c r="E356" i="6"/>
  <c r="E357" i="6"/>
  <c r="E358" i="6"/>
  <c r="E359" i="6"/>
  <c r="E360" i="6"/>
  <c r="E361" i="6"/>
  <c r="E362" i="6"/>
  <c r="E363" i="6"/>
  <c r="F363" i="6" s="1"/>
  <c r="H363" i="6" s="1"/>
  <c r="E364" i="6"/>
  <c r="E365" i="6"/>
  <c r="E366" i="6"/>
  <c r="F366" i="6"/>
  <c r="E367" i="6"/>
  <c r="E368" i="6"/>
  <c r="E369" i="6"/>
  <c r="F369" i="6" s="1"/>
  <c r="J369" i="6" s="1"/>
  <c r="E370" i="6"/>
  <c r="E371" i="6"/>
  <c r="E372" i="6"/>
  <c r="E373" i="6"/>
  <c r="E374" i="6"/>
  <c r="E375" i="6"/>
  <c r="E376" i="6"/>
  <c r="E377" i="6"/>
  <c r="E378" i="6"/>
  <c r="E379" i="6"/>
  <c r="E380" i="6"/>
  <c r="E381" i="6"/>
  <c r="E382" i="6"/>
  <c r="F382" i="6"/>
  <c r="E383" i="6"/>
  <c r="E384" i="6"/>
  <c r="E385" i="6"/>
  <c r="E386" i="6"/>
  <c r="E387" i="6"/>
  <c r="E388" i="6"/>
  <c r="E389" i="6"/>
  <c r="E390" i="6"/>
  <c r="E391" i="6"/>
  <c r="F391" i="6" s="1"/>
  <c r="H391" i="6" s="1"/>
  <c r="E392" i="6"/>
  <c r="E393" i="6"/>
  <c r="E394" i="6"/>
  <c r="F394" i="6"/>
  <c r="J394" i="6" s="1"/>
  <c r="E395" i="6"/>
  <c r="F395" i="6"/>
  <c r="H395" i="6" s="1"/>
  <c r="E396" i="6"/>
  <c r="E397" i="6"/>
  <c r="E398" i="6"/>
  <c r="E399" i="6"/>
  <c r="E400" i="6"/>
  <c r="F400" i="6"/>
  <c r="J400" i="6" s="1"/>
  <c r="E401" i="6"/>
  <c r="E402" i="6"/>
  <c r="F402" i="6" s="1"/>
  <c r="J402" i="6" s="1"/>
  <c r="E403" i="6"/>
  <c r="E404" i="6"/>
  <c r="E405" i="6"/>
  <c r="E406" i="6"/>
  <c r="F406" i="6"/>
  <c r="J406" i="6" s="1"/>
  <c r="E407" i="6"/>
  <c r="E408" i="6"/>
  <c r="E409" i="6"/>
  <c r="E410" i="6"/>
  <c r="E411" i="6"/>
  <c r="E412" i="6"/>
  <c r="E413" i="6"/>
  <c r="E414" i="6"/>
  <c r="E415" i="6"/>
  <c r="E416" i="6"/>
  <c r="E417" i="6"/>
  <c r="F417" i="6"/>
  <c r="E418" i="6"/>
  <c r="E419" i="6"/>
  <c r="E420" i="6"/>
  <c r="E421" i="6"/>
  <c r="E422" i="6"/>
  <c r="E423" i="6"/>
  <c r="E424" i="6"/>
  <c r="E425" i="6"/>
  <c r="E426" i="6"/>
  <c r="E427" i="6"/>
  <c r="E428" i="6"/>
  <c r="E429" i="6"/>
  <c r="E430" i="6"/>
  <c r="E431" i="6"/>
  <c r="E432" i="6"/>
  <c r="F432" i="6"/>
  <c r="E433" i="6"/>
  <c r="F433" i="6"/>
  <c r="J433" i="6" s="1"/>
  <c r="E434" i="6"/>
  <c r="F434" i="6"/>
  <c r="E435" i="6"/>
  <c r="F435" i="6"/>
  <c r="J435" i="6" s="1"/>
  <c r="E436" i="6"/>
  <c r="E437" i="6"/>
  <c r="E438" i="6"/>
  <c r="E439" i="6"/>
  <c r="E440" i="6"/>
  <c r="F440" i="6"/>
  <c r="E441" i="6"/>
  <c r="F441" i="6"/>
  <c r="J441" i="6" s="1"/>
  <c r="E442" i="6"/>
  <c r="F442" i="6"/>
  <c r="E443" i="6"/>
  <c r="F443" i="6" s="1"/>
  <c r="E444" i="6"/>
  <c r="F444" i="6"/>
  <c r="J444" i="6" s="1"/>
  <c r="E445" i="6"/>
  <c r="E446" i="6"/>
  <c r="E447" i="6"/>
  <c r="F447" i="6" s="1"/>
  <c r="E448" i="6"/>
  <c r="E449" i="6"/>
  <c r="E450" i="6"/>
  <c r="E451" i="6"/>
  <c r="E452" i="6"/>
  <c r="F452" i="6" s="1"/>
  <c r="E453" i="6"/>
  <c r="E454" i="6"/>
  <c r="F454" i="6" s="1"/>
  <c r="J454" i="6" s="1"/>
  <c r="E455" i="6"/>
  <c r="F455" i="6"/>
  <c r="H455" i="6" s="1"/>
  <c r="E456" i="6"/>
  <c r="E457" i="6"/>
  <c r="E458" i="6"/>
  <c r="E459" i="6"/>
  <c r="E460" i="6"/>
  <c r="E461" i="6"/>
  <c r="E462" i="6"/>
  <c r="F462" i="6"/>
  <c r="J462" i="6" s="1"/>
  <c r="E463" i="6"/>
  <c r="F463" i="6"/>
  <c r="H463" i="6" s="1"/>
  <c r="E464" i="6"/>
  <c r="F464" i="6"/>
  <c r="E465" i="6"/>
  <c r="F465" i="6" s="1"/>
  <c r="J465" i="6" s="1"/>
  <c r="E466" i="6"/>
  <c r="E467" i="6"/>
  <c r="E468" i="6"/>
  <c r="E469" i="6"/>
  <c r="E470" i="6"/>
  <c r="E471" i="6"/>
  <c r="E472" i="6"/>
  <c r="E473" i="6"/>
  <c r="F473" i="6"/>
  <c r="H473" i="6" s="1"/>
  <c r="E474" i="6"/>
  <c r="F474" i="6" s="1"/>
  <c r="J474" i="6" s="1"/>
  <c r="E475" i="6"/>
  <c r="E476" i="6"/>
  <c r="E477" i="6"/>
  <c r="E478" i="6"/>
  <c r="E479" i="6"/>
  <c r="F479" i="6"/>
  <c r="E480" i="6"/>
  <c r="F480" i="6"/>
  <c r="E481" i="6"/>
  <c r="F481" i="6" s="1"/>
  <c r="J481" i="6" s="1"/>
  <c r="E482" i="6"/>
  <c r="E483" i="6"/>
  <c r="E484" i="6"/>
  <c r="E485" i="6"/>
  <c r="E486" i="6"/>
  <c r="E487" i="6"/>
  <c r="E488" i="6"/>
  <c r="E489" i="6"/>
  <c r="E490" i="6"/>
  <c r="E491" i="6"/>
  <c r="E492" i="6"/>
  <c r="E493" i="6"/>
  <c r="F493" i="6"/>
  <c r="H493" i="6" s="1"/>
  <c r="E494" i="6"/>
  <c r="F494" i="6" s="1"/>
  <c r="J494" i="6" s="1"/>
  <c r="E495" i="6"/>
  <c r="E496" i="6"/>
  <c r="F496" i="6"/>
  <c r="E497" i="6"/>
  <c r="E498" i="6"/>
  <c r="E499" i="6"/>
  <c r="E500" i="6"/>
  <c r="E501" i="6"/>
  <c r="F501" i="6"/>
  <c r="E502" i="6"/>
  <c r="E503" i="6"/>
  <c r="F503" i="6"/>
  <c r="H503" i="6" s="1"/>
  <c r="E504" i="6"/>
  <c r="E505" i="6"/>
  <c r="E506" i="6"/>
  <c r="E507" i="6"/>
  <c r="F507" i="6"/>
  <c r="H507" i="6" s="1"/>
  <c r="E508" i="6"/>
  <c r="F508" i="6"/>
  <c r="H508" i="6" s="1"/>
  <c r="E509" i="6"/>
  <c r="E510" i="6"/>
  <c r="E511" i="6"/>
  <c r="F511" i="6"/>
  <c r="E512" i="6"/>
  <c r="E513" i="6"/>
  <c r="E514" i="6"/>
  <c r="E515" i="6"/>
  <c r="F515" i="6"/>
  <c r="H515" i="6" s="1"/>
  <c r="E516" i="6"/>
  <c r="E517" i="6"/>
  <c r="E518" i="6"/>
  <c r="F518" i="6" s="1"/>
  <c r="H518" i="6" s="1"/>
  <c r="E519" i="6"/>
  <c r="E520" i="6"/>
  <c r="E521" i="6"/>
  <c r="M7" i="5"/>
  <c r="M8" i="5"/>
  <c r="M9" i="5"/>
  <c r="M10" i="5"/>
  <c r="M11" i="5"/>
  <c r="M12" i="5"/>
  <c r="M13" i="5"/>
  <c r="M14" i="5"/>
  <c r="M16" i="5"/>
  <c r="M17" i="5"/>
  <c r="M18" i="5"/>
  <c r="M19" i="5"/>
  <c r="M20" i="5"/>
  <c r="M21" i="5"/>
  <c r="M22" i="5"/>
  <c r="C23" i="5"/>
  <c r="D23" i="5"/>
  <c r="E23" i="5"/>
  <c r="F23" i="5"/>
  <c r="G23" i="5"/>
  <c r="H23" i="5"/>
  <c r="I23" i="5"/>
  <c r="J23" i="5"/>
  <c r="K23" i="5"/>
  <c r="L23" i="5"/>
  <c r="C46" i="4"/>
  <c r="B83" i="4"/>
  <c r="B119" i="4" s="1"/>
  <c r="B155" i="4" s="1"/>
  <c r="B191" i="4" s="1"/>
  <c r="B227" i="4" s="1"/>
  <c r="B263" i="4" s="1"/>
  <c r="B299" i="4" s="1"/>
  <c r="C83" i="4"/>
  <c r="C119" i="4" s="1"/>
  <c r="C155" i="4" s="1"/>
  <c r="C191" i="4" s="1"/>
  <c r="C227" i="4" s="1"/>
  <c r="C263" i="4" s="1"/>
  <c r="C299" i="4" s="1"/>
  <c r="C48" i="4"/>
  <c r="B49" i="4"/>
  <c r="C50" i="4"/>
  <c r="B87" i="4"/>
  <c r="B123" i="4" s="1"/>
  <c r="B159" i="4" s="1"/>
  <c r="B195" i="4" s="1"/>
  <c r="B231" i="4" s="1"/>
  <c r="B267" i="4" s="1"/>
  <c r="B303" i="4" s="1"/>
  <c r="C87" i="4"/>
  <c r="C123" i="4" s="1"/>
  <c r="C159" i="4" s="1"/>
  <c r="C195" i="4" s="1"/>
  <c r="C231" i="4" s="1"/>
  <c r="C267" i="4" s="1"/>
  <c r="C303" i="4" s="1"/>
  <c r="B88" i="4"/>
  <c r="B124" i="4" s="1"/>
  <c r="B160" i="4" s="1"/>
  <c r="B196" i="4" s="1"/>
  <c r="B232" i="4" s="1"/>
  <c r="B268" i="4" s="1"/>
  <c r="B304" i="4" s="1"/>
  <c r="C54" i="4"/>
  <c r="B55" i="4"/>
  <c r="B56" i="4"/>
  <c r="B57" i="4"/>
  <c r="C58" i="4"/>
  <c r="B59" i="4"/>
  <c r="C60" i="4"/>
  <c r="B61" i="4"/>
  <c r="C45" i="4"/>
  <c r="E45" i="4"/>
  <c r="E81" i="4" s="1"/>
  <c r="B46" i="4"/>
  <c r="E46" i="4"/>
  <c r="E82" i="4" s="1"/>
  <c r="B47" i="4"/>
  <c r="E47" i="4"/>
  <c r="E83" i="4" s="1"/>
  <c r="E48" i="4"/>
  <c r="E84" i="4" s="1"/>
  <c r="C49" i="4"/>
  <c r="E49" i="4"/>
  <c r="E85" i="4" s="1"/>
  <c r="B50" i="4"/>
  <c r="E50" i="4"/>
  <c r="E51" i="4"/>
  <c r="E87" i="4" s="1"/>
  <c r="E52" i="4"/>
  <c r="E88" i="4" s="1"/>
  <c r="B54" i="4"/>
  <c r="E54" i="4"/>
  <c r="E90" i="4" s="1"/>
  <c r="E55" i="4"/>
  <c r="E91" i="4" s="1"/>
  <c r="E56" i="4"/>
  <c r="E92" i="4" s="1"/>
  <c r="E57" i="4"/>
  <c r="E93" i="4" s="1"/>
  <c r="B58" i="4"/>
  <c r="E58" i="4"/>
  <c r="E94" i="4" s="1"/>
  <c r="E59" i="4"/>
  <c r="E95" i="4" s="1"/>
  <c r="E60" i="4"/>
  <c r="E96" i="4" s="1"/>
  <c r="E61" i="4"/>
  <c r="E97" i="4" s="1"/>
  <c r="B68" i="4"/>
  <c r="C81" i="4"/>
  <c r="C117" i="4" s="1"/>
  <c r="C153" i="4" s="1"/>
  <c r="C189" i="4" s="1"/>
  <c r="C225" i="4" s="1"/>
  <c r="B82" i="4"/>
  <c r="B118" i="4" s="1"/>
  <c r="B154" i="4" s="1"/>
  <c r="B190" i="4" s="1"/>
  <c r="B226" i="4" s="1"/>
  <c r="B262" i="4" s="1"/>
  <c r="B298" i="4" s="1"/>
  <c r="D82" i="4"/>
  <c r="D190" i="4" s="1"/>
  <c r="D298" i="4" s="1"/>
  <c r="C84" i="4"/>
  <c r="C120" i="4" s="1"/>
  <c r="C156" i="4" s="1"/>
  <c r="C192" i="4" s="1"/>
  <c r="C228" i="4" s="1"/>
  <c r="C264" i="4" s="1"/>
  <c r="C300" i="4" s="1"/>
  <c r="B85" i="4"/>
  <c r="B121" i="4" s="1"/>
  <c r="B157" i="4" s="1"/>
  <c r="B193" i="4" s="1"/>
  <c r="B229" i="4" s="1"/>
  <c r="B265" i="4" s="1"/>
  <c r="B301" i="4" s="1"/>
  <c r="C85" i="4"/>
  <c r="C121" i="4" s="1"/>
  <c r="C157" i="4" s="1"/>
  <c r="C193" i="4" s="1"/>
  <c r="C229" i="4" s="1"/>
  <c r="C265" i="4" s="1"/>
  <c r="C301" i="4" s="1"/>
  <c r="B86" i="4"/>
  <c r="B122" i="4" s="1"/>
  <c r="B158" i="4" s="1"/>
  <c r="B194" i="4" s="1"/>
  <c r="B230" i="4" s="1"/>
  <c r="B266" i="4" s="1"/>
  <c r="B302" i="4" s="1"/>
  <c r="E86" i="4"/>
  <c r="B104" i="4"/>
  <c r="D116" i="4"/>
  <c r="D224" i="4" s="1"/>
  <c r="D117" i="4"/>
  <c r="D225" i="4" s="1"/>
  <c r="D118" i="4"/>
  <c r="D226" i="4" s="1"/>
  <c r="D119" i="4"/>
  <c r="D227" i="4" s="1"/>
  <c r="D120" i="4"/>
  <c r="D228" i="4" s="1"/>
  <c r="D121" i="4"/>
  <c r="D229" i="4" s="1"/>
  <c r="D122" i="4"/>
  <c r="D230" i="4" s="1"/>
  <c r="D123" i="4"/>
  <c r="D231" i="4" s="1"/>
  <c r="D124" i="4"/>
  <c r="D232" i="4" s="1"/>
  <c r="D126" i="4"/>
  <c r="D234" i="4" s="1"/>
  <c r="D127" i="4"/>
  <c r="D235" i="4" s="1"/>
  <c r="D128" i="4"/>
  <c r="D236" i="4" s="1"/>
  <c r="D129" i="4"/>
  <c r="D237" i="4" s="1"/>
  <c r="D130" i="4"/>
  <c r="D238" i="4" s="1"/>
  <c r="D131" i="4"/>
  <c r="D239" i="4" s="1"/>
  <c r="D132" i="4"/>
  <c r="D240" i="4" s="1"/>
  <c r="D133" i="4"/>
  <c r="D241" i="4" s="1"/>
  <c r="B138" i="4"/>
  <c r="B246" i="4" s="1"/>
  <c r="B140" i="4"/>
  <c r="D152" i="4"/>
  <c r="D260" i="4" s="1"/>
  <c r="D153" i="4"/>
  <c r="D261" i="4" s="1"/>
  <c r="E153" i="4"/>
  <c r="E189" i="4" s="1"/>
  <c r="D154" i="4"/>
  <c r="D262" i="4" s="1"/>
  <c r="E154" i="4"/>
  <c r="E190" i="4" s="1"/>
  <c r="D155" i="4"/>
  <c r="D263" i="4" s="1"/>
  <c r="E155" i="4"/>
  <c r="E191" i="4" s="1"/>
  <c r="D156" i="4"/>
  <c r="D264" i="4" s="1"/>
  <c r="E156" i="4"/>
  <c r="E192" i="4" s="1"/>
  <c r="D157" i="4"/>
  <c r="D265" i="4" s="1"/>
  <c r="E157" i="4"/>
  <c r="E193" i="4" s="1"/>
  <c r="D158" i="4"/>
  <c r="D266" i="4" s="1"/>
  <c r="E158" i="4"/>
  <c r="E194" i="4" s="1"/>
  <c r="D159" i="4"/>
  <c r="D267" i="4" s="1"/>
  <c r="E159" i="4"/>
  <c r="D160" i="4"/>
  <c r="E160" i="4"/>
  <c r="E196" i="4" s="1"/>
  <c r="D162" i="4"/>
  <c r="D270" i="4" s="1"/>
  <c r="E162" i="4"/>
  <c r="E198" i="4" s="1"/>
  <c r="D163" i="4"/>
  <c r="D271" i="4" s="1"/>
  <c r="E163" i="4"/>
  <c r="E199" i="4" s="1"/>
  <c r="D164" i="4"/>
  <c r="D272" i="4" s="1"/>
  <c r="E164" i="4"/>
  <c r="E200" i="4" s="1"/>
  <c r="D165" i="4"/>
  <c r="D273" i="4" s="1"/>
  <c r="E165" i="4"/>
  <c r="E201" i="4" s="1"/>
  <c r="D166" i="4"/>
  <c r="D274" i="4" s="1"/>
  <c r="E166" i="4"/>
  <c r="E202" i="4" s="1"/>
  <c r="D167" i="4"/>
  <c r="D275" i="4" s="1"/>
  <c r="E167" i="4"/>
  <c r="E203" i="4" s="1"/>
  <c r="D168" i="4"/>
  <c r="D276" i="4" s="1"/>
  <c r="E168" i="4"/>
  <c r="E204" i="4" s="1"/>
  <c r="D169" i="4"/>
  <c r="D277" i="4" s="1"/>
  <c r="E169" i="4"/>
  <c r="E205" i="4" s="1"/>
  <c r="B174" i="4"/>
  <c r="B282" i="4" s="1"/>
  <c r="B175" i="4"/>
  <c r="B176" i="4"/>
  <c r="D188" i="4"/>
  <c r="D296" i="4" s="1"/>
  <c r="D189" i="4"/>
  <c r="D297" i="4" s="1"/>
  <c r="E195" i="4"/>
  <c r="B210" i="4"/>
  <c r="B318" i="4" s="1"/>
  <c r="B211" i="4"/>
  <c r="B212" i="4"/>
  <c r="B248" i="4"/>
  <c r="B283" i="4"/>
  <c r="B284" i="4"/>
  <c r="B319" i="4"/>
  <c r="B320" i="4"/>
  <c r="B47" i="3"/>
  <c r="B87" i="3" s="1"/>
  <c r="E7" i="3"/>
  <c r="K7" i="3" s="1"/>
  <c r="J7" i="3"/>
  <c r="B48" i="3"/>
  <c r="B88" i="3" s="1"/>
  <c r="E8" i="3"/>
  <c r="M8" i="3" s="1"/>
  <c r="J8" i="3"/>
  <c r="B49" i="3"/>
  <c r="B89" i="3" s="1"/>
  <c r="E9" i="3"/>
  <c r="M9" i="3" s="1"/>
  <c r="J9" i="3"/>
  <c r="F9" i="3" s="1"/>
  <c r="L9" i="3" s="1"/>
  <c r="A50" i="3"/>
  <c r="A90" i="3" s="1"/>
  <c r="E10" i="3"/>
  <c r="K10" i="3" s="1"/>
  <c r="J10" i="3"/>
  <c r="A51" i="3"/>
  <c r="A91" i="3" s="1"/>
  <c r="B51" i="3"/>
  <c r="B91" i="3" s="1"/>
  <c r="E11" i="3"/>
  <c r="M11" i="3" s="1"/>
  <c r="J11" i="3"/>
  <c r="B52" i="3"/>
  <c r="B92" i="3" s="1"/>
  <c r="E12" i="3"/>
  <c r="J12" i="3"/>
  <c r="A53" i="3"/>
  <c r="A93" i="3" s="1"/>
  <c r="E13" i="3"/>
  <c r="M13" i="3" s="1"/>
  <c r="J13" i="3"/>
  <c r="B54" i="3"/>
  <c r="B94" i="3" s="1"/>
  <c r="E14" i="3"/>
  <c r="K14" i="3" s="1"/>
  <c r="J14" i="3"/>
  <c r="E16" i="3"/>
  <c r="M16" i="3" s="1"/>
  <c r="J16" i="3"/>
  <c r="B57" i="3"/>
  <c r="B97" i="3" s="1"/>
  <c r="E17" i="3"/>
  <c r="M17" i="3" s="1"/>
  <c r="J17" i="3"/>
  <c r="B58" i="3"/>
  <c r="B98" i="3" s="1"/>
  <c r="E18" i="3"/>
  <c r="K18" i="3" s="1"/>
  <c r="J18" i="3"/>
  <c r="A59" i="3"/>
  <c r="A99" i="3" s="1"/>
  <c r="B59" i="3"/>
  <c r="B99" i="3" s="1"/>
  <c r="E19" i="3"/>
  <c r="M19" i="3" s="1"/>
  <c r="J19" i="3"/>
  <c r="A60" i="3"/>
  <c r="A100" i="3" s="1"/>
  <c r="A76" i="9" s="1"/>
  <c r="B60" i="3"/>
  <c r="B100" i="3" s="1"/>
  <c r="C76" i="9" s="1"/>
  <c r="E20" i="3"/>
  <c r="J20" i="3"/>
  <c r="E21" i="3"/>
  <c r="M21" i="3" s="1"/>
  <c r="J21" i="3"/>
  <c r="B62" i="3"/>
  <c r="B102" i="3" s="1"/>
  <c r="E22" i="3"/>
  <c r="M22" i="3" s="1"/>
  <c r="J22" i="3"/>
  <c r="E23" i="3"/>
  <c r="K23" i="3" s="1"/>
  <c r="J23" i="3"/>
  <c r="G25" i="3"/>
  <c r="H25" i="3"/>
  <c r="I25" i="3"/>
  <c r="G26" i="3"/>
  <c r="H26" i="3"/>
  <c r="I26" i="3"/>
  <c r="A47" i="3"/>
  <c r="A87" i="3" s="1"/>
  <c r="C47" i="3"/>
  <c r="E47" i="3" s="1"/>
  <c r="G47" i="3"/>
  <c r="H47" i="3"/>
  <c r="I47" i="3"/>
  <c r="A48" i="3"/>
  <c r="A88" i="3" s="1"/>
  <c r="C48" i="3"/>
  <c r="E48" i="3" s="1"/>
  <c r="G48" i="3"/>
  <c r="G88" i="3" s="1"/>
  <c r="H48" i="3"/>
  <c r="H88" i="3" s="1"/>
  <c r="I48" i="3"/>
  <c r="I88" i="3" s="1"/>
  <c r="A49" i="3"/>
  <c r="A89" i="3" s="1"/>
  <c r="C49" i="3"/>
  <c r="E49" i="3" s="1"/>
  <c r="G49" i="3"/>
  <c r="G89" i="3" s="1"/>
  <c r="H49" i="3"/>
  <c r="I49" i="3"/>
  <c r="I89" i="3" s="1"/>
  <c r="B50" i="3"/>
  <c r="B90" i="3" s="1"/>
  <c r="C50" i="3"/>
  <c r="E50" i="3" s="1"/>
  <c r="G50" i="3"/>
  <c r="G90" i="3" s="1"/>
  <c r="H50" i="3"/>
  <c r="I50" i="3"/>
  <c r="I90" i="3" s="1"/>
  <c r="C51" i="3"/>
  <c r="E51" i="3" s="1"/>
  <c r="G51" i="3"/>
  <c r="G91" i="3" s="1"/>
  <c r="H51" i="3"/>
  <c r="H91" i="3" s="1"/>
  <c r="I51" i="3"/>
  <c r="I91" i="3" s="1"/>
  <c r="A52" i="3"/>
  <c r="A92" i="3" s="1"/>
  <c r="C52" i="3"/>
  <c r="E52" i="3" s="1"/>
  <c r="G52" i="3"/>
  <c r="G92" i="3" s="1"/>
  <c r="H52" i="3"/>
  <c r="H92" i="3" s="1"/>
  <c r="I52" i="3"/>
  <c r="I92" i="3" s="1"/>
  <c r="B53" i="3"/>
  <c r="B93" i="3" s="1"/>
  <c r="C53" i="3"/>
  <c r="E53" i="3" s="1"/>
  <c r="G53" i="3"/>
  <c r="H53" i="3"/>
  <c r="H93" i="3" s="1"/>
  <c r="I53" i="3"/>
  <c r="A54" i="3"/>
  <c r="A94" i="3" s="1"/>
  <c r="C54" i="3"/>
  <c r="C94" i="3" s="1"/>
  <c r="E94" i="3" s="1"/>
  <c r="G54" i="3"/>
  <c r="H54" i="3"/>
  <c r="I54" i="3"/>
  <c r="I94" i="3" s="1"/>
  <c r="A56" i="3"/>
  <c r="A96" i="3" s="1"/>
  <c r="B56" i="3"/>
  <c r="B96" i="3" s="1"/>
  <c r="C56" i="3"/>
  <c r="C96" i="3" s="1"/>
  <c r="E96" i="3" s="1"/>
  <c r="G56" i="3"/>
  <c r="G96" i="3" s="1"/>
  <c r="H56" i="3"/>
  <c r="I56" i="3"/>
  <c r="I96" i="3" s="1"/>
  <c r="A57" i="3"/>
  <c r="A97" i="3" s="1"/>
  <c r="C57" i="3"/>
  <c r="C97" i="3" s="1"/>
  <c r="E97" i="3" s="1"/>
  <c r="G57" i="3"/>
  <c r="G97" i="3" s="1"/>
  <c r="H57" i="3"/>
  <c r="I57" i="3"/>
  <c r="I97" i="3" s="1"/>
  <c r="A58" i="3"/>
  <c r="A98" i="3" s="1"/>
  <c r="C58" i="3"/>
  <c r="C98" i="3" s="1"/>
  <c r="E98" i="3" s="1"/>
  <c r="G58" i="3"/>
  <c r="G98" i="3" s="1"/>
  <c r="H58" i="3"/>
  <c r="H98" i="3" s="1"/>
  <c r="I58" i="3"/>
  <c r="C59" i="3"/>
  <c r="E59" i="3" s="1"/>
  <c r="G59" i="3"/>
  <c r="G99" i="3" s="1"/>
  <c r="H59" i="3"/>
  <c r="H99" i="3" s="1"/>
  <c r="I59" i="3"/>
  <c r="I99" i="3" s="1"/>
  <c r="C60" i="3"/>
  <c r="E60" i="3" s="1"/>
  <c r="G60" i="3"/>
  <c r="H60" i="3"/>
  <c r="H100" i="3" s="1"/>
  <c r="I60" i="3"/>
  <c r="I100" i="3" s="1"/>
  <c r="A61" i="3"/>
  <c r="A101" i="3" s="1"/>
  <c r="B61" i="3"/>
  <c r="B101" i="3" s="1"/>
  <c r="C61" i="3"/>
  <c r="E61" i="3" s="1"/>
  <c r="G61" i="3"/>
  <c r="G101" i="3" s="1"/>
  <c r="H61" i="3"/>
  <c r="I61" i="3"/>
  <c r="I101" i="3" s="1"/>
  <c r="A62" i="3"/>
  <c r="A102" i="3" s="1"/>
  <c r="C62" i="3"/>
  <c r="E62" i="3" s="1"/>
  <c r="G62" i="3"/>
  <c r="G102" i="3" s="1"/>
  <c r="H62" i="3"/>
  <c r="H102" i="3" s="1"/>
  <c r="I62" i="3"/>
  <c r="I102" i="3" s="1"/>
  <c r="A63" i="3"/>
  <c r="A103" i="3" s="1"/>
  <c r="B63" i="3"/>
  <c r="B103" i="3" s="1"/>
  <c r="C63" i="3"/>
  <c r="E63" i="3" s="1"/>
  <c r="G63" i="3"/>
  <c r="G103" i="3" s="1"/>
  <c r="H63" i="3"/>
  <c r="H103" i="3" s="1"/>
  <c r="I63" i="3"/>
  <c r="I103" i="3" s="1"/>
  <c r="G87" i="3"/>
  <c r="C88" i="3"/>
  <c r="E88" i="3" s="1"/>
  <c r="H89" i="3"/>
  <c r="H90" i="3"/>
  <c r="C92" i="3"/>
  <c r="E92" i="3" s="1"/>
  <c r="G93" i="3"/>
  <c r="I93" i="3"/>
  <c r="H94" i="3"/>
  <c r="H96" i="3"/>
  <c r="H97" i="3"/>
  <c r="J97" i="3" s="1"/>
  <c r="I98" i="3"/>
  <c r="H101" i="3"/>
  <c r="J285" i="6" l="1"/>
  <c r="H285" i="6"/>
  <c r="J443" i="6"/>
  <c r="H443" i="6"/>
  <c r="F244" i="6"/>
  <c r="H244" i="6" s="1"/>
  <c r="C93" i="3"/>
  <c r="E93" i="3" s="1"/>
  <c r="C89" i="3"/>
  <c r="E89" i="3" s="1"/>
  <c r="M89" i="3" s="1"/>
  <c r="E54" i="3"/>
  <c r="J473" i="6"/>
  <c r="F360" i="6"/>
  <c r="F249" i="6"/>
  <c r="H249" i="6" s="1"/>
  <c r="D268" i="4"/>
  <c r="D161" i="4"/>
  <c r="F437" i="6"/>
  <c r="J53" i="3"/>
  <c r="J493" i="6"/>
  <c r="C99" i="3"/>
  <c r="E99" i="3" s="1"/>
  <c r="M99" i="3" s="1"/>
  <c r="C103" i="3"/>
  <c r="E103" i="3" s="1"/>
  <c r="F59" i="9"/>
  <c r="F29" i="9"/>
  <c r="H24" i="9"/>
  <c r="F14" i="9"/>
  <c r="F74" i="9"/>
  <c r="F54" i="9"/>
  <c r="H54" i="9"/>
  <c r="I23" i="9"/>
  <c r="I24" i="9" s="1"/>
  <c r="I44" i="9"/>
  <c r="H94" i="9"/>
  <c r="H44" i="9"/>
  <c r="I59" i="9"/>
  <c r="I84" i="9"/>
  <c r="F84" i="9"/>
  <c r="I89" i="9"/>
  <c r="F69" i="9"/>
  <c r="H59" i="9"/>
  <c r="H49" i="9"/>
  <c r="F89" i="9"/>
  <c r="F19" i="9"/>
  <c r="I94" i="9"/>
  <c r="I49" i="9"/>
  <c r="F34" i="9"/>
  <c r="H29" i="9"/>
  <c r="F94" i="9"/>
  <c r="H64" i="9"/>
  <c r="H39" i="9"/>
  <c r="I63" i="9"/>
  <c r="I64" i="9" s="1"/>
  <c r="I38" i="9"/>
  <c r="I39" i="9" s="1"/>
  <c r="I34" i="9"/>
  <c r="H89" i="9"/>
  <c r="H69" i="9"/>
  <c r="H34" i="9"/>
  <c r="J34" i="9" s="1"/>
  <c r="I27" i="9"/>
  <c r="I29" i="9" s="1"/>
  <c r="F64" i="9"/>
  <c r="F39" i="9"/>
  <c r="F44" i="9"/>
  <c r="I53" i="9"/>
  <c r="K23" i="8"/>
  <c r="L23" i="8" s="1"/>
  <c r="M23" i="8" s="1"/>
  <c r="K22" i="8"/>
  <c r="L22" i="8" s="1"/>
  <c r="M22" i="8" s="1"/>
  <c r="K18" i="8"/>
  <c r="L18" i="8" s="1"/>
  <c r="M18" i="8" s="1"/>
  <c r="K17" i="8"/>
  <c r="L17" i="8" s="1"/>
  <c r="M17" i="8" s="1"/>
  <c r="K14" i="8"/>
  <c r="L14" i="8" s="1"/>
  <c r="M14" i="8" s="1"/>
  <c r="K13" i="8"/>
  <c r="L13" i="8" s="1"/>
  <c r="M13" i="8" s="1"/>
  <c r="K11" i="8"/>
  <c r="L11" i="8" s="1"/>
  <c r="M11" i="8" s="1"/>
  <c r="K10" i="8"/>
  <c r="L10" i="8" s="1"/>
  <c r="M10" i="8" s="1"/>
  <c r="K8" i="8"/>
  <c r="L8" i="8" s="1"/>
  <c r="M8" i="8" s="1"/>
  <c r="K7" i="8"/>
  <c r="L7" i="8" s="1"/>
  <c r="M7" i="8" s="1"/>
  <c r="E227" i="4"/>
  <c r="E263" i="4" s="1"/>
  <c r="E299" i="4" s="1"/>
  <c r="E228" i="4"/>
  <c r="E264" i="4" s="1"/>
  <c r="E300" i="4" s="1"/>
  <c r="E233" i="4"/>
  <c r="E269" i="4" s="1"/>
  <c r="E305" i="4" s="1"/>
  <c r="B52" i="4"/>
  <c r="C55" i="4"/>
  <c r="C56" i="4"/>
  <c r="C51" i="4"/>
  <c r="C86" i="4"/>
  <c r="C122" i="4" s="1"/>
  <c r="C158" i="4" s="1"/>
  <c r="C194" i="4" s="1"/>
  <c r="C230" i="4" s="1"/>
  <c r="C266" i="4" s="1"/>
  <c r="C302" i="4" s="1"/>
  <c r="D83" i="4"/>
  <c r="B51" i="4"/>
  <c r="J26" i="3"/>
  <c r="E58" i="3"/>
  <c r="K58" i="3" s="1"/>
  <c r="C102" i="3"/>
  <c r="E102" i="3" s="1"/>
  <c r="M61" i="3"/>
  <c r="J99" i="3"/>
  <c r="J56" i="3"/>
  <c r="C101" i="3"/>
  <c r="E101" i="3" s="1"/>
  <c r="K101" i="3" s="1"/>
  <c r="F20" i="3"/>
  <c r="L20" i="3" s="1"/>
  <c r="C100" i="3"/>
  <c r="E100" i="3" s="1"/>
  <c r="E57" i="3"/>
  <c r="K57" i="3" s="1"/>
  <c r="J25" i="3"/>
  <c r="K98" i="3"/>
  <c r="C87" i="3"/>
  <c r="E87" i="3" s="1"/>
  <c r="J58" i="3"/>
  <c r="J51" i="3"/>
  <c r="F51" i="3" s="1"/>
  <c r="L51" i="3" s="1"/>
  <c r="F21" i="3"/>
  <c r="L21" i="3" s="1"/>
  <c r="J62" i="3"/>
  <c r="F62" i="3" s="1"/>
  <c r="L62" i="3" s="1"/>
  <c r="J92" i="3"/>
  <c r="F92" i="3" s="1"/>
  <c r="L92" i="3" s="1"/>
  <c r="J52" i="3"/>
  <c r="F52" i="3" s="1"/>
  <c r="L52" i="3" s="1"/>
  <c r="J93" i="3"/>
  <c r="J47" i="3"/>
  <c r="K16" i="8"/>
  <c r="L16" i="8" s="1"/>
  <c r="M16" i="8" s="1"/>
  <c r="K12" i="8"/>
  <c r="L12" i="8" s="1"/>
  <c r="M12" i="8" s="1"/>
  <c r="K15" i="8"/>
  <c r="L15" i="8" s="1"/>
  <c r="M15" i="8" s="1"/>
  <c r="K9" i="8"/>
  <c r="L9" i="8" s="1"/>
  <c r="M9" i="8" s="1"/>
  <c r="H477" i="6"/>
  <c r="J78" i="6"/>
  <c r="F512" i="6"/>
  <c r="H512" i="6" s="1"/>
  <c r="J80" i="6"/>
  <c r="J122" i="6"/>
  <c r="H34" i="6"/>
  <c r="F520" i="6"/>
  <c r="H520" i="6" s="1"/>
  <c r="F514" i="6"/>
  <c r="H514" i="6" s="1"/>
  <c r="H444" i="6"/>
  <c r="H340" i="6"/>
  <c r="H27" i="6"/>
  <c r="J455" i="6"/>
  <c r="H70" i="6"/>
  <c r="J503" i="6"/>
  <c r="H435" i="6"/>
  <c r="H369" i="6"/>
  <c r="J136" i="6"/>
  <c r="H93" i="6"/>
  <c r="H454" i="6"/>
  <c r="H161" i="6"/>
  <c r="H98" i="6"/>
  <c r="H88" i="6"/>
  <c r="H82" i="6"/>
  <c r="J69" i="6"/>
  <c r="J463" i="6"/>
  <c r="H406" i="6"/>
  <c r="H494" i="6"/>
  <c r="H474" i="6"/>
  <c r="J395" i="6"/>
  <c r="J269" i="6"/>
  <c r="J171" i="6"/>
  <c r="J146" i="6"/>
  <c r="J515" i="6"/>
  <c r="H481" i="6"/>
  <c r="H441" i="6"/>
  <c r="H433" i="6"/>
  <c r="H400" i="6"/>
  <c r="J391" i="6"/>
  <c r="H339" i="6"/>
  <c r="H334" i="6"/>
  <c r="H100" i="6"/>
  <c r="H92" i="6"/>
  <c r="J54" i="6"/>
  <c r="J30" i="6"/>
  <c r="J79" i="6"/>
  <c r="J363" i="6"/>
  <c r="H307" i="6"/>
  <c r="H76" i="6"/>
  <c r="J38" i="6"/>
  <c r="J24" i="6"/>
  <c r="H394" i="6"/>
  <c r="J126" i="6"/>
  <c r="J108" i="6"/>
  <c r="H465" i="6"/>
  <c r="H462" i="6"/>
  <c r="H102" i="6"/>
  <c r="H90" i="6"/>
  <c r="J91" i="3"/>
  <c r="J57" i="3"/>
  <c r="G65" i="3"/>
  <c r="M53" i="3"/>
  <c r="K52" i="3"/>
  <c r="K93" i="3"/>
  <c r="J60" i="3"/>
  <c r="K60" i="3"/>
  <c r="M48" i="3"/>
  <c r="J102" i="3"/>
  <c r="F102" i="3" s="1"/>
  <c r="L102" i="3" s="1"/>
  <c r="H65" i="3"/>
  <c r="J103" i="3"/>
  <c r="F103" i="3" s="1"/>
  <c r="L103" i="3" s="1"/>
  <c r="F58" i="3"/>
  <c r="L58" i="3" s="1"/>
  <c r="M93" i="3"/>
  <c r="F12" i="3"/>
  <c r="L12" i="3" s="1"/>
  <c r="J88" i="3"/>
  <c r="F88" i="3" s="1"/>
  <c r="L88" i="3" s="1"/>
  <c r="H66" i="3"/>
  <c r="M51" i="3"/>
  <c r="E56" i="3"/>
  <c r="K56" i="3" s="1"/>
  <c r="F17" i="3"/>
  <c r="L17" i="3" s="1"/>
  <c r="K22" i="3"/>
  <c r="K13" i="3"/>
  <c r="K96" i="3"/>
  <c r="C91" i="3"/>
  <c r="E91" i="3" s="1"/>
  <c r="K91" i="3" s="1"/>
  <c r="F22" i="3"/>
  <c r="L22" i="3" s="1"/>
  <c r="F16" i="3"/>
  <c r="L16" i="3" s="1"/>
  <c r="F13" i="3"/>
  <c r="L13" i="3" s="1"/>
  <c r="C90" i="3"/>
  <c r="E90" i="3" s="1"/>
  <c r="K90" i="3" s="1"/>
  <c r="K21" i="3"/>
  <c r="K19" i="3"/>
  <c r="F11" i="3"/>
  <c r="L11" i="3" s="1"/>
  <c r="C261" i="4"/>
  <c r="C297" i="4" s="1"/>
  <c r="E225" i="4"/>
  <c r="E261" i="4" s="1"/>
  <c r="E297" i="4" s="1"/>
  <c r="M103" i="3"/>
  <c r="K103" i="3"/>
  <c r="J101" i="3"/>
  <c r="J89" i="3"/>
  <c r="F89" i="3" s="1"/>
  <c r="L89" i="3" s="1"/>
  <c r="K99" i="3"/>
  <c r="M97" i="3"/>
  <c r="F97" i="3"/>
  <c r="L97" i="3" s="1"/>
  <c r="K97" i="3"/>
  <c r="J90" i="3"/>
  <c r="J61" i="3"/>
  <c r="F61" i="3" s="1"/>
  <c r="L61" i="3" s="1"/>
  <c r="M60" i="3"/>
  <c r="M59" i="3"/>
  <c r="J54" i="3"/>
  <c r="F54" i="3" s="1"/>
  <c r="L54" i="3" s="1"/>
  <c r="K53" i="3"/>
  <c r="C57" i="4"/>
  <c r="G100" i="3"/>
  <c r="J98" i="3"/>
  <c r="F98" i="3" s="1"/>
  <c r="L98" i="3" s="1"/>
  <c r="K92" i="3"/>
  <c r="G66" i="3"/>
  <c r="M63" i="3"/>
  <c r="M14" i="3"/>
  <c r="F14" i="3"/>
  <c r="L14" i="3" s="1"/>
  <c r="E236" i="4"/>
  <c r="E272" i="4" s="1"/>
  <c r="E308" i="4" s="1"/>
  <c r="E229" i="4"/>
  <c r="E265" i="4" s="1"/>
  <c r="E301" i="4" s="1"/>
  <c r="C59" i="4"/>
  <c r="B60" i="4"/>
  <c r="K63" i="3"/>
  <c r="K62" i="3"/>
  <c r="M62" i="3"/>
  <c r="M88" i="3"/>
  <c r="J63" i="3"/>
  <c r="F63" i="3" s="1"/>
  <c r="L63" i="3" s="1"/>
  <c r="J59" i="3"/>
  <c r="F59" i="3" s="1"/>
  <c r="L59" i="3" s="1"/>
  <c r="K54" i="3"/>
  <c r="K49" i="3"/>
  <c r="K48" i="3"/>
  <c r="K47" i="3"/>
  <c r="F47" i="3"/>
  <c r="E25" i="3"/>
  <c r="M7" i="3"/>
  <c r="F7" i="3"/>
  <c r="E235" i="4"/>
  <c r="E271" i="4" s="1"/>
  <c r="E307" i="4" s="1"/>
  <c r="B48" i="4"/>
  <c r="B84" i="4"/>
  <c r="B120" i="4" s="1"/>
  <c r="B156" i="4" s="1"/>
  <c r="B192" i="4" s="1"/>
  <c r="B228" i="4" s="1"/>
  <c r="B264" i="4" s="1"/>
  <c r="B300" i="4" s="1"/>
  <c r="M49" i="3"/>
  <c r="M20" i="3"/>
  <c r="K20" i="3"/>
  <c r="K8" i="3"/>
  <c r="E239" i="4"/>
  <c r="E275" i="4" s="1"/>
  <c r="E311" i="4" s="1"/>
  <c r="F60" i="3"/>
  <c r="L60" i="3" s="1"/>
  <c r="F53" i="3"/>
  <c r="L53" i="3" s="1"/>
  <c r="J50" i="3"/>
  <c r="J49" i="3"/>
  <c r="F49" i="3" s="1"/>
  <c r="L49" i="3" s="1"/>
  <c r="E26" i="3"/>
  <c r="M12" i="3"/>
  <c r="K12" i="3"/>
  <c r="F8" i="3"/>
  <c r="L8" i="3" s="1"/>
  <c r="E231" i="4"/>
  <c r="E267" i="4" s="1"/>
  <c r="E303" i="4" s="1"/>
  <c r="C82" i="4"/>
  <c r="C118" i="4" s="1"/>
  <c r="C154" i="4" s="1"/>
  <c r="C190" i="4" s="1"/>
  <c r="C226" i="4" s="1"/>
  <c r="C262" i="4" s="1"/>
  <c r="C298" i="4" s="1"/>
  <c r="C61" i="4"/>
  <c r="J96" i="3"/>
  <c r="F96" i="3" s="1"/>
  <c r="L96" i="3" s="1"/>
  <c r="K89" i="3"/>
  <c r="K88" i="3"/>
  <c r="K61" i="3"/>
  <c r="M54" i="3"/>
  <c r="J48" i="3"/>
  <c r="M47" i="3"/>
  <c r="M18" i="3"/>
  <c r="F18" i="3"/>
  <c r="L18" i="3" s="1"/>
  <c r="J512" i="6"/>
  <c r="G94" i="3"/>
  <c r="G106" i="3" s="1"/>
  <c r="M92" i="3"/>
  <c r="M23" i="3"/>
  <c r="F23" i="3"/>
  <c r="L23" i="3" s="1"/>
  <c r="M102" i="3"/>
  <c r="K102" i="3"/>
  <c r="M96" i="3"/>
  <c r="H87" i="3"/>
  <c r="K59" i="3"/>
  <c r="M58" i="3"/>
  <c r="M98" i="3"/>
  <c r="M57" i="3"/>
  <c r="M52" i="3"/>
  <c r="K51" i="3"/>
  <c r="M50" i="3"/>
  <c r="K50" i="3"/>
  <c r="F50" i="3"/>
  <c r="L50" i="3" s="1"/>
  <c r="I87" i="3"/>
  <c r="I65" i="3"/>
  <c r="I66" i="3"/>
  <c r="F19" i="3"/>
  <c r="L19" i="3" s="1"/>
  <c r="K16" i="3"/>
  <c r="K11" i="3"/>
  <c r="M10" i="3"/>
  <c r="F10" i="3"/>
  <c r="L10" i="3" s="1"/>
  <c r="M23" i="5"/>
  <c r="F506" i="6"/>
  <c r="F471" i="6"/>
  <c r="F490" i="6"/>
  <c r="F498" i="6"/>
  <c r="F500" i="6"/>
  <c r="F521" i="6"/>
  <c r="J518" i="6"/>
  <c r="J508" i="6"/>
  <c r="J501" i="6"/>
  <c r="H501" i="6"/>
  <c r="F497" i="6"/>
  <c r="F505" i="6"/>
  <c r="B81" i="4"/>
  <c r="B117" i="4" s="1"/>
  <c r="B153" i="4" s="1"/>
  <c r="B189" i="4" s="1"/>
  <c r="B225" i="4" s="1"/>
  <c r="B261" i="4" s="1"/>
  <c r="B297" i="4" s="1"/>
  <c r="B45" i="4"/>
  <c r="H511" i="6"/>
  <c r="J511" i="6"/>
  <c r="F488" i="6"/>
  <c r="K17" i="3"/>
  <c r="K9" i="3"/>
  <c r="J507" i="6"/>
  <c r="F495" i="6"/>
  <c r="F519" i="6"/>
  <c r="F513" i="6"/>
  <c r="F492" i="6"/>
  <c r="F466" i="6"/>
  <c r="F510" i="6"/>
  <c r="F499" i="6"/>
  <c r="J480" i="6"/>
  <c r="H480" i="6"/>
  <c r="C52" i="4"/>
  <c r="C88" i="4"/>
  <c r="C124" i="4" s="1"/>
  <c r="C160" i="4" s="1"/>
  <c r="C196" i="4" s="1"/>
  <c r="C232" i="4" s="1"/>
  <c r="C268" i="4" s="1"/>
  <c r="C304" i="4" s="1"/>
  <c r="C47" i="4"/>
  <c r="F516" i="6"/>
  <c r="F420" i="6"/>
  <c r="F458" i="6"/>
  <c r="H479" i="6"/>
  <c r="J479" i="6"/>
  <c r="F476" i="6"/>
  <c r="F483" i="6"/>
  <c r="F448" i="6"/>
  <c r="F504" i="6"/>
  <c r="F478" i="6"/>
  <c r="F475" i="6"/>
  <c r="F469" i="6"/>
  <c r="F491" i="6"/>
  <c r="F453" i="6"/>
  <c r="F451" i="6"/>
  <c r="J464" i="6"/>
  <c r="H464" i="6"/>
  <c r="F509" i="6"/>
  <c r="J496" i="6"/>
  <c r="H496" i="6"/>
  <c r="F485" i="6"/>
  <c r="H447" i="6"/>
  <c r="J447" i="6"/>
  <c r="F387" i="6"/>
  <c r="F461" i="6"/>
  <c r="F457" i="6"/>
  <c r="F426" i="6"/>
  <c r="F418" i="6"/>
  <c r="F412" i="6"/>
  <c r="F517" i="6"/>
  <c r="F467" i="6"/>
  <c r="F460" i="6"/>
  <c r="F456" i="6"/>
  <c r="F446" i="6"/>
  <c r="F421" i="6"/>
  <c r="F459" i="6"/>
  <c r="F377" i="6"/>
  <c r="F489" i="6"/>
  <c r="F424" i="6"/>
  <c r="F376" i="6"/>
  <c r="F351" i="6"/>
  <c r="J452" i="6"/>
  <c r="H452" i="6"/>
  <c r="F449" i="6"/>
  <c r="F439" i="6"/>
  <c r="F428" i="6"/>
  <c r="F409" i="6"/>
  <c r="F399" i="6"/>
  <c r="F438" i="6"/>
  <c r="F431" i="6"/>
  <c r="F427" i="6"/>
  <c r="F419" i="6"/>
  <c r="F398" i="6"/>
  <c r="F416" i="6"/>
  <c r="F414" i="6"/>
  <c r="F392" i="6"/>
  <c r="F404" i="6"/>
  <c r="F407" i="6"/>
  <c r="F401" i="6"/>
  <c r="F357" i="6"/>
  <c r="F484" i="6"/>
  <c r="F468" i="6"/>
  <c r="H437" i="6"/>
  <c r="J437" i="6"/>
  <c r="J434" i="6"/>
  <c r="H434" i="6"/>
  <c r="F423" i="6"/>
  <c r="F367" i="6"/>
  <c r="F393" i="6"/>
  <c r="F375" i="6"/>
  <c r="F362" i="6"/>
  <c r="F348" i="6"/>
  <c r="F350" i="6"/>
  <c r="F337" i="6"/>
  <c r="F329" i="6"/>
  <c r="F330" i="6"/>
  <c r="F305" i="6"/>
  <c r="F472" i="6"/>
  <c r="J442" i="6"/>
  <c r="H442" i="6"/>
  <c r="F429" i="6"/>
  <c r="F415" i="6"/>
  <c r="F384" i="6"/>
  <c r="F381" i="6"/>
  <c r="F378" i="6"/>
  <c r="F359" i="6"/>
  <c r="F380" i="6"/>
  <c r="F374" i="6"/>
  <c r="F371" i="6"/>
  <c r="F368" i="6"/>
  <c r="F364" i="6"/>
  <c r="F355" i="6"/>
  <c r="F347" i="6"/>
  <c r="F482" i="6"/>
  <c r="F450" i="6"/>
  <c r="F436" i="6"/>
  <c r="J417" i="6"/>
  <c r="H417" i="6"/>
  <c r="F403" i="6"/>
  <c r="F361" i="6"/>
  <c r="F283" i="6"/>
  <c r="F422" i="6"/>
  <c r="F397" i="6"/>
  <c r="F389" i="6"/>
  <c r="F386" i="6"/>
  <c r="F383" i="6"/>
  <c r="F346" i="6"/>
  <c r="F341" i="6"/>
  <c r="J338" i="6"/>
  <c r="H338" i="6"/>
  <c r="F487" i="6"/>
  <c r="F430" i="6"/>
  <c r="F425" i="6"/>
  <c r="F411" i="6"/>
  <c r="F408" i="6"/>
  <c r="H402" i="6"/>
  <c r="J382" i="6"/>
  <c r="H382" i="6"/>
  <c r="F373" i="6"/>
  <c r="F370" i="6"/>
  <c r="J366" i="6"/>
  <c r="H366" i="6"/>
  <c r="J360" i="6"/>
  <c r="H360" i="6"/>
  <c r="F405" i="6"/>
  <c r="F396" i="6"/>
  <c r="F379" i="6"/>
  <c r="F372" i="6"/>
  <c r="F353" i="6"/>
  <c r="F345" i="6"/>
  <c r="F332" i="6"/>
  <c r="F502" i="6"/>
  <c r="F486" i="6"/>
  <c r="F470" i="6"/>
  <c r="J440" i="6"/>
  <c r="H440" i="6"/>
  <c r="J432" i="6"/>
  <c r="H432" i="6"/>
  <c r="F410" i="6"/>
  <c r="F385" i="6"/>
  <c r="F356" i="6"/>
  <c r="F352" i="6"/>
  <c r="F335" i="6"/>
  <c r="F301" i="6"/>
  <c r="F291" i="6"/>
  <c r="F286" i="6"/>
  <c r="F279" i="6"/>
  <c r="F271" i="6"/>
  <c r="F255" i="6"/>
  <c r="F328" i="6"/>
  <c r="F344" i="6"/>
  <c r="F342" i="6"/>
  <c r="F251" i="6"/>
  <c r="F274" i="6"/>
  <c r="F290" i="6"/>
  <c r="F320" i="6"/>
  <c r="F336" i="6"/>
  <c r="F254" i="6"/>
  <c r="F261" i="6"/>
  <c r="F284" i="6"/>
  <c r="F300" i="6"/>
  <c r="F237" i="6"/>
  <c r="F245" i="6"/>
  <c r="F215" i="6"/>
  <c r="F319" i="6"/>
  <c r="F316" i="6"/>
  <c r="F313" i="6"/>
  <c r="F297" i="6"/>
  <c r="F275" i="6"/>
  <c r="F270" i="6"/>
  <c r="F267" i="6"/>
  <c r="F263" i="6"/>
  <c r="F259" i="6"/>
  <c r="F354" i="6"/>
  <c r="F349" i="6"/>
  <c r="F325" i="6"/>
  <c r="J322" i="6"/>
  <c r="H322" i="6"/>
  <c r="H318" i="6"/>
  <c r="F303" i="6"/>
  <c r="F293" i="6"/>
  <c r="F289" i="6"/>
  <c r="F282" i="6"/>
  <c r="F243" i="6"/>
  <c r="F331" i="6"/>
  <c r="F309" i="6"/>
  <c r="F306" i="6"/>
  <c r="F273" i="6"/>
  <c r="F266" i="6"/>
  <c r="F253" i="6"/>
  <c r="F199" i="6"/>
  <c r="F217" i="6"/>
  <c r="F343" i="6"/>
  <c r="H321" i="6"/>
  <c r="J321" i="6"/>
  <c r="F315" i="6"/>
  <c r="F302" i="6"/>
  <c r="F299" i="6"/>
  <c r="F277" i="6"/>
  <c r="F257" i="6"/>
  <c r="F280" i="6"/>
  <c r="F205" i="6"/>
  <c r="F413" i="6"/>
  <c r="F388" i="6"/>
  <c r="F358" i="6"/>
  <c r="F327" i="6"/>
  <c r="F324" i="6"/>
  <c r="F292" i="6"/>
  <c r="F281" i="6"/>
  <c r="F333" i="6"/>
  <c r="J314" i="6"/>
  <c r="H314" i="6"/>
  <c r="F311" i="6"/>
  <c r="F308" i="6"/>
  <c r="J298" i="6"/>
  <c r="H298" i="6"/>
  <c r="F295" i="6"/>
  <c r="F276" i="6"/>
  <c r="F265" i="6"/>
  <c r="F260" i="6"/>
  <c r="F445" i="6"/>
  <c r="F390" i="6"/>
  <c r="F365" i="6"/>
  <c r="H323" i="6"/>
  <c r="F317" i="6"/>
  <c r="F287" i="6"/>
  <c r="F250" i="6"/>
  <c r="F248" i="6"/>
  <c r="F231" i="6"/>
  <c r="F221" i="6"/>
  <c r="H214" i="6"/>
  <c r="J214" i="6"/>
  <c r="F210" i="6"/>
  <c r="F207" i="6"/>
  <c r="F179" i="6"/>
  <c r="F154" i="6"/>
  <c r="F268" i="6"/>
  <c r="F252" i="6"/>
  <c r="F242" i="6"/>
  <c r="F227" i="6"/>
  <c r="F224" i="6"/>
  <c r="F203" i="6"/>
  <c r="H189" i="6"/>
  <c r="J189" i="6"/>
  <c r="J249" i="6"/>
  <c r="F239" i="6"/>
  <c r="F233" i="6"/>
  <c r="F230" i="6"/>
  <c r="F213" i="6"/>
  <c r="F198" i="6"/>
  <c r="F177" i="6"/>
  <c r="F202" i="6"/>
  <c r="F304" i="6"/>
  <c r="F288" i="6"/>
  <c r="F272" i="6"/>
  <c r="H258" i="6"/>
  <c r="F256" i="6"/>
  <c r="F247" i="6"/>
  <c r="F226" i="6"/>
  <c r="H223" i="6"/>
  <c r="F193" i="6"/>
  <c r="F229" i="6"/>
  <c r="F216" i="6"/>
  <c r="F209" i="6"/>
  <c r="F192" i="6"/>
  <c r="F163" i="6"/>
  <c r="F116" i="6"/>
  <c r="F246" i="6"/>
  <c r="F241" i="6"/>
  <c r="F238" i="6"/>
  <c r="F235" i="6"/>
  <c r="F232" i="6"/>
  <c r="F219" i="6"/>
  <c r="F208" i="6"/>
  <c r="F218" i="6"/>
  <c r="F234" i="6"/>
  <c r="F184" i="6"/>
  <c r="F191" i="6"/>
  <c r="F200" i="6"/>
  <c r="F166" i="6"/>
  <c r="F173" i="6"/>
  <c r="F182" i="6"/>
  <c r="F187" i="6"/>
  <c r="F228" i="6"/>
  <c r="F185" i="6"/>
  <c r="F194" i="6"/>
  <c r="F201" i="6"/>
  <c r="F167" i="6"/>
  <c r="F176" i="6"/>
  <c r="F183" i="6"/>
  <c r="F190" i="6"/>
  <c r="F206" i="6"/>
  <c r="F222" i="6"/>
  <c r="F204" i="6"/>
  <c r="F220" i="6"/>
  <c r="F236" i="6"/>
  <c r="F326" i="6"/>
  <c r="F310" i="6"/>
  <c r="H296" i="6"/>
  <c r="F294" i="6"/>
  <c r="F278" i="6"/>
  <c r="F262" i="6"/>
  <c r="J240" i="6"/>
  <c r="F211" i="6"/>
  <c r="F312" i="6"/>
  <c r="F264" i="6"/>
  <c r="F225" i="6"/>
  <c r="F195" i="6"/>
  <c r="H197" i="6"/>
  <c r="F188" i="6"/>
  <c r="H181" i="6"/>
  <c r="J158" i="6"/>
  <c r="F156" i="6"/>
  <c r="F147" i="6"/>
  <c r="F131" i="6"/>
  <c r="F128" i="6"/>
  <c r="F89" i="6"/>
  <c r="F174" i="6"/>
  <c r="F165" i="6"/>
  <c r="F149" i="6"/>
  <c r="F125" i="6"/>
  <c r="F120" i="6"/>
  <c r="F113" i="6"/>
  <c r="F104" i="6"/>
  <c r="F160" i="6"/>
  <c r="F151" i="6"/>
  <c r="F144" i="6"/>
  <c r="F141" i="6"/>
  <c r="F133" i="6"/>
  <c r="F178" i="6"/>
  <c r="F169" i="6"/>
  <c r="F162" i="6"/>
  <c r="F153" i="6"/>
  <c r="F101" i="6"/>
  <c r="F20" i="6"/>
  <c r="F25" i="6"/>
  <c r="F46" i="6"/>
  <c r="F64" i="6"/>
  <c r="F74" i="6"/>
  <c r="F84" i="6"/>
  <c r="F94" i="6"/>
  <c r="F111" i="6"/>
  <c r="F118" i="6"/>
  <c r="F40" i="6"/>
  <c r="F56" i="6"/>
  <c r="F109" i="6"/>
  <c r="F50" i="6"/>
  <c r="F62" i="6"/>
  <c r="F72" i="6"/>
  <c r="F107" i="6"/>
  <c r="F114" i="6"/>
  <c r="F123" i="6"/>
  <c r="F130" i="6"/>
  <c r="F139" i="6"/>
  <c r="F44" i="6"/>
  <c r="F105" i="6"/>
  <c r="F112" i="6"/>
  <c r="F60" i="6"/>
  <c r="F68" i="6"/>
  <c r="F103" i="6"/>
  <c r="F110" i="6"/>
  <c r="F119" i="6"/>
  <c r="F135" i="6"/>
  <c r="F142" i="6"/>
  <c r="F48" i="6"/>
  <c r="F117" i="6"/>
  <c r="F32" i="6"/>
  <c r="F42" i="6"/>
  <c r="F58" i="6"/>
  <c r="F66" i="6"/>
  <c r="F86" i="6"/>
  <c r="F96" i="6"/>
  <c r="F106" i="6"/>
  <c r="F29" i="6"/>
  <c r="F36" i="6"/>
  <c r="F52" i="6"/>
  <c r="F127" i="6"/>
  <c r="F99" i="6"/>
  <c r="F212" i="6"/>
  <c r="F196" i="6"/>
  <c r="F180" i="6"/>
  <c r="F164" i="6"/>
  <c r="F155" i="6"/>
  <c r="F148" i="6"/>
  <c r="H143" i="6"/>
  <c r="F138" i="6"/>
  <c r="J132" i="6"/>
  <c r="F157" i="6"/>
  <c r="F150" i="6"/>
  <c r="F129" i="6"/>
  <c r="F124" i="6"/>
  <c r="F121" i="6"/>
  <c r="F115" i="6"/>
  <c r="F175" i="6"/>
  <c r="F168" i="6"/>
  <c r="F159" i="6"/>
  <c r="F152" i="6"/>
  <c r="F140" i="6"/>
  <c r="J137" i="6"/>
  <c r="H137" i="6"/>
  <c r="F81" i="6"/>
  <c r="F186" i="6"/>
  <c r="J172" i="6"/>
  <c r="F170" i="6"/>
  <c r="F145" i="6"/>
  <c r="F134" i="6"/>
  <c r="F71" i="6"/>
  <c r="F61" i="6"/>
  <c r="F49" i="6"/>
  <c r="F19" i="6"/>
  <c r="F21" i="6"/>
  <c r="F55" i="6"/>
  <c r="F39" i="6"/>
  <c r="F91" i="6"/>
  <c r="F83" i="6"/>
  <c r="F73" i="6"/>
  <c r="F63" i="6"/>
  <c r="F45" i="6"/>
  <c r="J35" i="6"/>
  <c r="H35" i="6"/>
  <c r="F26" i="6"/>
  <c r="F28" i="6"/>
  <c r="F51" i="6"/>
  <c r="F95" i="6"/>
  <c r="F85" i="6"/>
  <c r="F75" i="6"/>
  <c r="F65" i="6"/>
  <c r="F57" i="6"/>
  <c r="F41" i="6"/>
  <c r="F31" i="6"/>
  <c r="F47" i="6"/>
  <c r="F97" i="6"/>
  <c r="F87" i="6"/>
  <c r="F77" i="6"/>
  <c r="F67" i="6"/>
  <c r="F59" i="6"/>
  <c r="F53" i="6"/>
  <c r="F37" i="6"/>
  <c r="K19" i="8"/>
  <c r="L19" i="8" s="1"/>
  <c r="M19" i="8" s="1"/>
  <c r="F43" i="6"/>
  <c r="F22" i="6"/>
  <c r="I69" i="9"/>
  <c r="J94" i="9"/>
  <c r="H33" i="6"/>
  <c r="I54" i="9"/>
  <c r="J54" i="9" s="1"/>
  <c r="F49" i="9"/>
  <c r="H19" i="9"/>
  <c r="I18" i="9"/>
  <c r="I19" i="9" s="1"/>
  <c r="H84" i="9"/>
  <c r="I72" i="9"/>
  <c r="I74" i="9" s="1"/>
  <c r="H74" i="9"/>
  <c r="F24" i="9"/>
  <c r="J24" i="9" s="1"/>
  <c r="H14" i="9"/>
  <c r="I13" i="9"/>
  <c r="I14" i="9" s="1"/>
  <c r="H23" i="6"/>
  <c r="K21" i="8"/>
  <c r="L21" i="8" s="1"/>
  <c r="M21" i="8" s="1"/>
  <c r="J520" i="6" l="1"/>
  <c r="F101" i="3"/>
  <c r="L101" i="3" s="1"/>
  <c r="D269" i="4"/>
  <c r="M100" i="3"/>
  <c r="M26" i="8"/>
  <c r="E29" i="1" s="1"/>
  <c r="I18" i="1" s="1"/>
  <c r="F99" i="3"/>
  <c r="L99" i="3" s="1"/>
  <c r="J244" i="6"/>
  <c r="F93" i="3"/>
  <c r="L93" i="3" s="1"/>
  <c r="J89" i="9"/>
  <c r="J44" i="9"/>
  <c r="J49" i="9"/>
  <c r="J14" i="9"/>
  <c r="J84" i="9"/>
  <c r="J69" i="9"/>
  <c r="J64" i="9"/>
  <c r="J59" i="9"/>
  <c r="J29" i="9"/>
  <c r="J39" i="9"/>
  <c r="J74" i="9"/>
  <c r="J19" i="9"/>
  <c r="E240" i="4"/>
  <c r="E276" i="4" s="1"/>
  <c r="E312" i="4" s="1"/>
  <c r="E230" i="4"/>
  <c r="E266" i="4" s="1"/>
  <c r="E302" i="4" s="1"/>
  <c r="D191" i="4"/>
  <c r="D299" i="4" s="1"/>
  <c r="D84" i="4"/>
  <c r="F90" i="3"/>
  <c r="L90" i="3" s="1"/>
  <c r="M90" i="3"/>
  <c r="M101" i="3"/>
  <c r="F91" i="3"/>
  <c r="L91" i="3" s="1"/>
  <c r="M91" i="3"/>
  <c r="F57" i="3"/>
  <c r="L57" i="3" s="1"/>
  <c r="E106" i="3"/>
  <c r="E105" i="3"/>
  <c r="M25" i="8"/>
  <c r="C29" i="1" s="1"/>
  <c r="I17" i="1" s="1"/>
  <c r="J514" i="6"/>
  <c r="F56" i="3"/>
  <c r="L56" i="3" s="1"/>
  <c r="M56" i="3"/>
  <c r="M66" i="3" s="1"/>
  <c r="E12" i="1" s="1"/>
  <c r="E65" i="3"/>
  <c r="E66" i="3"/>
  <c r="K25" i="3"/>
  <c r="C6" i="1" s="1"/>
  <c r="K26" i="3"/>
  <c r="C11" i="1" s="1"/>
  <c r="J81" i="6"/>
  <c r="H81" i="6"/>
  <c r="J99" i="6"/>
  <c r="H99" i="6"/>
  <c r="J66" i="6"/>
  <c r="H66" i="6"/>
  <c r="J119" i="6"/>
  <c r="H119" i="6"/>
  <c r="J139" i="6"/>
  <c r="H139" i="6"/>
  <c r="J109" i="6"/>
  <c r="H109" i="6"/>
  <c r="H64" i="6"/>
  <c r="J64" i="6"/>
  <c r="H178" i="6"/>
  <c r="J178" i="6"/>
  <c r="J120" i="6"/>
  <c r="H120" i="6"/>
  <c r="H147" i="6"/>
  <c r="J147" i="6"/>
  <c r="J264" i="6"/>
  <c r="H264" i="6"/>
  <c r="J310" i="6"/>
  <c r="H310" i="6"/>
  <c r="H183" i="6"/>
  <c r="J183" i="6"/>
  <c r="H182" i="6"/>
  <c r="J182" i="6"/>
  <c r="H208" i="6"/>
  <c r="J208" i="6"/>
  <c r="H163" i="6"/>
  <c r="J163" i="6"/>
  <c r="H247" i="6"/>
  <c r="J247" i="6"/>
  <c r="H198" i="6"/>
  <c r="J198" i="6"/>
  <c r="J203" i="6"/>
  <c r="H203" i="6"/>
  <c r="J207" i="6"/>
  <c r="H207" i="6"/>
  <c r="H287" i="6"/>
  <c r="J287" i="6"/>
  <c r="J276" i="6"/>
  <c r="H276" i="6"/>
  <c r="H333" i="6"/>
  <c r="J333" i="6"/>
  <c r="H205" i="6"/>
  <c r="J205" i="6"/>
  <c r="H309" i="6"/>
  <c r="J309" i="6"/>
  <c r="J270" i="6"/>
  <c r="H270" i="6"/>
  <c r="H237" i="6"/>
  <c r="J237" i="6"/>
  <c r="J274" i="6"/>
  <c r="H274" i="6"/>
  <c r="J286" i="6"/>
  <c r="H286" i="6"/>
  <c r="H345" i="6"/>
  <c r="J345" i="6"/>
  <c r="H411" i="6"/>
  <c r="J411" i="6"/>
  <c r="H383" i="6"/>
  <c r="J383" i="6"/>
  <c r="J368" i="6"/>
  <c r="H368" i="6"/>
  <c r="H415" i="6"/>
  <c r="J415" i="6"/>
  <c r="H337" i="6"/>
  <c r="J337" i="6"/>
  <c r="H407" i="6"/>
  <c r="J407" i="6"/>
  <c r="H431" i="6"/>
  <c r="J431" i="6"/>
  <c r="J446" i="6"/>
  <c r="H446" i="6"/>
  <c r="H457" i="6"/>
  <c r="J457" i="6"/>
  <c r="H509" i="6"/>
  <c r="J509" i="6"/>
  <c r="J478" i="6"/>
  <c r="H478" i="6"/>
  <c r="J420" i="6"/>
  <c r="H420" i="6"/>
  <c r="H499" i="6"/>
  <c r="J499" i="6"/>
  <c r="E234" i="4"/>
  <c r="E270" i="4" s="1"/>
  <c r="E306" i="4" s="1"/>
  <c r="J500" i="6"/>
  <c r="H500" i="6"/>
  <c r="M25" i="3"/>
  <c r="E6" i="1" s="1"/>
  <c r="M26" i="3"/>
  <c r="E11" i="1" s="1"/>
  <c r="E237" i="4"/>
  <c r="E273" i="4" s="1"/>
  <c r="E309" i="4" s="1"/>
  <c r="J59" i="6"/>
  <c r="H59" i="6"/>
  <c r="J115" i="6"/>
  <c r="H115" i="6"/>
  <c r="J67" i="6"/>
  <c r="H67" i="6"/>
  <c r="J31" i="6"/>
  <c r="H31" i="6"/>
  <c r="J61" i="6"/>
  <c r="H61" i="6"/>
  <c r="J121" i="6"/>
  <c r="H121" i="6"/>
  <c r="J127" i="6"/>
  <c r="H127" i="6"/>
  <c r="J58" i="6"/>
  <c r="H58" i="6"/>
  <c r="H110" i="6"/>
  <c r="J110" i="6"/>
  <c r="J130" i="6"/>
  <c r="H130" i="6"/>
  <c r="H56" i="6"/>
  <c r="J56" i="6"/>
  <c r="H46" i="6"/>
  <c r="J46" i="6"/>
  <c r="J133" i="6"/>
  <c r="H133" i="6"/>
  <c r="J125" i="6"/>
  <c r="H125" i="6"/>
  <c r="H156" i="6"/>
  <c r="J156" i="6"/>
  <c r="J312" i="6"/>
  <c r="H312" i="6"/>
  <c r="J326" i="6"/>
  <c r="H326" i="6"/>
  <c r="H176" i="6"/>
  <c r="J176" i="6"/>
  <c r="H173" i="6"/>
  <c r="J173" i="6"/>
  <c r="H219" i="6"/>
  <c r="J219" i="6"/>
  <c r="H192" i="6"/>
  <c r="J192" i="6"/>
  <c r="J256" i="6"/>
  <c r="H256" i="6"/>
  <c r="J213" i="6"/>
  <c r="H213" i="6"/>
  <c r="H224" i="6"/>
  <c r="J224" i="6"/>
  <c r="H210" i="6"/>
  <c r="J210" i="6"/>
  <c r="H317" i="6"/>
  <c r="J317" i="6"/>
  <c r="J295" i="6"/>
  <c r="H295" i="6"/>
  <c r="H281" i="6"/>
  <c r="J281" i="6"/>
  <c r="J280" i="6"/>
  <c r="H280" i="6"/>
  <c r="J343" i="6"/>
  <c r="H343" i="6"/>
  <c r="J331" i="6"/>
  <c r="H331" i="6"/>
  <c r="J275" i="6"/>
  <c r="H275" i="6"/>
  <c r="J300" i="6"/>
  <c r="H300" i="6"/>
  <c r="H251" i="6"/>
  <c r="J251" i="6"/>
  <c r="J291" i="6"/>
  <c r="H291" i="6"/>
  <c r="J353" i="6"/>
  <c r="H353" i="6"/>
  <c r="J425" i="6"/>
  <c r="H425" i="6"/>
  <c r="J386" i="6"/>
  <c r="H386" i="6"/>
  <c r="H371" i="6"/>
  <c r="J371" i="6"/>
  <c r="J429" i="6"/>
  <c r="H429" i="6"/>
  <c r="J350" i="6"/>
  <c r="H350" i="6"/>
  <c r="J404" i="6"/>
  <c r="H404" i="6"/>
  <c r="J438" i="6"/>
  <c r="H438" i="6"/>
  <c r="H351" i="6"/>
  <c r="J351" i="6"/>
  <c r="J456" i="6"/>
  <c r="H456" i="6"/>
  <c r="H461" i="6"/>
  <c r="J461" i="6"/>
  <c r="J504" i="6"/>
  <c r="H504" i="6"/>
  <c r="H516" i="6"/>
  <c r="J516" i="6"/>
  <c r="H510" i="6"/>
  <c r="J510" i="6"/>
  <c r="E238" i="4"/>
  <c r="E274" i="4" s="1"/>
  <c r="E310" i="4" s="1"/>
  <c r="H505" i="6"/>
  <c r="J505" i="6"/>
  <c r="J498" i="6"/>
  <c r="H498" i="6"/>
  <c r="J49" i="6"/>
  <c r="H49" i="6"/>
  <c r="H138" i="6"/>
  <c r="J138" i="6"/>
  <c r="J22" i="6"/>
  <c r="H22" i="6"/>
  <c r="J77" i="6"/>
  <c r="H77" i="6"/>
  <c r="J41" i="6"/>
  <c r="H41" i="6"/>
  <c r="J51" i="6"/>
  <c r="H51" i="6"/>
  <c r="J39" i="6"/>
  <c r="H39" i="6"/>
  <c r="J71" i="6"/>
  <c r="H71" i="6"/>
  <c r="H124" i="6"/>
  <c r="J124" i="6"/>
  <c r="H148" i="6"/>
  <c r="J148" i="6"/>
  <c r="H52" i="6"/>
  <c r="J52" i="6"/>
  <c r="H42" i="6"/>
  <c r="J42" i="6"/>
  <c r="J103" i="6"/>
  <c r="H103" i="6"/>
  <c r="J123" i="6"/>
  <c r="H123" i="6"/>
  <c r="H40" i="6"/>
  <c r="J40" i="6"/>
  <c r="J25" i="6"/>
  <c r="H25" i="6"/>
  <c r="J141" i="6"/>
  <c r="H141" i="6"/>
  <c r="J149" i="6"/>
  <c r="H149" i="6"/>
  <c r="H211" i="6"/>
  <c r="J211" i="6"/>
  <c r="H236" i="6"/>
  <c r="J236" i="6"/>
  <c r="H167" i="6"/>
  <c r="J167" i="6"/>
  <c r="H166" i="6"/>
  <c r="J166" i="6"/>
  <c r="H232" i="6"/>
  <c r="J232" i="6"/>
  <c r="H209" i="6"/>
  <c r="J209" i="6"/>
  <c r="H230" i="6"/>
  <c r="J230" i="6"/>
  <c r="H227" i="6"/>
  <c r="J227" i="6"/>
  <c r="J292" i="6"/>
  <c r="H292" i="6"/>
  <c r="H257" i="6"/>
  <c r="J257" i="6"/>
  <c r="J217" i="6"/>
  <c r="H217" i="6"/>
  <c r="H243" i="6"/>
  <c r="J243" i="6"/>
  <c r="J325" i="6"/>
  <c r="H325" i="6"/>
  <c r="H297" i="6"/>
  <c r="J297" i="6"/>
  <c r="J284" i="6"/>
  <c r="H284" i="6"/>
  <c r="J342" i="6"/>
  <c r="H342" i="6"/>
  <c r="H301" i="6"/>
  <c r="J301" i="6"/>
  <c r="J372" i="6"/>
  <c r="H372" i="6"/>
  <c r="J370" i="6"/>
  <c r="H370" i="6"/>
  <c r="J430" i="6"/>
  <c r="H430" i="6"/>
  <c r="H389" i="6"/>
  <c r="J389" i="6"/>
  <c r="J436" i="6"/>
  <c r="H436" i="6"/>
  <c r="J374" i="6"/>
  <c r="H374" i="6"/>
  <c r="J348" i="6"/>
  <c r="H348" i="6"/>
  <c r="J392" i="6"/>
  <c r="H392" i="6"/>
  <c r="H399" i="6"/>
  <c r="J399" i="6"/>
  <c r="J376" i="6"/>
  <c r="H376" i="6"/>
  <c r="J460" i="6"/>
  <c r="H460" i="6"/>
  <c r="J387" i="6"/>
  <c r="H387" i="6"/>
  <c r="J448" i="6"/>
  <c r="H448" i="6"/>
  <c r="J466" i="6"/>
  <c r="H466" i="6"/>
  <c r="J497" i="6"/>
  <c r="H497" i="6"/>
  <c r="J490" i="6"/>
  <c r="H490" i="6"/>
  <c r="H105" i="3"/>
  <c r="M87" i="3"/>
  <c r="H106" i="3"/>
  <c r="K87" i="3"/>
  <c r="E241" i="4"/>
  <c r="E277" i="4" s="1"/>
  <c r="E313" i="4" s="1"/>
  <c r="J87" i="3"/>
  <c r="H26" i="6"/>
  <c r="J26" i="6"/>
  <c r="J43" i="6"/>
  <c r="H43" i="6"/>
  <c r="J87" i="6"/>
  <c r="H87" i="6"/>
  <c r="J57" i="6"/>
  <c r="H57" i="6"/>
  <c r="J45" i="6"/>
  <c r="H45" i="6"/>
  <c r="J55" i="6"/>
  <c r="H55" i="6"/>
  <c r="J134" i="6"/>
  <c r="H134" i="6"/>
  <c r="H140" i="6"/>
  <c r="J140" i="6"/>
  <c r="J129" i="6"/>
  <c r="H129" i="6"/>
  <c r="H155" i="6"/>
  <c r="J155" i="6"/>
  <c r="H36" i="6"/>
  <c r="J36" i="6"/>
  <c r="H32" i="6"/>
  <c r="J32" i="6"/>
  <c r="H68" i="6"/>
  <c r="J68" i="6"/>
  <c r="J114" i="6"/>
  <c r="H114" i="6"/>
  <c r="J118" i="6"/>
  <c r="H118" i="6"/>
  <c r="H20" i="6"/>
  <c r="J20" i="6"/>
  <c r="H144" i="6"/>
  <c r="J144" i="6"/>
  <c r="J165" i="6"/>
  <c r="H165" i="6"/>
  <c r="H220" i="6"/>
  <c r="J220" i="6"/>
  <c r="J201" i="6"/>
  <c r="H201" i="6"/>
  <c r="H200" i="6"/>
  <c r="J200" i="6"/>
  <c r="H235" i="6"/>
  <c r="J235" i="6"/>
  <c r="H216" i="6"/>
  <c r="J216" i="6"/>
  <c r="J272" i="6"/>
  <c r="H272" i="6"/>
  <c r="H233" i="6"/>
  <c r="J233" i="6"/>
  <c r="H242" i="6"/>
  <c r="J242" i="6"/>
  <c r="J365" i="6"/>
  <c r="H365" i="6"/>
  <c r="J324" i="6"/>
  <c r="H324" i="6"/>
  <c r="H277" i="6"/>
  <c r="J277" i="6"/>
  <c r="H199" i="6"/>
  <c r="J199" i="6"/>
  <c r="J282" i="6"/>
  <c r="H282" i="6"/>
  <c r="H349" i="6"/>
  <c r="J349" i="6"/>
  <c r="H313" i="6"/>
  <c r="J313" i="6"/>
  <c r="H261" i="6"/>
  <c r="J261" i="6"/>
  <c r="J344" i="6"/>
  <c r="H344" i="6"/>
  <c r="H335" i="6"/>
  <c r="J335" i="6"/>
  <c r="H379" i="6"/>
  <c r="J379" i="6"/>
  <c r="H373" i="6"/>
  <c r="J373" i="6"/>
  <c r="J487" i="6"/>
  <c r="H487" i="6"/>
  <c r="J397" i="6"/>
  <c r="H397" i="6"/>
  <c r="J450" i="6"/>
  <c r="H450" i="6"/>
  <c r="J380" i="6"/>
  <c r="H380" i="6"/>
  <c r="J362" i="6"/>
  <c r="H362" i="6"/>
  <c r="J414" i="6"/>
  <c r="H414" i="6"/>
  <c r="J409" i="6"/>
  <c r="H409" i="6"/>
  <c r="J424" i="6"/>
  <c r="H424" i="6"/>
  <c r="H467" i="6"/>
  <c r="J467" i="6"/>
  <c r="H451" i="6"/>
  <c r="J451" i="6"/>
  <c r="H483" i="6"/>
  <c r="J483" i="6"/>
  <c r="J492" i="6"/>
  <c r="H492" i="6"/>
  <c r="H471" i="6"/>
  <c r="J471" i="6"/>
  <c r="L47" i="3"/>
  <c r="J97" i="6"/>
  <c r="H97" i="6"/>
  <c r="H145" i="6"/>
  <c r="J145" i="6"/>
  <c r="J29" i="6"/>
  <c r="H29" i="6"/>
  <c r="J117" i="6"/>
  <c r="H117" i="6"/>
  <c r="H60" i="6"/>
  <c r="J60" i="6"/>
  <c r="J107" i="6"/>
  <c r="H107" i="6"/>
  <c r="J111" i="6"/>
  <c r="H111" i="6"/>
  <c r="J101" i="6"/>
  <c r="H101" i="6"/>
  <c r="H151" i="6"/>
  <c r="J151" i="6"/>
  <c r="H174" i="6"/>
  <c r="J174" i="6"/>
  <c r="H188" i="6"/>
  <c r="J188" i="6"/>
  <c r="J262" i="6"/>
  <c r="H262" i="6"/>
  <c r="H204" i="6"/>
  <c r="J204" i="6"/>
  <c r="H194" i="6"/>
  <c r="J194" i="6"/>
  <c r="J191" i="6"/>
  <c r="H191" i="6"/>
  <c r="H238" i="6"/>
  <c r="J238" i="6"/>
  <c r="J229" i="6"/>
  <c r="H229" i="6"/>
  <c r="J288" i="6"/>
  <c r="H288" i="6"/>
  <c r="J239" i="6"/>
  <c r="H239" i="6"/>
  <c r="J252" i="6"/>
  <c r="H252" i="6"/>
  <c r="H221" i="6"/>
  <c r="J221" i="6"/>
  <c r="J390" i="6"/>
  <c r="H390" i="6"/>
  <c r="J308" i="6"/>
  <c r="H308" i="6"/>
  <c r="H327" i="6"/>
  <c r="J327" i="6"/>
  <c r="J299" i="6"/>
  <c r="H299" i="6"/>
  <c r="J253" i="6"/>
  <c r="H253" i="6"/>
  <c r="H289" i="6"/>
  <c r="J289" i="6"/>
  <c r="J354" i="6"/>
  <c r="H354" i="6"/>
  <c r="J316" i="6"/>
  <c r="H316" i="6"/>
  <c r="J254" i="6"/>
  <c r="H254" i="6"/>
  <c r="J328" i="6"/>
  <c r="H328" i="6"/>
  <c r="J352" i="6"/>
  <c r="H352" i="6"/>
  <c r="J470" i="6"/>
  <c r="H470" i="6"/>
  <c r="J396" i="6"/>
  <c r="H396" i="6"/>
  <c r="J422" i="6"/>
  <c r="H422" i="6"/>
  <c r="J482" i="6"/>
  <c r="H482" i="6"/>
  <c r="J359" i="6"/>
  <c r="H359" i="6"/>
  <c r="J472" i="6"/>
  <c r="H472" i="6"/>
  <c r="J375" i="6"/>
  <c r="H375" i="6"/>
  <c r="J468" i="6"/>
  <c r="H468" i="6"/>
  <c r="J416" i="6"/>
  <c r="H416" i="6"/>
  <c r="J428" i="6"/>
  <c r="H428" i="6"/>
  <c r="J489" i="6"/>
  <c r="H489" i="6"/>
  <c r="J517" i="6"/>
  <c r="H517" i="6"/>
  <c r="H453" i="6"/>
  <c r="J453" i="6"/>
  <c r="J476" i="6"/>
  <c r="H476" i="6"/>
  <c r="E232" i="4"/>
  <c r="E268" i="4" s="1"/>
  <c r="E304" i="4" s="1"/>
  <c r="H513" i="6"/>
  <c r="J513" i="6"/>
  <c r="J488" i="6"/>
  <c r="H488" i="6"/>
  <c r="J506" i="6"/>
  <c r="H506" i="6"/>
  <c r="J94" i="3"/>
  <c r="F94" i="3" s="1"/>
  <c r="L94" i="3" s="1"/>
  <c r="K94" i="3"/>
  <c r="F48" i="3"/>
  <c r="L48" i="3" s="1"/>
  <c r="J66" i="3"/>
  <c r="J65" i="3"/>
  <c r="K66" i="3"/>
  <c r="C12" i="1" s="1"/>
  <c r="K65" i="3"/>
  <c r="C7" i="1" s="1"/>
  <c r="J65" i="6"/>
  <c r="H65" i="6"/>
  <c r="H150" i="6"/>
  <c r="J150" i="6"/>
  <c r="J75" i="6"/>
  <c r="H75" i="6"/>
  <c r="J73" i="6"/>
  <c r="H73" i="6"/>
  <c r="H170" i="6"/>
  <c r="J170" i="6"/>
  <c r="H159" i="6"/>
  <c r="J159" i="6"/>
  <c r="H157" i="6"/>
  <c r="J157" i="6"/>
  <c r="H180" i="6"/>
  <c r="J180" i="6"/>
  <c r="J106" i="6"/>
  <c r="H106" i="6"/>
  <c r="H48" i="6"/>
  <c r="J48" i="6"/>
  <c r="H112" i="6"/>
  <c r="J112" i="6"/>
  <c r="H72" i="6"/>
  <c r="J72" i="6"/>
  <c r="H94" i="6"/>
  <c r="J94" i="6"/>
  <c r="H153" i="6"/>
  <c r="J153" i="6"/>
  <c r="H160" i="6"/>
  <c r="J160" i="6"/>
  <c r="J89" i="6"/>
  <c r="H89" i="6"/>
  <c r="J278" i="6"/>
  <c r="H278" i="6"/>
  <c r="H222" i="6"/>
  <c r="J222" i="6"/>
  <c r="J185" i="6"/>
  <c r="H185" i="6"/>
  <c r="H184" i="6"/>
  <c r="J184" i="6"/>
  <c r="H241" i="6"/>
  <c r="J241" i="6"/>
  <c r="H193" i="6"/>
  <c r="J193" i="6"/>
  <c r="J304" i="6"/>
  <c r="H304" i="6"/>
  <c r="J268" i="6"/>
  <c r="H268" i="6"/>
  <c r="J231" i="6"/>
  <c r="H231" i="6"/>
  <c r="J445" i="6"/>
  <c r="H445" i="6"/>
  <c r="H311" i="6"/>
  <c r="J311" i="6"/>
  <c r="J358" i="6"/>
  <c r="H358" i="6"/>
  <c r="J302" i="6"/>
  <c r="H302" i="6"/>
  <c r="J266" i="6"/>
  <c r="H266" i="6"/>
  <c r="H293" i="6"/>
  <c r="J293" i="6"/>
  <c r="J259" i="6"/>
  <c r="H259" i="6"/>
  <c r="H319" i="6"/>
  <c r="J319" i="6"/>
  <c r="J336" i="6"/>
  <c r="H336" i="6"/>
  <c r="H255" i="6"/>
  <c r="J255" i="6"/>
  <c r="J356" i="6"/>
  <c r="H356" i="6"/>
  <c r="J486" i="6"/>
  <c r="H486" i="6"/>
  <c r="J405" i="6"/>
  <c r="H405" i="6"/>
  <c r="H283" i="6"/>
  <c r="J283" i="6"/>
  <c r="H347" i="6"/>
  <c r="J347" i="6"/>
  <c r="J378" i="6"/>
  <c r="H378" i="6"/>
  <c r="H305" i="6"/>
  <c r="J305" i="6"/>
  <c r="H393" i="6"/>
  <c r="J393" i="6"/>
  <c r="J484" i="6"/>
  <c r="H484" i="6"/>
  <c r="J398" i="6"/>
  <c r="H398" i="6"/>
  <c r="J439" i="6"/>
  <c r="H439" i="6"/>
  <c r="J377" i="6"/>
  <c r="H377" i="6"/>
  <c r="J412" i="6"/>
  <c r="H412" i="6"/>
  <c r="H485" i="6"/>
  <c r="J485" i="6"/>
  <c r="J491" i="6"/>
  <c r="H491" i="6"/>
  <c r="H519" i="6"/>
  <c r="J519" i="6"/>
  <c r="M94" i="3"/>
  <c r="J63" i="6"/>
  <c r="H63" i="6"/>
  <c r="H164" i="6"/>
  <c r="J164" i="6"/>
  <c r="J37" i="6"/>
  <c r="H37" i="6"/>
  <c r="J85" i="6"/>
  <c r="H85" i="6"/>
  <c r="J83" i="6"/>
  <c r="H83" i="6"/>
  <c r="J21" i="6"/>
  <c r="H21" i="6"/>
  <c r="H168" i="6"/>
  <c r="J168" i="6"/>
  <c r="H196" i="6"/>
  <c r="J196" i="6"/>
  <c r="J96" i="6"/>
  <c r="H96" i="6"/>
  <c r="J142" i="6"/>
  <c r="H142" i="6"/>
  <c r="J105" i="6"/>
  <c r="H105" i="6"/>
  <c r="H62" i="6"/>
  <c r="J62" i="6"/>
  <c r="H84" i="6"/>
  <c r="J84" i="6"/>
  <c r="H162" i="6"/>
  <c r="J162" i="6"/>
  <c r="H104" i="6"/>
  <c r="J104" i="6"/>
  <c r="H128" i="6"/>
  <c r="J128" i="6"/>
  <c r="H195" i="6"/>
  <c r="J195" i="6"/>
  <c r="J294" i="6"/>
  <c r="H294" i="6"/>
  <c r="H206" i="6"/>
  <c r="J206" i="6"/>
  <c r="H228" i="6"/>
  <c r="J228" i="6"/>
  <c r="H234" i="6"/>
  <c r="J234" i="6"/>
  <c r="H246" i="6"/>
  <c r="J246" i="6"/>
  <c r="H202" i="6"/>
  <c r="J202" i="6"/>
  <c r="H154" i="6"/>
  <c r="J154" i="6"/>
  <c r="J248" i="6"/>
  <c r="H248" i="6"/>
  <c r="J260" i="6"/>
  <c r="H260" i="6"/>
  <c r="J388" i="6"/>
  <c r="H388" i="6"/>
  <c r="J315" i="6"/>
  <c r="H315" i="6"/>
  <c r="H273" i="6"/>
  <c r="J273" i="6"/>
  <c r="H303" i="6"/>
  <c r="J303" i="6"/>
  <c r="J263" i="6"/>
  <c r="H263" i="6"/>
  <c r="H215" i="6"/>
  <c r="J215" i="6"/>
  <c r="J320" i="6"/>
  <c r="H320" i="6"/>
  <c r="H271" i="6"/>
  <c r="J271" i="6"/>
  <c r="J385" i="6"/>
  <c r="H385" i="6"/>
  <c r="J502" i="6"/>
  <c r="H502" i="6"/>
  <c r="J341" i="6"/>
  <c r="H341" i="6"/>
  <c r="J361" i="6"/>
  <c r="H361" i="6"/>
  <c r="J355" i="6"/>
  <c r="H355" i="6"/>
  <c r="J381" i="6"/>
  <c r="H381" i="6"/>
  <c r="J330" i="6"/>
  <c r="H330" i="6"/>
  <c r="H367" i="6"/>
  <c r="J367" i="6"/>
  <c r="H357" i="6"/>
  <c r="J357" i="6"/>
  <c r="H419" i="6"/>
  <c r="J419" i="6"/>
  <c r="J449" i="6"/>
  <c r="H449" i="6"/>
  <c r="J459" i="6"/>
  <c r="H459" i="6"/>
  <c r="J418" i="6"/>
  <c r="H418" i="6"/>
  <c r="J469" i="6"/>
  <c r="H469" i="6"/>
  <c r="H495" i="6"/>
  <c r="J495" i="6"/>
  <c r="I105" i="3"/>
  <c r="I106" i="3"/>
  <c r="E226" i="4"/>
  <c r="E262" i="4" s="1"/>
  <c r="E298" i="4" s="1"/>
  <c r="G105" i="3"/>
  <c r="H152" i="6"/>
  <c r="J152" i="6"/>
  <c r="J47" i="6"/>
  <c r="H47" i="6"/>
  <c r="J53" i="6"/>
  <c r="H53" i="6"/>
  <c r="J95" i="6"/>
  <c r="H95" i="6"/>
  <c r="H28" i="6"/>
  <c r="J28" i="6"/>
  <c r="J91" i="6"/>
  <c r="H91" i="6"/>
  <c r="J19" i="6"/>
  <c r="H19" i="6"/>
  <c r="H186" i="6"/>
  <c r="J186" i="6"/>
  <c r="H175" i="6"/>
  <c r="J175" i="6"/>
  <c r="H212" i="6"/>
  <c r="J212" i="6"/>
  <c r="J86" i="6"/>
  <c r="H86" i="6"/>
  <c r="J135" i="6"/>
  <c r="H135" i="6"/>
  <c r="H44" i="6"/>
  <c r="J44" i="6"/>
  <c r="H50" i="6"/>
  <c r="J50" i="6"/>
  <c r="H74" i="6"/>
  <c r="J74" i="6"/>
  <c r="H169" i="6"/>
  <c r="J169" i="6"/>
  <c r="J113" i="6"/>
  <c r="H113" i="6"/>
  <c r="J131" i="6"/>
  <c r="H131" i="6"/>
  <c r="H225" i="6"/>
  <c r="J225" i="6"/>
  <c r="H190" i="6"/>
  <c r="J190" i="6"/>
  <c r="H187" i="6"/>
  <c r="J187" i="6"/>
  <c r="H218" i="6"/>
  <c r="J218" i="6"/>
  <c r="H116" i="6"/>
  <c r="J116" i="6"/>
  <c r="H226" i="6"/>
  <c r="J226" i="6"/>
  <c r="H177" i="6"/>
  <c r="J177" i="6"/>
  <c r="H179" i="6"/>
  <c r="J179" i="6"/>
  <c r="J250" i="6"/>
  <c r="H250" i="6"/>
  <c r="H265" i="6"/>
  <c r="J265" i="6"/>
  <c r="H413" i="6"/>
  <c r="J413" i="6"/>
  <c r="J306" i="6"/>
  <c r="H306" i="6"/>
  <c r="H267" i="6"/>
  <c r="J267" i="6"/>
  <c r="J245" i="6"/>
  <c r="H245" i="6"/>
  <c r="J290" i="6"/>
  <c r="H290" i="6"/>
  <c r="J279" i="6"/>
  <c r="H279" i="6"/>
  <c r="J410" i="6"/>
  <c r="H410" i="6"/>
  <c r="J332" i="6"/>
  <c r="H332" i="6"/>
  <c r="J408" i="6"/>
  <c r="H408" i="6"/>
  <c r="J346" i="6"/>
  <c r="H346" i="6"/>
  <c r="H403" i="6"/>
  <c r="J403" i="6"/>
  <c r="J364" i="6"/>
  <c r="H364" i="6"/>
  <c r="J384" i="6"/>
  <c r="H384" i="6"/>
  <c r="H329" i="6"/>
  <c r="J329" i="6"/>
  <c r="H423" i="6"/>
  <c r="J423" i="6"/>
  <c r="J401" i="6"/>
  <c r="H401" i="6"/>
  <c r="H427" i="6"/>
  <c r="J427" i="6"/>
  <c r="J421" i="6"/>
  <c r="H421" i="6"/>
  <c r="J426" i="6"/>
  <c r="H426" i="6"/>
  <c r="H475" i="6"/>
  <c r="J475" i="6"/>
  <c r="J458" i="6"/>
  <c r="H458" i="6"/>
  <c r="J521" i="6"/>
  <c r="H521" i="6"/>
  <c r="F25" i="3"/>
  <c r="F26" i="3"/>
  <c r="L7" i="3"/>
  <c r="K100" i="3"/>
  <c r="J100" i="3"/>
  <c r="F100" i="3" s="1"/>
  <c r="L100" i="3" s="1"/>
  <c r="K24" i="9" l="1"/>
  <c r="K77" i="9"/>
  <c r="K79" i="9"/>
  <c r="K76" i="9"/>
  <c r="K78" i="9"/>
  <c r="K80" i="9"/>
  <c r="K94" i="9"/>
  <c r="K19" i="9"/>
  <c r="K49" i="9"/>
  <c r="K64" i="9"/>
  <c r="K39" i="9"/>
  <c r="K89" i="9"/>
  <c r="K69" i="9"/>
  <c r="D192" i="4"/>
  <c r="D300" i="4" s="1"/>
  <c r="D85" i="4"/>
  <c r="M65" i="3"/>
  <c r="E7" i="1" s="1"/>
  <c r="B6" i="6"/>
  <c r="J105" i="3"/>
  <c r="J106" i="3"/>
  <c r="F87" i="3"/>
  <c r="L25" i="3"/>
  <c r="D6" i="1" s="1"/>
  <c r="L26" i="3"/>
  <c r="D11" i="1" s="1"/>
  <c r="B4" i="6"/>
  <c r="B8" i="6" s="1"/>
  <c r="F9" i="4" s="1"/>
  <c r="K21" i="9"/>
  <c r="K23" i="9"/>
  <c r="K25" i="9"/>
  <c r="K37" i="9"/>
  <c r="K26" i="9"/>
  <c r="K28" i="9"/>
  <c r="K30" i="9"/>
  <c r="K51" i="9"/>
  <c r="K53" i="9"/>
  <c r="K55" i="9"/>
  <c r="K67" i="9"/>
  <c r="K81" i="9"/>
  <c r="K83" i="9"/>
  <c r="K85" i="9"/>
  <c r="K31" i="9"/>
  <c r="K33" i="9"/>
  <c r="K35" i="9"/>
  <c r="K72" i="9"/>
  <c r="K99" i="9"/>
  <c r="K17" i="9"/>
  <c r="K42" i="9"/>
  <c r="K15" i="9"/>
  <c r="K32" i="9"/>
  <c r="K71" i="9"/>
  <c r="K73" i="9"/>
  <c r="K75" i="9"/>
  <c r="K50" i="9"/>
  <c r="K56" i="9"/>
  <c r="K70" i="9"/>
  <c r="K92" i="9"/>
  <c r="K20" i="9"/>
  <c r="K27" i="9"/>
  <c r="K45" i="9"/>
  <c r="K62" i="9"/>
  <c r="K38" i="9"/>
  <c r="K46" i="9"/>
  <c r="K48" i="9"/>
  <c r="K65" i="9"/>
  <c r="K68" i="9"/>
  <c r="K87" i="9"/>
  <c r="K95" i="9"/>
  <c r="K101" i="9"/>
  <c r="K36" i="9"/>
  <c r="K43" i="9"/>
  <c r="K57" i="9"/>
  <c r="K66" i="9"/>
  <c r="K82" i="9"/>
  <c r="K90" i="9"/>
  <c r="K96" i="9"/>
  <c r="K18" i="9"/>
  <c r="K52" i="9"/>
  <c r="K60" i="9"/>
  <c r="K91" i="9"/>
  <c r="K93" i="9"/>
  <c r="K22" i="9"/>
  <c r="K61" i="9"/>
  <c r="K63" i="9"/>
  <c r="K88" i="9"/>
  <c r="J105" i="9"/>
  <c r="K14" i="9"/>
  <c r="K40" i="9"/>
  <c r="K41" i="9"/>
  <c r="K47" i="9"/>
  <c r="K58" i="9"/>
  <c r="K97" i="9"/>
  <c r="K98" i="9"/>
  <c r="K16" i="9"/>
  <c r="K86" i="9"/>
  <c r="K59" i="9"/>
  <c r="K34" i="9"/>
  <c r="K29" i="9"/>
  <c r="K100" i="9"/>
  <c r="K105" i="3"/>
  <c r="C8" i="1" s="1"/>
  <c r="C9" i="1" s="1"/>
  <c r="I5" i="1" s="1"/>
  <c r="K106" i="3"/>
  <c r="C13" i="1" s="1"/>
  <c r="C14" i="1" s="1"/>
  <c r="I8" i="1" s="1"/>
  <c r="K54" i="9"/>
  <c r="F66" i="3"/>
  <c r="M105" i="3"/>
  <c r="E8" i="1" s="1"/>
  <c r="M106" i="3"/>
  <c r="E13" i="1" s="1"/>
  <c r="E14" i="1" s="1"/>
  <c r="I10" i="1" s="1"/>
  <c r="F65" i="3"/>
  <c r="K74" i="9"/>
  <c r="L65" i="3"/>
  <c r="D7" i="1" s="1"/>
  <c r="L66" i="3"/>
  <c r="D12" i="1" s="1"/>
  <c r="K44" i="9"/>
  <c r="K84" i="9"/>
  <c r="J106" i="9" l="1"/>
  <c r="E49" i="10" s="1"/>
  <c r="E9" i="1"/>
  <c r="I7" i="1" s="1"/>
  <c r="D193" i="4"/>
  <c r="D301" i="4" s="1"/>
  <c r="D86" i="4"/>
  <c r="D87" i="4" s="1"/>
  <c r="D88" i="4" s="1"/>
  <c r="D89" i="4" s="1"/>
  <c r="F45" i="4"/>
  <c r="G45" i="4" s="1"/>
  <c r="F153" i="4"/>
  <c r="G153" i="4" s="1"/>
  <c r="F117" i="4"/>
  <c r="F81" i="4"/>
  <c r="G81" i="4" s="1"/>
  <c r="F10" i="4"/>
  <c r="F189" i="4"/>
  <c r="G189" i="4" s="1"/>
  <c r="G9" i="4"/>
  <c r="L87" i="3"/>
  <c r="F105" i="3"/>
  <c r="F106" i="3"/>
  <c r="C38" i="10"/>
  <c r="D38" i="10" s="1"/>
  <c r="E38" i="10" s="1"/>
  <c r="C46" i="10"/>
  <c r="D46" i="10" s="1"/>
  <c r="E46" i="10" s="1"/>
  <c r="C33" i="10"/>
  <c r="D33" i="10" s="1"/>
  <c r="E33" i="10" s="1"/>
  <c r="C41" i="10"/>
  <c r="D41" i="10" s="1"/>
  <c r="E41" i="10" s="1"/>
  <c r="C36" i="10"/>
  <c r="D36" i="10" s="1"/>
  <c r="E36" i="10" s="1"/>
  <c r="C44" i="10"/>
  <c r="D44" i="10" s="1"/>
  <c r="E44" i="10" s="1"/>
  <c r="C29" i="10"/>
  <c r="D29" i="10" s="1"/>
  <c r="E29" i="10" s="1"/>
  <c r="C31" i="10"/>
  <c r="D31" i="10" s="1"/>
  <c r="E31" i="10" s="1"/>
  <c r="C39" i="10"/>
  <c r="D39" i="10" s="1"/>
  <c r="E39" i="10" s="1"/>
  <c r="C32" i="10"/>
  <c r="D32" i="10" s="1"/>
  <c r="E32" i="10" s="1"/>
  <c r="C40" i="10"/>
  <c r="D40" i="10" s="1"/>
  <c r="E40" i="10" s="1"/>
  <c r="C35" i="10"/>
  <c r="D35" i="10" s="1"/>
  <c r="E35" i="10" s="1"/>
  <c r="C43" i="10"/>
  <c r="D43" i="10" s="1"/>
  <c r="E43" i="10" s="1"/>
  <c r="C30" i="10"/>
  <c r="D30" i="10" s="1"/>
  <c r="E30" i="10" s="1"/>
  <c r="C37" i="10"/>
  <c r="D37" i="10" s="1"/>
  <c r="E37" i="10" s="1"/>
  <c r="C45" i="10"/>
  <c r="D45" i="10" s="1"/>
  <c r="E45" i="10" s="1"/>
  <c r="C34" i="10"/>
  <c r="D34" i="10" s="1"/>
  <c r="E34" i="10" s="1"/>
  <c r="C42" i="10"/>
  <c r="D42" i="10" s="1"/>
  <c r="E42" i="10" s="1"/>
  <c r="D90" i="4" l="1"/>
  <c r="D91" i="4" s="1"/>
  <c r="D92" i="4" s="1"/>
  <c r="D93" i="4" s="1"/>
  <c r="D94" i="4" s="1"/>
  <c r="D95" i="4" s="1"/>
  <c r="D96" i="4" s="1"/>
  <c r="D97" i="4" s="1"/>
  <c r="D197" i="4"/>
  <c r="D194" i="4"/>
  <c r="D302" i="4" s="1"/>
  <c r="H9" i="4"/>
  <c r="I9" i="4"/>
  <c r="H189" i="4"/>
  <c r="I189" i="4"/>
  <c r="E48" i="10"/>
  <c r="F11" i="4"/>
  <c r="F46" i="4"/>
  <c r="G46" i="4" s="1"/>
  <c r="F154" i="4"/>
  <c r="G154" i="4" s="1"/>
  <c r="F118" i="4"/>
  <c r="F82" i="4"/>
  <c r="G82" i="4" s="1"/>
  <c r="G10" i="4"/>
  <c r="F190" i="4"/>
  <c r="G190" i="4" s="1"/>
  <c r="H81" i="4"/>
  <c r="I81" i="4"/>
  <c r="G117" i="4"/>
  <c r="F225" i="4"/>
  <c r="G225" i="4" s="1"/>
  <c r="F261" i="4"/>
  <c r="G261" i="4" s="1"/>
  <c r="F297" i="4"/>
  <c r="G297" i="4" s="1"/>
  <c r="L105" i="3"/>
  <c r="D8" i="1" s="1"/>
  <c r="D9" i="1" s="1"/>
  <c r="I6" i="1" s="1"/>
  <c r="L106" i="3"/>
  <c r="D13" i="1" s="1"/>
  <c r="D14" i="1" s="1"/>
  <c r="H153" i="4"/>
  <c r="I153" i="4"/>
  <c r="I45" i="4"/>
  <c r="H45" i="4"/>
  <c r="D305" i="4" l="1"/>
  <c r="I9" i="1"/>
  <c r="F155" i="4"/>
  <c r="G155" i="4" s="1"/>
  <c r="F12" i="4"/>
  <c r="F119" i="4"/>
  <c r="F191" i="4"/>
  <c r="G191" i="4" s="1"/>
  <c r="F83" i="4"/>
  <c r="G83" i="4" s="1"/>
  <c r="G11" i="4"/>
  <c r="F47" i="4"/>
  <c r="G47" i="4" s="1"/>
  <c r="H297" i="4"/>
  <c r="I297" i="4"/>
  <c r="H82" i="4"/>
  <c r="I82" i="4"/>
  <c r="H190" i="4"/>
  <c r="I190" i="4"/>
  <c r="H261" i="4"/>
  <c r="I261" i="4"/>
  <c r="F262" i="4"/>
  <c r="G262" i="4" s="1"/>
  <c r="F226" i="4"/>
  <c r="G226" i="4" s="1"/>
  <c r="F298" i="4"/>
  <c r="G298" i="4" s="1"/>
  <c r="G118" i="4"/>
  <c r="I30" i="10"/>
  <c r="I29" i="10"/>
  <c r="I225" i="4"/>
  <c r="H225" i="4"/>
  <c r="I154" i="4"/>
  <c r="H154" i="4"/>
  <c r="H10" i="4"/>
  <c r="I10" i="4"/>
  <c r="H117" i="4"/>
  <c r="I117" i="4"/>
  <c r="H46" i="4"/>
  <c r="I46" i="4"/>
  <c r="D195" i="4" l="1"/>
  <c r="D303" i="4" s="1"/>
  <c r="I47" i="4"/>
  <c r="H47" i="4"/>
  <c r="H11" i="4"/>
  <c r="I11" i="4"/>
  <c r="H83" i="4"/>
  <c r="I83" i="4"/>
  <c r="H226" i="4"/>
  <c r="I226" i="4"/>
  <c r="I191" i="4"/>
  <c r="H191" i="4"/>
  <c r="H298" i="4"/>
  <c r="I298" i="4"/>
  <c r="F227" i="4"/>
  <c r="G227" i="4" s="1"/>
  <c r="F263" i="4"/>
  <c r="G263" i="4" s="1"/>
  <c r="G119" i="4"/>
  <c r="F299" i="4"/>
  <c r="G299" i="4" s="1"/>
  <c r="G12" i="4"/>
  <c r="F120" i="4"/>
  <c r="F84" i="4"/>
  <c r="G84" i="4" s="1"/>
  <c r="F156" i="4"/>
  <c r="G156" i="4" s="1"/>
  <c r="F13" i="4"/>
  <c r="F192" i="4"/>
  <c r="G192" i="4" s="1"/>
  <c r="F48" i="4"/>
  <c r="G48" i="4" s="1"/>
  <c r="H262" i="4"/>
  <c r="I262" i="4"/>
  <c r="H118" i="4"/>
  <c r="I118" i="4"/>
  <c r="I155" i="4"/>
  <c r="H155" i="4"/>
  <c r="D196" i="4" l="1"/>
  <c r="D304" i="4" s="1"/>
  <c r="I48" i="4"/>
  <c r="H48" i="4"/>
  <c r="I299" i="4"/>
  <c r="H299" i="4"/>
  <c r="H192" i="4"/>
  <c r="I192" i="4"/>
  <c r="F49" i="4"/>
  <c r="G49" i="4" s="1"/>
  <c r="F121" i="4"/>
  <c r="F157" i="4"/>
  <c r="G157" i="4" s="1"/>
  <c r="G13" i="4"/>
  <c r="F85" i="4"/>
  <c r="G85" i="4" s="1"/>
  <c r="F14" i="4"/>
  <c r="F15" i="4" s="1"/>
  <c r="F87" i="4" s="1"/>
  <c r="G87" i="4" s="1"/>
  <c r="F193" i="4"/>
  <c r="G193" i="4" s="1"/>
  <c r="I156" i="4"/>
  <c r="H156" i="4"/>
  <c r="H119" i="4"/>
  <c r="I119" i="4"/>
  <c r="H12" i="4"/>
  <c r="I12" i="4"/>
  <c r="H84" i="4"/>
  <c r="I84" i="4"/>
  <c r="I263" i="4"/>
  <c r="H263" i="4"/>
  <c r="F228" i="4"/>
  <c r="G228" i="4" s="1"/>
  <c r="F264" i="4"/>
  <c r="G264" i="4" s="1"/>
  <c r="F300" i="4"/>
  <c r="G300" i="4" s="1"/>
  <c r="G120" i="4"/>
  <c r="I227" i="4"/>
  <c r="H227" i="4"/>
  <c r="H87" i="4" l="1"/>
  <c r="I87" i="4"/>
  <c r="F16" i="4"/>
  <c r="F88" i="4" s="1"/>
  <c r="G88" i="4" s="1"/>
  <c r="G15" i="4"/>
  <c r="D198" i="4"/>
  <c r="D306" i="4" s="1"/>
  <c r="H157" i="4"/>
  <c r="I157" i="4"/>
  <c r="G121" i="4"/>
  <c r="F229" i="4"/>
  <c r="G229" i="4" s="1"/>
  <c r="F265" i="4"/>
  <c r="G265" i="4" s="1"/>
  <c r="F301" i="4"/>
  <c r="G301" i="4" s="1"/>
  <c r="H120" i="4"/>
  <c r="I120" i="4"/>
  <c r="H49" i="4"/>
  <c r="I49" i="4"/>
  <c r="I13" i="4"/>
  <c r="H13" i="4"/>
  <c r="H300" i="4"/>
  <c r="I300" i="4"/>
  <c r="H264" i="4"/>
  <c r="I264" i="4"/>
  <c r="H228" i="4"/>
  <c r="I228" i="4"/>
  <c r="F158" i="4"/>
  <c r="G158" i="4" s="1"/>
  <c r="F122" i="4"/>
  <c r="F50" i="4"/>
  <c r="G50" i="4" s="1"/>
  <c r="F86" i="4"/>
  <c r="G86" i="4" s="1"/>
  <c r="F194" i="4"/>
  <c r="G194" i="4" s="1"/>
  <c r="G14" i="4"/>
  <c r="I193" i="4"/>
  <c r="H193" i="4"/>
  <c r="H85" i="4"/>
  <c r="I85" i="4"/>
  <c r="H88" i="4" l="1"/>
  <c r="I88" i="4"/>
  <c r="H15" i="4"/>
  <c r="I15" i="4"/>
  <c r="F17" i="4"/>
  <c r="G16" i="4"/>
  <c r="D199" i="4"/>
  <c r="D307" i="4" s="1"/>
  <c r="H86" i="4"/>
  <c r="I86" i="4"/>
  <c r="I265" i="4"/>
  <c r="H265" i="4"/>
  <c r="H121" i="4"/>
  <c r="I121" i="4"/>
  <c r="I158" i="4"/>
  <c r="H158" i="4"/>
  <c r="H50" i="4"/>
  <c r="I50" i="4"/>
  <c r="H229" i="4"/>
  <c r="I229" i="4"/>
  <c r="G122" i="4"/>
  <c r="F230" i="4"/>
  <c r="G230" i="4" s="1"/>
  <c r="F266" i="4"/>
  <c r="G266" i="4" s="1"/>
  <c r="F302" i="4"/>
  <c r="G302" i="4" s="1"/>
  <c r="H14" i="4"/>
  <c r="I14" i="4"/>
  <c r="H194" i="4"/>
  <c r="I194" i="4"/>
  <c r="I301" i="4"/>
  <c r="H301" i="4"/>
  <c r="F89" i="4" l="1"/>
  <c r="G89" i="4" s="1"/>
  <c r="F197" i="4"/>
  <c r="G197" i="4" s="1"/>
  <c r="F161" i="4"/>
  <c r="G161" i="4" s="1"/>
  <c r="F125" i="4"/>
  <c r="F53" i="4"/>
  <c r="G53" i="4" s="1"/>
  <c r="F18" i="4"/>
  <c r="F90" i="4" s="1"/>
  <c r="G90" i="4" s="1"/>
  <c r="G17" i="4"/>
  <c r="I16" i="4"/>
  <c r="H16" i="4"/>
  <c r="D200" i="4"/>
  <c r="D308" i="4" s="1"/>
  <c r="H230" i="4"/>
  <c r="I230" i="4"/>
  <c r="F51" i="4"/>
  <c r="G51" i="4" s="1"/>
  <c r="F159" i="4"/>
  <c r="G159" i="4" s="1"/>
  <c r="F195" i="4"/>
  <c r="G195" i="4" s="1"/>
  <c r="F123" i="4"/>
  <c r="I302" i="4"/>
  <c r="H302" i="4"/>
  <c r="H122" i="4"/>
  <c r="I122" i="4"/>
  <c r="I266" i="4"/>
  <c r="H266" i="4"/>
  <c r="H90" i="4" l="1"/>
  <c r="I90" i="4"/>
  <c r="H53" i="4"/>
  <c r="I53" i="4"/>
  <c r="F305" i="4"/>
  <c r="G305" i="4" s="1"/>
  <c r="F233" i="4"/>
  <c r="G233" i="4" s="1"/>
  <c r="F269" i="4"/>
  <c r="G269" i="4" s="1"/>
  <c r="G125" i="4"/>
  <c r="H161" i="4"/>
  <c r="I161" i="4"/>
  <c r="I197" i="4"/>
  <c r="H197" i="4"/>
  <c r="H89" i="4"/>
  <c r="I89" i="4"/>
  <c r="H17" i="4"/>
  <c r="I17" i="4"/>
  <c r="G18" i="4"/>
  <c r="F19" i="4"/>
  <c r="F91" i="4" s="1"/>
  <c r="G91" i="4" s="1"/>
  <c r="D201" i="4"/>
  <c r="D309" i="4" s="1"/>
  <c r="F124" i="4"/>
  <c r="F160" i="4"/>
  <c r="G160" i="4" s="1"/>
  <c r="F196" i="4"/>
  <c r="G196" i="4" s="1"/>
  <c r="F52" i="4"/>
  <c r="G52" i="4" s="1"/>
  <c r="H51" i="4"/>
  <c r="I51" i="4"/>
  <c r="H195" i="4"/>
  <c r="I195" i="4"/>
  <c r="I159" i="4"/>
  <c r="H159" i="4"/>
  <c r="F303" i="4"/>
  <c r="G303" i="4" s="1"/>
  <c r="G123" i="4"/>
  <c r="F231" i="4"/>
  <c r="G231" i="4" s="1"/>
  <c r="F267" i="4"/>
  <c r="G267" i="4" s="1"/>
  <c r="H125" i="4" l="1"/>
  <c r="I125" i="4"/>
  <c r="H233" i="4"/>
  <c r="I233" i="4"/>
  <c r="H269" i="4"/>
  <c r="I269" i="4"/>
  <c r="H305" i="4"/>
  <c r="I305" i="4"/>
  <c r="H91" i="4"/>
  <c r="I91" i="4"/>
  <c r="F20" i="4"/>
  <c r="F92" i="4" s="1"/>
  <c r="G92" i="4" s="1"/>
  <c r="G19" i="4"/>
  <c r="H18" i="4"/>
  <c r="I18" i="4"/>
  <c r="D202" i="4"/>
  <c r="D310" i="4" s="1"/>
  <c r="H160" i="4"/>
  <c r="I160" i="4"/>
  <c r="H267" i="4"/>
  <c r="I267" i="4"/>
  <c r="G124" i="4"/>
  <c r="F268" i="4"/>
  <c r="G268" i="4" s="1"/>
  <c r="F304" i="4"/>
  <c r="G304" i="4" s="1"/>
  <c r="F232" i="4"/>
  <c r="G232" i="4" s="1"/>
  <c r="H231" i="4"/>
  <c r="I231" i="4"/>
  <c r="F54" i="4"/>
  <c r="G54" i="4" s="1"/>
  <c r="F162" i="4"/>
  <c r="G162" i="4" s="1"/>
  <c r="F126" i="4"/>
  <c r="F198" i="4"/>
  <c r="G198" i="4" s="1"/>
  <c r="H303" i="4"/>
  <c r="I303" i="4"/>
  <c r="I52" i="4"/>
  <c r="H52" i="4"/>
  <c r="H123" i="4"/>
  <c r="I123" i="4"/>
  <c r="I196" i="4"/>
  <c r="H196" i="4"/>
  <c r="H92" i="4" l="1"/>
  <c r="I92" i="4"/>
  <c r="H19" i="4"/>
  <c r="I19" i="4"/>
  <c r="F21" i="4"/>
  <c r="F93" i="4" s="1"/>
  <c r="G93" i="4" s="1"/>
  <c r="G20" i="4"/>
  <c r="D203" i="4"/>
  <c r="D311" i="4" s="1"/>
  <c r="H54" i="4"/>
  <c r="I54" i="4"/>
  <c r="F163" i="4"/>
  <c r="G163" i="4" s="1"/>
  <c r="F127" i="4"/>
  <c r="F55" i="4"/>
  <c r="G55" i="4" s="1"/>
  <c r="F199" i="4"/>
  <c r="G199" i="4" s="1"/>
  <c r="H198" i="4"/>
  <c r="I198" i="4"/>
  <c r="I232" i="4"/>
  <c r="H232" i="4"/>
  <c r="F270" i="4"/>
  <c r="G270" i="4" s="1"/>
  <c r="F234" i="4"/>
  <c r="G234" i="4" s="1"/>
  <c r="F306" i="4"/>
  <c r="G306" i="4" s="1"/>
  <c r="G126" i="4"/>
  <c r="I304" i="4"/>
  <c r="H304" i="4"/>
  <c r="I162" i="4"/>
  <c r="H162" i="4"/>
  <c r="H268" i="4"/>
  <c r="I268" i="4"/>
  <c r="H124" i="4"/>
  <c r="I124" i="4"/>
  <c r="H93" i="4" l="1"/>
  <c r="I93" i="4"/>
  <c r="H20" i="4"/>
  <c r="I20" i="4"/>
  <c r="F22" i="4"/>
  <c r="F94" i="4" s="1"/>
  <c r="G94" i="4" s="1"/>
  <c r="G21" i="4"/>
  <c r="D204" i="4"/>
  <c r="D312" i="4" s="1"/>
  <c r="D205" i="4"/>
  <c r="D313" i="4" s="1"/>
  <c r="H199" i="4"/>
  <c r="I199" i="4"/>
  <c r="I55" i="4"/>
  <c r="H55" i="4"/>
  <c r="H126" i="4"/>
  <c r="I126" i="4"/>
  <c r="F235" i="4"/>
  <c r="G235" i="4" s="1"/>
  <c r="F271" i="4"/>
  <c r="G271" i="4" s="1"/>
  <c r="G127" i="4"/>
  <c r="F307" i="4"/>
  <c r="G307" i="4" s="1"/>
  <c r="H306" i="4"/>
  <c r="I306" i="4"/>
  <c r="I163" i="4"/>
  <c r="H163" i="4"/>
  <c r="I234" i="4"/>
  <c r="H234" i="4"/>
  <c r="H270" i="4"/>
  <c r="I270" i="4"/>
  <c r="F128" i="4"/>
  <c r="F164" i="4"/>
  <c r="G164" i="4" s="1"/>
  <c r="F200" i="4"/>
  <c r="G200" i="4" s="1"/>
  <c r="F56" i="4"/>
  <c r="G56" i="4" s="1"/>
  <c r="I94" i="4" l="1"/>
  <c r="H94" i="4"/>
  <c r="H21" i="4"/>
  <c r="I21" i="4"/>
  <c r="G22" i="4"/>
  <c r="F23" i="4"/>
  <c r="F95" i="4" s="1"/>
  <c r="G95" i="4" s="1"/>
  <c r="I307" i="4"/>
  <c r="H307" i="4"/>
  <c r="H56" i="4"/>
  <c r="I56" i="4"/>
  <c r="I127" i="4"/>
  <c r="H127" i="4"/>
  <c r="G128" i="4"/>
  <c r="F308" i="4"/>
  <c r="G308" i="4" s="1"/>
  <c r="F236" i="4"/>
  <c r="G236" i="4" s="1"/>
  <c r="F272" i="4"/>
  <c r="G272" i="4" s="1"/>
  <c r="H271" i="4"/>
  <c r="I271" i="4"/>
  <c r="F165" i="4"/>
  <c r="G165" i="4" s="1"/>
  <c r="F201" i="4"/>
  <c r="G201" i="4" s="1"/>
  <c r="F129" i="4"/>
  <c r="F57" i="4"/>
  <c r="G57" i="4" s="1"/>
  <c r="I200" i="4"/>
  <c r="H200" i="4"/>
  <c r="I235" i="4"/>
  <c r="H235" i="4"/>
  <c r="H164" i="4"/>
  <c r="I164" i="4"/>
  <c r="H95" i="4" l="1"/>
  <c r="I95" i="4"/>
  <c r="F24" i="4"/>
  <c r="F96" i="4" s="1"/>
  <c r="G96" i="4" s="1"/>
  <c r="G23" i="4"/>
  <c r="H22" i="4"/>
  <c r="I22" i="4"/>
  <c r="I308" i="4"/>
  <c r="H308" i="4"/>
  <c r="H165" i="4"/>
  <c r="I165" i="4"/>
  <c r="H201" i="4"/>
  <c r="I201" i="4"/>
  <c r="H57" i="4"/>
  <c r="I57" i="4"/>
  <c r="G129" i="4"/>
  <c r="F237" i="4"/>
  <c r="G237" i="4" s="1"/>
  <c r="F309" i="4"/>
  <c r="G309" i="4" s="1"/>
  <c r="F273" i="4"/>
  <c r="G273" i="4" s="1"/>
  <c r="I128" i="4"/>
  <c r="H128" i="4"/>
  <c r="H272" i="4"/>
  <c r="I272" i="4"/>
  <c r="F58" i="4"/>
  <c r="G58" i="4" s="1"/>
  <c r="F130" i="4"/>
  <c r="F166" i="4"/>
  <c r="G166" i="4" s="1"/>
  <c r="F202" i="4"/>
  <c r="G202" i="4" s="1"/>
  <c r="H236" i="4"/>
  <c r="I236" i="4"/>
  <c r="H96" i="4" l="1"/>
  <c r="I96" i="4"/>
  <c r="H23" i="4"/>
  <c r="I23" i="4"/>
  <c r="F25" i="4"/>
  <c r="G24" i="4"/>
  <c r="I58" i="4"/>
  <c r="H58" i="4"/>
  <c r="H309" i="4"/>
  <c r="I309" i="4"/>
  <c r="I166" i="4"/>
  <c r="H166" i="4"/>
  <c r="G130" i="4"/>
  <c r="F238" i="4"/>
  <c r="G238" i="4" s="1"/>
  <c r="F310" i="4"/>
  <c r="G310" i="4" s="1"/>
  <c r="F274" i="4"/>
  <c r="G274" i="4" s="1"/>
  <c r="I273" i="4"/>
  <c r="H273" i="4"/>
  <c r="F167" i="4"/>
  <c r="G167" i="4" s="1"/>
  <c r="F131" i="4"/>
  <c r="F59" i="4"/>
  <c r="G59" i="4" s="1"/>
  <c r="F203" i="4"/>
  <c r="G203" i="4" s="1"/>
  <c r="H237" i="4"/>
  <c r="I237" i="4"/>
  <c r="H202" i="4"/>
  <c r="I202" i="4"/>
  <c r="H129" i="4"/>
  <c r="I129" i="4"/>
  <c r="G25" i="4" l="1"/>
  <c r="F97" i="4"/>
  <c r="G97" i="4" s="1"/>
  <c r="H24" i="4"/>
  <c r="I24" i="4"/>
  <c r="H25" i="4"/>
  <c r="I25" i="4"/>
  <c r="I274" i="4"/>
  <c r="H274" i="4"/>
  <c r="F275" i="4"/>
  <c r="G275" i="4" s="1"/>
  <c r="F239" i="4"/>
  <c r="G239" i="4" s="1"/>
  <c r="G131" i="4"/>
  <c r="F311" i="4"/>
  <c r="G311" i="4" s="1"/>
  <c r="I238" i="4"/>
  <c r="H238" i="4"/>
  <c r="H203" i="4"/>
  <c r="I203" i="4"/>
  <c r="I310" i="4"/>
  <c r="H310" i="4"/>
  <c r="F60" i="4"/>
  <c r="G60" i="4" s="1"/>
  <c r="F168" i="4"/>
  <c r="G168" i="4" s="1"/>
  <c r="F132" i="4"/>
  <c r="F204" i="4"/>
  <c r="G204" i="4" s="1"/>
  <c r="H130" i="4"/>
  <c r="I130" i="4"/>
  <c r="H167" i="4"/>
  <c r="I167" i="4"/>
  <c r="H59" i="4"/>
  <c r="I59" i="4"/>
  <c r="H97" i="4" l="1"/>
  <c r="I97" i="4"/>
  <c r="I168" i="4"/>
  <c r="H168" i="4"/>
  <c r="H311" i="4"/>
  <c r="I311" i="4"/>
  <c r="F312" i="4"/>
  <c r="G312" i="4" s="1"/>
  <c r="F276" i="4"/>
  <c r="G276" i="4" s="1"/>
  <c r="F240" i="4"/>
  <c r="G240" i="4" s="1"/>
  <c r="G132" i="4"/>
  <c r="H239" i="4"/>
  <c r="I239" i="4"/>
  <c r="I60" i="4"/>
  <c r="H60" i="4"/>
  <c r="I275" i="4"/>
  <c r="H275" i="4"/>
  <c r="F169" i="4"/>
  <c r="G169" i="4" s="1"/>
  <c r="F61" i="4"/>
  <c r="G61" i="4" s="1"/>
  <c r="F205" i="4"/>
  <c r="G205" i="4" s="1"/>
  <c r="F133" i="4"/>
  <c r="I131" i="4"/>
  <c r="H131" i="4"/>
  <c r="I204" i="4"/>
  <c r="H204" i="4"/>
  <c r="H205" i="4" l="1"/>
  <c r="I205" i="4"/>
  <c r="I312" i="4"/>
  <c r="H312" i="4"/>
  <c r="I132" i="4"/>
  <c r="H132" i="4"/>
  <c r="I240" i="4"/>
  <c r="H240" i="4"/>
  <c r="H276" i="4"/>
  <c r="I276" i="4"/>
  <c r="H169" i="4"/>
  <c r="I169" i="4"/>
  <c r="F241" i="4"/>
  <c r="G241" i="4" s="1"/>
  <c r="F277" i="4"/>
  <c r="G277" i="4" s="1"/>
  <c r="G133" i="4"/>
  <c r="F313" i="4"/>
  <c r="G313" i="4" s="1"/>
  <c r="I61" i="4"/>
  <c r="H61" i="4"/>
  <c r="I277" i="4" l="1"/>
  <c r="H277" i="4"/>
  <c r="H170" i="4"/>
  <c r="D18" i="1" s="1"/>
  <c r="H171" i="4"/>
  <c r="I99" i="4"/>
  <c r="I98" i="4"/>
  <c r="E21" i="1" s="1"/>
  <c r="I171" i="4"/>
  <c r="I170" i="4"/>
  <c r="D22" i="1" s="1"/>
  <c r="H62" i="4"/>
  <c r="D17" i="1" s="1"/>
  <c r="H63" i="4"/>
  <c r="I62" i="4"/>
  <c r="D21" i="1" s="1"/>
  <c r="I22" i="1" s="1"/>
  <c r="I63" i="4"/>
  <c r="I26" i="4"/>
  <c r="C21" i="1" s="1"/>
  <c r="I27" i="4"/>
  <c r="H98" i="4"/>
  <c r="E17" i="1" s="1"/>
  <c r="H99" i="4"/>
  <c r="H26" i="4"/>
  <c r="C17" i="1" s="1"/>
  <c r="H27" i="4"/>
  <c r="H313" i="4"/>
  <c r="I313" i="4"/>
  <c r="I206" i="4"/>
  <c r="E22" i="1" s="1"/>
  <c r="I207" i="4"/>
  <c r="I241" i="4"/>
  <c r="H241" i="4"/>
  <c r="I133" i="4"/>
  <c r="H133" i="4"/>
  <c r="H206" i="4"/>
  <c r="E18" i="1" s="1"/>
  <c r="H207" i="4"/>
  <c r="I242" i="4" l="1"/>
  <c r="C23" i="1" s="1"/>
  <c r="I243" i="4"/>
  <c r="I314" i="4"/>
  <c r="E23" i="1" s="1"/>
  <c r="I315" i="4"/>
  <c r="H314" i="4"/>
  <c r="E19" i="1" s="1"/>
  <c r="H315" i="4"/>
  <c r="I134" i="4"/>
  <c r="C22" i="1" s="1"/>
  <c r="I135" i="4"/>
  <c r="H242" i="4"/>
  <c r="C19" i="1" s="1"/>
  <c r="H243" i="4"/>
  <c r="H134" i="4"/>
  <c r="C18" i="1" s="1"/>
  <c r="H135" i="4"/>
  <c r="H279" i="4"/>
  <c r="H278" i="4"/>
  <c r="D19" i="1" s="1"/>
  <c r="I279" i="4"/>
  <c r="I278" i="4"/>
  <c r="D23" i="1" s="1"/>
  <c r="I14" i="1" l="1"/>
  <c r="I12" i="1"/>
  <c r="I13" i="1"/>
  <c r="I11" i="1"/>
</calcChain>
</file>

<file path=xl/sharedStrings.xml><?xml version="1.0" encoding="utf-8"?>
<sst xmlns="http://schemas.openxmlformats.org/spreadsheetml/2006/main" count="3309" uniqueCount="1545">
  <si>
    <t>Constant Growth DCF</t>
  </si>
  <si>
    <t>X</t>
  </si>
  <si>
    <t>Y</t>
  </si>
  <si>
    <t>Mean Low</t>
  </si>
  <si>
    <t>Mean</t>
  </si>
  <si>
    <t>Mean High</t>
  </si>
  <si>
    <t xml:space="preserve">Constant Growth Mean DCF </t>
  </si>
  <si>
    <t>30-Day Average</t>
  </si>
  <si>
    <t>90-Day Average</t>
  </si>
  <si>
    <t>180-Day Average</t>
  </si>
  <si>
    <t>Constant Growth Median DCF</t>
  </si>
  <si>
    <t>Constant Growth Average</t>
  </si>
  <si>
    <t>Median Low</t>
  </si>
  <si>
    <t>Median</t>
  </si>
  <si>
    <t>Median High</t>
  </si>
  <si>
    <t xml:space="preserve">CAPM </t>
  </si>
  <si>
    <t xml:space="preserve">ECAPM </t>
  </si>
  <si>
    <t>CAPM</t>
  </si>
  <si>
    <t>Risk Premium</t>
  </si>
  <si>
    <t>Current 30-day Average Treasury Bond Yield</t>
  </si>
  <si>
    <t>Near-Term Blue Chip Forecast Yield</t>
  </si>
  <si>
    <t>Long-Term Blue Chip Forecast Yield</t>
  </si>
  <si>
    <t>Value Line Beta</t>
  </si>
  <si>
    <t>Bloomberg Beta</t>
  </si>
  <si>
    <t>Long-term Avg. Beta</t>
  </si>
  <si>
    <t>ECAPM</t>
  </si>
  <si>
    <t xml:space="preserve">Risk Premium </t>
  </si>
  <si>
    <t>Risk Premium Results</t>
  </si>
  <si>
    <t>[1]</t>
  </si>
  <si>
    <t>[2]</t>
  </si>
  <si>
    <t>[3]</t>
  </si>
  <si>
    <t>[4]</t>
  </si>
  <si>
    <t>[5]</t>
  </si>
  <si>
    <t>[6]</t>
  </si>
  <si>
    <t>Company</t>
  </si>
  <si>
    <t>Ticker</t>
  </si>
  <si>
    <t>Dividends</t>
  </si>
  <si>
    <t>S&amp;P Credit Rating Between BBB- and AAA</t>
  </si>
  <si>
    <t>Covered by More Than 1 Analyst</t>
  </si>
  <si>
    <t>Positive Growth Rates from at least two sources (Value Line, Yahoo! First Call, and Zacks)</t>
  </si>
  <si>
    <t>Announced Merger</t>
  </si>
  <si>
    <t>ALLETE, Inc.</t>
  </si>
  <si>
    <t>ALE</t>
  </si>
  <si>
    <t>Yes</t>
  </si>
  <si>
    <t>BBB</t>
  </si>
  <si>
    <t>No</t>
  </si>
  <si>
    <t>Alliant Energy Corporation</t>
  </si>
  <si>
    <t>LNT</t>
  </si>
  <si>
    <t>A-</t>
  </si>
  <si>
    <t>Ameren Corporation</t>
  </si>
  <si>
    <t>AEE</t>
  </si>
  <si>
    <t>BBB+</t>
  </si>
  <si>
    <t>American Electric Power Company, Inc.</t>
  </si>
  <si>
    <t>AEP</t>
  </si>
  <si>
    <t>ATO</t>
  </si>
  <si>
    <t>Avista Corporation</t>
  </si>
  <si>
    <t>AVA</t>
  </si>
  <si>
    <t>CMS Energy Corporation</t>
  </si>
  <si>
    <t>CMS</t>
  </si>
  <si>
    <t>ED</t>
  </si>
  <si>
    <t>Duke Energy Corporation</t>
  </si>
  <si>
    <t>DUK</t>
  </si>
  <si>
    <t>Edison International</t>
  </si>
  <si>
    <t>EIX</t>
  </si>
  <si>
    <t>Entergy Corporation</t>
  </si>
  <si>
    <t>ETR</t>
  </si>
  <si>
    <t>EVRG</t>
  </si>
  <si>
    <t>Eversource Energy</t>
  </si>
  <si>
    <t>ES</t>
  </si>
  <si>
    <t>IDACORP, Inc.</t>
  </si>
  <si>
    <t>IDA</t>
  </si>
  <si>
    <t>NextEra Energy, Inc.</t>
  </si>
  <si>
    <t>NEE</t>
  </si>
  <si>
    <t>NI</t>
  </si>
  <si>
    <t>NorthWestern Corporation</t>
  </si>
  <si>
    <t>NWE</t>
  </si>
  <si>
    <t>OGE Energy Corporation</t>
  </si>
  <si>
    <t>OGE</t>
  </si>
  <si>
    <t>Otter Tail Corporation</t>
  </si>
  <si>
    <t>OTTR</t>
  </si>
  <si>
    <t>Portland General Electric Company</t>
  </si>
  <si>
    <t>POR</t>
  </si>
  <si>
    <t>PEG</t>
  </si>
  <si>
    <t>Southern Company</t>
  </si>
  <si>
    <t>SO</t>
  </si>
  <si>
    <t>WEC</t>
  </si>
  <si>
    <t>Xcel Energy Inc.</t>
  </si>
  <si>
    <t>XEL</t>
  </si>
  <si>
    <t>Notes:</t>
  </si>
  <si>
    <t>[1] Source: Bloomberg Professional</t>
  </si>
  <si>
    <t>[2] Source: Bloomberg Professional</t>
  </si>
  <si>
    <t>[3] Source: Yahoo! Finance and Zacks</t>
  </si>
  <si>
    <t>[4] Source: Yahoo! Finance, Value Line Investment Survey, and Zacks</t>
  </si>
  <si>
    <t>[7]</t>
  </si>
  <si>
    <t>[8]</t>
  </si>
  <si>
    <t>[9]</t>
  </si>
  <si>
    <t>[10]</t>
  </si>
  <si>
    <t>[11]</t>
  </si>
  <si>
    <t>Annualized Dividend</t>
  </si>
  <si>
    <t>Stock
Price</t>
  </si>
  <si>
    <t>Dividend Yield</t>
  </si>
  <si>
    <t>Expected Dividend Yield</t>
  </si>
  <si>
    <t xml:space="preserve">Value Line EPS Growth </t>
  </si>
  <si>
    <t>Yahoo! Finance EPS Growth</t>
  </si>
  <si>
    <t>Zacks EPS Growth</t>
  </si>
  <si>
    <t>Average Growth Rate</t>
  </si>
  <si>
    <t>Low ROE</t>
  </si>
  <si>
    <t>Mean ROE</t>
  </si>
  <si>
    <t>High ROE</t>
  </si>
  <si>
    <t>n/a</t>
  </si>
  <si>
    <t>[3] Equals [1] / [2]</t>
  </si>
  <si>
    <t>[4] Equals [3] x (1 + 0.50 x [8])</t>
  </si>
  <si>
    <t>[5] Source: Value Line</t>
  </si>
  <si>
    <t>[6] Source: Yahoo! Finance</t>
  </si>
  <si>
    <t>[7] Source: Zacks</t>
  </si>
  <si>
    <t>[8] Equals Average ([5], [6], [7])</t>
  </si>
  <si>
    <t>[9] Equals [3] x (1 + 0.50 x Minimum ([5], [6], [7]) + Minimum ([5], [6], [7])</t>
  </si>
  <si>
    <t>[10] Equals [4] + [8]</t>
  </si>
  <si>
    <t>[11] Equals [3] x (1 + 0.50 x Maximum ([5], [6], [7]) + Maximum ([5], [6], [7])</t>
  </si>
  <si>
    <t>CAPITAL ASSET PRICING MODEL -- CURRENT RISK-FREE RATE &amp; VL BETA</t>
  </si>
  <si>
    <t>K = Rf + β (Rm − Rf)</t>
  </si>
  <si>
    <t>K = Rf + 0.25 x (Rm - Rf) + 0.75 x β x (Rm − Rf)</t>
  </si>
  <si>
    <t>Current 30-day average of 30-year U.S. Treasury bond yield</t>
  </si>
  <si>
    <t>Beta (β)</t>
  </si>
  <si>
    <t>Market Return (Rm)</t>
  </si>
  <si>
    <t>Market Risk Premium (Rm − Rf)</t>
  </si>
  <si>
    <t>ROE (K)</t>
  </si>
  <si>
    <t>ECAPM ROE (K)</t>
  </si>
  <si>
    <t>[2] Source: Value Line</t>
  </si>
  <si>
    <t>[4] Equals [3] - [1]</t>
  </si>
  <si>
    <t>[5] Equals [1] + [2] x [4]</t>
  </si>
  <si>
    <t>[6] Equals [1] + 0.25 x ([4]) + 0.75 x ([2] x [4])</t>
  </si>
  <si>
    <t>CAPITAL ASSET PRICING MODEL -- NEAR-TERM PROJECTED RISK-FREE RATE &amp; VL BETA</t>
  </si>
  <si>
    <t>CAPITAL ASSET PRICING MODEL -- LONG-TERM PROJECTED RISK-FREE RATE &amp; VL BETA</t>
  </si>
  <si>
    <t>Projected 30-year U.S. Treasury bond yield 
(2024 - 2028)</t>
  </si>
  <si>
    <t>CAPITAL ASSET PRICING MODEL -- CURRENT RISK-FREE RATE &amp; BLOOMBERG BETA</t>
  </si>
  <si>
    <t>[2] Source: Bloomberg Professional, based on 10-year weekly returns</t>
  </si>
  <si>
    <t>CAPITAL ASSET PRICING MODEL -- NEAR-TERM PROJECTED RISK-FREE RATE &amp; BLOOMBERG BETA</t>
  </si>
  <si>
    <t>CAPITAL ASSET PRICING MODEL -- LONG-TERM PROJECTED RISK-FREE RATE &amp; BLOOMBERG BETA</t>
  </si>
  <si>
    <t>CAPITAL ASSET PRICING MODEL -- CURRENT RISK-FREE RATE &amp; VALUE LINE LT AVERAGE BETA</t>
  </si>
  <si>
    <t>CAPITAL ASSET PRICING MODEL -- NEAR-TERM PROJECTED RISK-FREE RATE &amp; VALUE LINE LT AVERAGE BETA</t>
  </si>
  <si>
    <t>CAPITAL ASSET PRICING MODEL -- LONG-TERM PROJECTED RISK-FREE RATE &amp; VALUE LINE LT BETA</t>
  </si>
  <si>
    <t>Average</t>
  </si>
  <si>
    <t>[1] Value Line, dated December 26, 2013.</t>
  </si>
  <si>
    <t>[2] Value Line, dated December 31, 2014.</t>
  </si>
  <si>
    <t>[3] Value Line, dated December 30, 2015.</t>
  </si>
  <si>
    <t>[4] Value Line, dated December 29, 2016.</t>
  </si>
  <si>
    <t>[5] Value Line, dated December 28, 2017.</t>
  </si>
  <si>
    <t>[6] Value Line, dated December 27, 2018.</t>
  </si>
  <si>
    <t>[7] Value Line, dated December 26, 2019.</t>
  </si>
  <si>
    <t>[8] Value Line, dated December 30, 2020.</t>
  </si>
  <si>
    <t>[9] Value Line, dated December 29, 2021.</t>
  </si>
  <si>
    <t>MARKET RISK PREMIUM DERIVED FROM ANALYSTS' LONG-TERM GROWTH ESTIMATES</t>
  </si>
  <si>
    <t>[1] Estimated Weighted Average Dividend Yield</t>
  </si>
  <si>
    <t>[2] Estimated Weighted Average Long-Term Growth Rate</t>
  </si>
  <si>
    <t>[3] S&amp;P 500 Estimated Required Market Return</t>
  </si>
  <si>
    <t>STANDARD AND POOR'S 500 INDEX</t>
  </si>
  <si>
    <t>Value Line</t>
  </si>
  <si>
    <t xml:space="preserve">Cap-Weighted </t>
  </si>
  <si>
    <t>Shares</t>
  </si>
  <si>
    <t>Market</t>
  </si>
  <si>
    <t>Weight in</t>
  </si>
  <si>
    <t>Estimated</t>
  </si>
  <si>
    <t>Cap-Weighted</t>
  </si>
  <si>
    <t>Long-Term</t>
  </si>
  <si>
    <t>Name</t>
  </si>
  <si>
    <t>Outst'g</t>
  </si>
  <si>
    <t>Price</t>
  </si>
  <si>
    <t>Capitalization</t>
  </si>
  <si>
    <t>Index</t>
  </si>
  <si>
    <t>Growth Est.</t>
  </si>
  <si>
    <t>Agilent Technologies Inc</t>
  </si>
  <si>
    <t>A</t>
  </si>
  <si>
    <t>American Airlines Group Inc</t>
  </si>
  <si>
    <t>AAL</t>
  </si>
  <si>
    <t/>
  </si>
  <si>
    <t>Advance Auto Parts Inc</t>
  </si>
  <si>
    <t>AAP</t>
  </si>
  <si>
    <t>Apple Inc</t>
  </si>
  <si>
    <t>AAPL</t>
  </si>
  <si>
    <t>AbbVie Inc</t>
  </si>
  <si>
    <t>ABBV</t>
  </si>
  <si>
    <t>AmerisourceBergen Corp</t>
  </si>
  <si>
    <t>ABC</t>
  </si>
  <si>
    <t>Abbott Laboratories</t>
  </si>
  <si>
    <t>ABT</t>
  </si>
  <si>
    <t>Accenture PLC</t>
  </si>
  <si>
    <t>ACN</t>
  </si>
  <si>
    <t>Adobe Inc</t>
  </si>
  <si>
    <t>ADBE</t>
  </si>
  <si>
    <t>Analog Devices Inc</t>
  </si>
  <si>
    <t>ADI</t>
  </si>
  <si>
    <t>Archer-Daniels-Midland Co</t>
  </si>
  <si>
    <t>ADM</t>
  </si>
  <si>
    <t>Automatic Data Processing Inc</t>
  </si>
  <si>
    <t>ADP</t>
  </si>
  <si>
    <t>Autodesk Inc</t>
  </si>
  <si>
    <t>ADSK</t>
  </si>
  <si>
    <t>Ameren Corp</t>
  </si>
  <si>
    <t>American Electric Power Co Inc</t>
  </si>
  <si>
    <t>AES Corp/The</t>
  </si>
  <si>
    <t>AES</t>
  </si>
  <si>
    <t>Aflac Inc</t>
  </si>
  <si>
    <t>AFL</t>
  </si>
  <si>
    <t>American International Group Inc</t>
  </si>
  <si>
    <t>AIG</t>
  </si>
  <si>
    <t>Assurant Inc</t>
  </si>
  <si>
    <t>AIZ</t>
  </si>
  <si>
    <t>Arthur J Gallagher &amp; Co</t>
  </si>
  <si>
    <t>AJG</t>
  </si>
  <si>
    <t>Akamai Technologies Inc</t>
  </si>
  <si>
    <t>AKAM</t>
  </si>
  <si>
    <t>Albemarle Corp</t>
  </si>
  <si>
    <t>ALB</t>
  </si>
  <si>
    <t>Align Technology Inc</t>
  </si>
  <si>
    <t>ALGN</t>
  </si>
  <si>
    <t>Alaska Air Group Inc</t>
  </si>
  <si>
    <t>ALK</t>
  </si>
  <si>
    <t>Allstate Corp/The</t>
  </si>
  <si>
    <t>ALL</t>
  </si>
  <si>
    <t>Allegion plc</t>
  </si>
  <si>
    <t>ALLE</t>
  </si>
  <si>
    <t>Applied Materials Inc</t>
  </si>
  <si>
    <t>AMAT</t>
  </si>
  <si>
    <t>Amcor PLC</t>
  </si>
  <si>
    <t>AMCR</t>
  </si>
  <si>
    <t>Advanced Micro Devices Inc</t>
  </si>
  <si>
    <t>AMD</t>
  </si>
  <si>
    <t>AMETEK Inc</t>
  </si>
  <si>
    <t>AME</t>
  </si>
  <si>
    <t>Amgen Inc</t>
  </si>
  <si>
    <t>AMGN</t>
  </si>
  <si>
    <t>Ameriprise Financial Inc</t>
  </si>
  <si>
    <t>AMP</t>
  </si>
  <si>
    <t>American Tower Corp</t>
  </si>
  <si>
    <t>AMT</t>
  </si>
  <si>
    <t>Amazon.com Inc</t>
  </si>
  <si>
    <t>AMZN</t>
  </si>
  <si>
    <t>Arista Networks Inc</t>
  </si>
  <si>
    <t>ANET</t>
  </si>
  <si>
    <t>ANSYS Inc</t>
  </si>
  <si>
    <t>ANSS</t>
  </si>
  <si>
    <t>Aon PLC</t>
  </si>
  <si>
    <t>AON</t>
  </si>
  <si>
    <t>A O Smith Corp</t>
  </si>
  <si>
    <t>AOS</t>
  </si>
  <si>
    <t>APA Corp</t>
  </si>
  <si>
    <t>APA</t>
  </si>
  <si>
    <t>Air Products and Chemicals Inc</t>
  </si>
  <si>
    <t>APD</t>
  </si>
  <si>
    <t>Amphenol Corp</t>
  </si>
  <si>
    <t>APH</t>
  </si>
  <si>
    <t>Aptiv PLC</t>
  </si>
  <si>
    <t>APTV</t>
  </si>
  <si>
    <t>Alexandria Real Estate Equities Inc</t>
  </si>
  <si>
    <t>ARE</t>
  </si>
  <si>
    <t>Atmos Energy Corp</t>
  </si>
  <si>
    <t>Activision Blizzard Inc</t>
  </si>
  <si>
    <t>ATVI</t>
  </si>
  <si>
    <t>AvalonBay Communities Inc</t>
  </si>
  <si>
    <t>AVB</t>
  </si>
  <si>
    <t>Broadcom Inc</t>
  </si>
  <si>
    <t>AVGO</t>
  </si>
  <si>
    <t>Avery Dennison Corp</t>
  </si>
  <si>
    <t>AVY</t>
  </si>
  <si>
    <t>American Water Works Co Inc</t>
  </si>
  <si>
    <t>AWK</t>
  </si>
  <si>
    <t>American Express Co</t>
  </si>
  <si>
    <t>AXP</t>
  </si>
  <si>
    <t>AutoZone Inc</t>
  </si>
  <si>
    <t>AZO</t>
  </si>
  <si>
    <t>Boeing Co/The</t>
  </si>
  <si>
    <t>BA</t>
  </si>
  <si>
    <t>Bank of America Corp</t>
  </si>
  <si>
    <t>BAC</t>
  </si>
  <si>
    <t>Ball Corp</t>
  </si>
  <si>
    <t>BALL</t>
  </si>
  <si>
    <t>Baxter International Inc</t>
  </si>
  <si>
    <t>BAX</t>
  </si>
  <si>
    <t>Bath &amp; Body Works Inc</t>
  </si>
  <si>
    <t>BBWI</t>
  </si>
  <si>
    <t>Best Buy Co Inc</t>
  </si>
  <si>
    <t>BBY</t>
  </si>
  <si>
    <t>Becton Dickinson and Co</t>
  </si>
  <si>
    <t>BDX</t>
  </si>
  <si>
    <t>Franklin Resources Inc</t>
  </si>
  <si>
    <t>BEN</t>
  </si>
  <si>
    <t>Brown-Forman Corp</t>
  </si>
  <si>
    <t>BF/B</t>
  </si>
  <si>
    <t>Biogen Inc</t>
  </si>
  <si>
    <t>BIIB</t>
  </si>
  <si>
    <t>Bio-Rad Laboratories Inc</t>
  </si>
  <si>
    <t>BIO</t>
  </si>
  <si>
    <t>Bank of New York Mellon Corp/The</t>
  </si>
  <si>
    <t>BK</t>
  </si>
  <si>
    <t>Booking Holdings Inc</t>
  </si>
  <si>
    <t>BKNG</t>
  </si>
  <si>
    <t>Baker Hughes Co</t>
  </si>
  <si>
    <t>BKR</t>
  </si>
  <si>
    <t>BlackRock Inc</t>
  </si>
  <si>
    <t>BLK</t>
  </si>
  <si>
    <t>Bristol-Myers Squibb Co</t>
  </si>
  <si>
    <t>BMY</t>
  </si>
  <si>
    <t>Broadridge Financial Solutions Inc</t>
  </si>
  <si>
    <t>BR</t>
  </si>
  <si>
    <t>Berkshire Hathaway Inc</t>
  </si>
  <si>
    <t>BRK/B</t>
  </si>
  <si>
    <t>Brown &amp; Brown Inc</t>
  </si>
  <si>
    <t>BRO</t>
  </si>
  <si>
    <t>Boston Scientific Corp</t>
  </si>
  <si>
    <t>BSX</t>
  </si>
  <si>
    <t>BorgWarner Inc</t>
  </si>
  <si>
    <t>BWA</t>
  </si>
  <si>
    <t>Boston Properties Inc</t>
  </si>
  <si>
    <t>BXP</t>
  </si>
  <si>
    <t>Citigroup Inc</t>
  </si>
  <si>
    <t>C</t>
  </si>
  <si>
    <t>Conagra Brands Inc</t>
  </si>
  <si>
    <t>CAG</t>
  </si>
  <si>
    <t>Cardinal Health Inc</t>
  </si>
  <si>
    <t>CAH</t>
  </si>
  <si>
    <t>Carrier Global Corp</t>
  </si>
  <si>
    <t>CARR</t>
  </si>
  <si>
    <t>Caterpillar Inc</t>
  </si>
  <si>
    <t>CAT</t>
  </si>
  <si>
    <t>Chubb Ltd</t>
  </si>
  <si>
    <t>CB</t>
  </si>
  <si>
    <t>Cboe Global Markets Inc</t>
  </si>
  <si>
    <t>CBOE</t>
  </si>
  <si>
    <t>CBRE Group Inc</t>
  </si>
  <si>
    <t>CBRE</t>
  </si>
  <si>
    <t>CCI</t>
  </si>
  <si>
    <t>Carnival Corp</t>
  </si>
  <si>
    <t>CCL</t>
  </si>
  <si>
    <t>Ceridian HCM Holding Inc</t>
  </si>
  <si>
    <t>CDAY</t>
  </si>
  <si>
    <t>Cadence Design Systems Inc</t>
  </si>
  <si>
    <t>CDNS</t>
  </si>
  <si>
    <t>CDW Corp/DE</t>
  </si>
  <si>
    <t>CDW</t>
  </si>
  <si>
    <t>Celanese Corp</t>
  </si>
  <si>
    <t>CE</t>
  </si>
  <si>
    <t>Constellation Energy Corp</t>
  </si>
  <si>
    <t>CEG</t>
  </si>
  <si>
    <t>CF Industries Holdings Inc</t>
  </si>
  <si>
    <t>CF</t>
  </si>
  <si>
    <t>Citizens Financial Group Inc</t>
  </si>
  <si>
    <t>CFG</t>
  </si>
  <si>
    <t>Church &amp; Dwight Co Inc</t>
  </si>
  <si>
    <t>CHD</t>
  </si>
  <si>
    <t>CH Robinson Worldwide Inc</t>
  </si>
  <si>
    <t>CHRW</t>
  </si>
  <si>
    <t>Charter Communications Inc</t>
  </si>
  <si>
    <t>CHTR</t>
  </si>
  <si>
    <t>Cigna Corp</t>
  </si>
  <si>
    <t>CI</t>
  </si>
  <si>
    <t>Cincinnati Financial Corp</t>
  </si>
  <si>
    <t>CINF</t>
  </si>
  <si>
    <t>Colgate-Palmolive Co</t>
  </si>
  <si>
    <t>CL</t>
  </si>
  <si>
    <t>Clorox Co/The</t>
  </si>
  <si>
    <t>CLX</t>
  </si>
  <si>
    <t>Comerica Inc</t>
  </si>
  <si>
    <t>CMA</t>
  </si>
  <si>
    <t>Comcast Corp</t>
  </si>
  <si>
    <t>CMCSA</t>
  </si>
  <si>
    <t>CME Group Inc</t>
  </si>
  <si>
    <t>CME</t>
  </si>
  <si>
    <t>Chipotle Mexican Grill Inc</t>
  </si>
  <si>
    <t>CMG</t>
  </si>
  <si>
    <t>Cummins Inc</t>
  </si>
  <si>
    <t>CMI</t>
  </si>
  <si>
    <t>CMS Energy Corp</t>
  </si>
  <si>
    <t>Centene Corp</t>
  </si>
  <si>
    <t>CNC</t>
  </si>
  <si>
    <t>CenterPoint Energy Inc</t>
  </si>
  <si>
    <t>CNP</t>
  </si>
  <si>
    <t>Capital One Financial Corp</t>
  </si>
  <si>
    <t>COF</t>
  </si>
  <si>
    <t>Cooper Cos Inc/The</t>
  </si>
  <si>
    <t>COO</t>
  </si>
  <si>
    <t>ConocoPhillips</t>
  </si>
  <si>
    <t>COP</t>
  </si>
  <si>
    <t>Costco Wholesale Corp</t>
  </si>
  <si>
    <t>COST</t>
  </si>
  <si>
    <t>Campbell Soup Co</t>
  </si>
  <si>
    <t>CPB</t>
  </si>
  <si>
    <t>Copart Inc</t>
  </si>
  <si>
    <t>CPRT</t>
  </si>
  <si>
    <t>Camden Property Trust</t>
  </si>
  <si>
    <t>CPT</t>
  </si>
  <si>
    <t>Charles River Laboratories International Inc</t>
  </si>
  <si>
    <t>CRL</t>
  </si>
  <si>
    <t>Salesforce Inc</t>
  </si>
  <si>
    <t>CRM</t>
  </si>
  <si>
    <t>Cisco Systems Inc</t>
  </si>
  <si>
    <t>CSCO</t>
  </si>
  <si>
    <t>CSX Corp</t>
  </si>
  <si>
    <t>CSX</t>
  </si>
  <si>
    <t>Cintas Corp</t>
  </si>
  <si>
    <t>CTAS</t>
  </si>
  <si>
    <t>Catalent Inc</t>
  </si>
  <si>
    <t>CTLT</t>
  </si>
  <si>
    <t>Coterra Energy Inc</t>
  </si>
  <si>
    <t>CTRA</t>
  </si>
  <si>
    <t>Cognizant Technology Solutions Corp</t>
  </si>
  <si>
    <t>CTSH</t>
  </si>
  <si>
    <t>Corteva Inc</t>
  </si>
  <si>
    <t>CTVA</t>
  </si>
  <si>
    <t>CVS Health Corp</t>
  </si>
  <si>
    <t>CVS</t>
  </si>
  <si>
    <t>Chevron Corp</t>
  </si>
  <si>
    <t>CVX</t>
  </si>
  <si>
    <t>Caesars Entertainment Inc</t>
  </si>
  <si>
    <t>CZR</t>
  </si>
  <si>
    <t>Dominion Energy Inc</t>
  </si>
  <si>
    <t>D</t>
  </si>
  <si>
    <t>Delta Air Lines Inc</t>
  </si>
  <si>
    <t>DAL</t>
  </si>
  <si>
    <t>DuPont de Nemours Inc</t>
  </si>
  <si>
    <t>DD</t>
  </si>
  <si>
    <t>Deere &amp; Co</t>
  </si>
  <si>
    <t>DE</t>
  </si>
  <si>
    <t>Discover Financial Services</t>
  </si>
  <si>
    <t>DFS</t>
  </si>
  <si>
    <t>Dollar General Corp</t>
  </si>
  <si>
    <t>DG</t>
  </si>
  <si>
    <t>Quest Diagnostics Inc</t>
  </si>
  <si>
    <t>DGX</t>
  </si>
  <si>
    <t>DR Horton Inc</t>
  </si>
  <si>
    <t>DHI</t>
  </si>
  <si>
    <t>Danaher Corp</t>
  </si>
  <si>
    <t>DHR</t>
  </si>
  <si>
    <t>Walt Disney Co/The</t>
  </si>
  <si>
    <t>DIS</t>
  </si>
  <si>
    <t>DISH Network Corp</t>
  </si>
  <si>
    <t>DISH</t>
  </si>
  <si>
    <t>Digital Realty Trust Inc</t>
  </si>
  <si>
    <t>DLR</t>
  </si>
  <si>
    <t>Dollar Tree Inc</t>
  </si>
  <si>
    <t>DLTR</t>
  </si>
  <si>
    <t>Dover Corp</t>
  </si>
  <si>
    <t>DOV</t>
  </si>
  <si>
    <t>Dow Inc</t>
  </si>
  <si>
    <t>DOW</t>
  </si>
  <si>
    <t>Domino's Pizza Inc</t>
  </si>
  <si>
    <t>DPZ</t>
  </si>
  <si>
    <t>Darden Restaurants Inc</t>
  </si>
  <si>
    <t>DRI</t>
  </si>
  <si>
    <t>DTE Energy Co</t>
  </si>
  <si>
    <t>DTE</t>
  </si>
  <si>
    <t>Duke Energy Corp</t>
  </si>
  <si>
    <t>DaVita Inc</t>
  </si>
  <si>
    <t>DVA</t>
  </si>
  <si>
    <t>Devon Energy Corp</t>
  </si>
  <si>
    <t>DVN</t>
  </si>
  <si>
    <t>DXC Technology Co</t>
  </si>
  <si>
    <t>DXC</t>
  </si>
  <si>
    <t>Dexcom Inc</t>
  </si>
  <si>
    <t>DXCM</t>
  </si>
  <si>
    <t>Electronic Arts Inc</t>
  </si>
  <si>
    <t>EA</t>
  </si>
  <si>
    <t>eBay Inc</t>
  </si>
  <si>
    <t>EBAY</t>
  </si>
  <si>
    <t>Ecolab Inc</t>
  </si>
  <si>
    <t>ECL</t>
  </si>
  <si>
    <t>Consolidated Edison Inc</t>
  </si>
  <si>
    <t>Equifax Inc</t>
  </si>
  <si>
    <t>EFX</t>
  </si>
  <si>
    <t>Estee Lauder Cos Inc/The</t>
  </si>
  <si>
    <t>EL</t>
  </si>
  <si>
    <t>Eastman Chemical Co</t>
  </si>
  <si>
    <t>EMN</t>
  </si>
  <si>
    <t>Emerson Electric Co</t>
  </si>
  <si>
    <t>EMR</t>
  </si>
  <si>
    <t>Enphase Energy Inc</t>
  </si>
  <si>
    <t>ENPH</t>
  </si>
  <si>
    <t>EOG Resources Inc</t>
  </si>
  <si>
    <t>EOG</t>
  </si>
  <si>
    <t>EPAM Systems Inc</t>
  </si>
  <si>
    <t>EPAM</t>
  </si>
  <si>
    <t>Equinix Inc</t>
  </si>
  <si>
    <t>EQIX</t>
  </si>
  <si>
    <t>Equity Residential</t>
  </si>
  <si>
    <t>EQR</t>
  </si>
  <si>
    <t>Essex Property Trust Inc</t>
  </si>
  <si>
    <t>ESS</t>
  </si>
  <si>
    <t>Eaton Corp PLC</t>
  </si>
  <si>
    <t>ETN</t>
  </si>
  <si>
    <t>Entergy Corp</t>
  </si>
  <si>
    <t>Etsy Inc</t>
  </si>
  <si>
    <t>ETSY</t>
  </si>
  <si>
    <t>Evergy Inc</t>
  </si>
  <si>
    <t>Edwards Lifesciences Corp</t>
  </si>
  <si>
    <t>EW</t>
  </si>
  <si>
    <t>Exelon Corp</t>
  </si>
  <si>
    <t>EXC</t>
  </si>
  <si>
    <t>Expeditors International of Washington Inc</t>
  </si>
  <si>
    <t>EXPD</t>
  </si>
  <si>
    <t>Expedia Group Inc</t>
  </si>
  <si>
    <t>EXPE</t>
  </si>
  <si>
    <t>Extra Space Storage Inc</t>
  </si>
  <si>
    <t>EXR</t>
  </si>
  <si>
    <t>Ford Motor Co</t>
  </si>
  <si>
    <t>F</t>
  </si>
  <si>
    <t>Diamondback Energy Inc</t>
  </si>
  <si>
    <t>FANG</t>
  </si>
  <si>
    <t>Fastenal Co</t>
  </si>
  <si>
    <t>FAST</t>
  </si>
  <si>
    <t>Meta Platforms Inc</t>
  </si>
  <si>
    <t>Freeport-McMoRan Inc</t>
  </si>
  <si>
    <t>FCX</t>
  </si>
  <si>
    <t>FactSet Research Systems Inc</t>
  </si>
  <si>
    <t>FDS</t>
  </si>
  <si>
    <t>FedEx Corp</t>
  </si>
  <si>
    <t>FDX</t>
  </si>
  <si>
    <t>FirstEnergy Corp</t>
  </si>
  <si>
    <t>FE</t>
  </si>
  <si>
    <t>F5 Inc</t>
  </si>
  <si>
    <t>FFIV</t>
  </si>
  <si>
    <t>Fidelity National Information Services Inc</t>
  </si>
  <si>
    <t>FIS</t>
  </si>
  <si>
    <t>Fiserv Inc</t>
  </si>
  <si>
    <t>FISV</t>
  </si>
  <si>
    <t>Fifth Third Bancorp</t>
  </si>
  <si>
    <t>FITB</t>
  </si>
  <si>
    <t>FleetCor Technologies Inc</t>
  </si>
  <si>
    <t>FLT</t>
  </si>
  <si>
    <t>FMC Corp</t>
  </si>
  <si>
    <t>FMC</t>
  </si>
  <si>
    <t>Fox Corp</t>
  </si>
  <si>
    <t>FOX</t>
  </si>
  <si>
    <t>FOXA</t>
  </si>
  <si>
    <t>First Republic Bank/CA</t>
  </si>
  <si>
    <t>FRC</t>
  </si>
  <si>
    <t>Federal Realty Investment Trust</t>
  </si>
  <si>
    <t>FRT</t>
  </si>
  <si>
    <t>Fortinet Inc</t>
  </si>
  <si>
    <t>FTNT</t>
  </si>
  <si>
    <t>Fortive Corp</t>
  </si>
  <si>
    <t>FTV</t>
  </si>
  <si>
    <t>General Dynamics Corp</t>
  </si>
  <si>
    <t>GD</t>
  </si>
  <si>
    <t>General Electric Co</t>
  </si>
  <si>
    <t>GE</t>
  </si>
  <si>
    <t>Gilead Sciences Inc</t>
  </si>
  <si>
    <t>GILD</t>
  </si>
  <si>
    <t>General Mills Inc</t>
  </si>
  <si>
    <t>GIS</t>
  </si>
  <si>
    <t>Globe Life Inc</t>
  </si>
  <si>
    <t>GL</t>
  </si>
  <si>
    <t>Corning Inc</t>
  </si>
  <si>
    <t>GLW</t>
  </si>
  <si>
    <t>General Motors Co</t>
  </si>
  <si>
    <t>GM</t>
  </si>
  <si>
    <t>Generac Holdings Inc</t>
  </si>
  <si>
    <t>GNRC</t>
  </si>
  <si>
    <t>Alphabet Inc</t>
  </si>
  <si>
    <t>GOOG</t>
  </si>
  <si>
    <t>GOOGL</t>
  </si>
  <si>
    <t>Genuine Parts Co</t>
  </si>
  <si>
    <t>GPC</t>
  </si>
  <si>
    <t>Global Payments Inc</t>
  </si>
  <si>
    <t>GPN</t>
  </si>
  <si>
    <t>Garmin Ltd</t>
  </si>
  <si>
    <t>GRMN</t>
  </si>
  <si>
    <t>Goldman Sachs Group Inc/The</t>
  </si>
  <si>
    <t>GS</t>
  </si>
  <si>
    <t>WW Grainger Inc</t>
  </si>
  <si>
    <t>GWW</t>
  </si>
  <si>
    <t>Halliburton Co</t>
  </si>
  <si>
    <t>HAL</t>
  </si>
  <si>
    <t>Hasbro Inc</t>
  </si>
  <si>
    <t>HAS</t>
  </si>
  <si>
    <t>Huntington Bancshares Inc/OH</t>
  </si>
  <si>
    <t>HBAN</t>
  </si>
  <si>
    <t>HCA Healthcare Inc</t>
  </si>
  <si>
    <t>HCA</t>
  </si>
  <si>
    <t>Home Depot Inc/The</t>
  </si>
  <si>
    <t>HD</t>
  </si>
  <si>
    <t>Hess Corp</t>
  </si>
  <si>
    <t>HES</t>
  </si>
  <si>
    <t>Hartford Financial Services Group Inc/The</t>
  </si>
  <si>
    <t>HIG</t>
  </si>
  <si>
    <t>Huntington Ingalls Industries Inc</t>
  </si>
  <si>
    <t>HII</t>
  </si>
  <si>
    <t>Hilton Worldwide Holdings Inc</t>
  </si>
  <si>
    <t>HLT</t>
  </si>
  <si>
    <t>Hologic Inc</t>
  </si>
  <si>
    <t>HOLX</t>
  </si>
  <si>
    <t>Honeywell International Inc</t>
  </si>
  <si>
    <t>HON</t>
  </si>
  <si>
    <t>Hewlett Packard Enterprise Co</t>
  </si>
  <si>
    <t>HPE</t>
  </si>
  <si>
    <t>HP Inc</t>
  </si>
  <si>
    <t>HPQ</t>
  </si>
  <si>
    <t>Hormel Foods Corp</t>
  </si>
  <si>
    <t>HRL</t>
  </si>
  <si>
    <t>Henry Schein Inc</t>
  </si>
  <si>
    <t>HSIC</t>
  </si>
  <si>
    <t>Host Hotels &amp; Resorts Inc</t>
  </si>
  <si>
    <t>HST</t>
  </si>
  <si>
    <t>Hershey Co/The</t>
  </si>
  <si>
    <t>HSY</t>
  </si>
  <si>
    <t>Humana Inc</t>
  </si>
  <si>
    <t>HUM</t>
  </si>
  <si>
    <t>Howmet Aerospace Inc</t>
  </si>
  <si>
    <t>HWM</t>
  </si>
  <si>
    <t>International Business Machines Corp</t>
  </si>
  <si>
    <t>IBM</t>
  </si>
  <si>
    <t>Intercontinental Exchange Inc</t>
  </si>
  <si>
    <t>ICE</t>
  </si>
  <si>
    <t>IDEXX Laboratories Inc</t>
  </si>
  <si>
    <t>IDXX</t>
  </si>
  <si>
    <t>IDEX Corp</t>
  </si>
  <si>
    <t>IEX</t>
  </si>
  <si>
    <t>International Flavors &amp; Fragrances Inc</t>
  </si>
  <si>
    <t>IFF</t>
  </si>
  <si>
    <t>Illumina Inc</t>
  </si>
  <si>
    <t>ILMN</t>
  </si>
  <si>
    <t>Incyte Corp</t>
  </si>
  <si>
    <t>INCY</t>
  </si>
  <si>
    <t>Intel Corp</t>
  </si>
  <si>
    <t>INTC</t>
  </si>
  <si>
    <t>Intuit Inc</t>
  </si>
  <si>
    <t>INTU</t>
  </si>
  <si>
    <t>International Paper Co</t>
  </si>
  <si>
    <t>IP</t>
  </si>
  <si>
    <t>Interpublic Group of Cos Inc/The</t>
  </si>
  <si>
    <t>IPG</t>
  </si>
  <si>
    <t>IQVIA Holdings Inc</t>
  </si>
  <si>
    <t>IQV</t>
  </si>
  <si>
    <t>Ingersoll Rand Inc</t>
  </si>
  <si>
    <t>IR</t>
  </si>
  <si>
    <t>Iron Mountain Inc</t>
  </si>
  <si>
    <t>IRM</t>
  </si>
  <si>
    <t>Intuitive Surgical Inc</t>
  </si>
  <si>
    <t>ISRG</t>
  </si>
  <si>
    <t>Gartner Inc</t>
  </si>
  <si>
    <t>IT</t>
  </si>
  <si>
    <t>Illinois Tool Works Inc</t>
  </si>
  <si>
    <t>ITW</t>
  </si>
  <si>
    <t>Invesco Ltd</t>
  </si>
  <si>
    <t>IVZ</t>
  </si>
  <si>
    <t>J</t>
  </si>
  <si>
    <t>JB Hunt Transport Services Inc</t>
  </si>
  <si>
    <t>JBHT</t>
  </si>
  <si>
    <t>Johnson Controls International plc</t>
  </si>
  <si>
    <t>JCI</t>
  </si>
  <si>
    <t>Jack Henry &amp; Associates Inc</t>
  </si>
  <si>
    <t>JKHY</t>
  </si>
  <si>
    <t>Johnson &amp; Johnson</t>
  </si>
  <si>
    <t>JNJ</t>
  </si>
  <si>
    <t>Juniper Networks Inc</t>
  </si>
  <si>
    <t>JNPR</t>
  </si>
  <si>
    <t>JPMorgan Chase &amp; Co</t>
  </si>
  <si>
    <t>JPM</t>
  </si>
  <si>
    <t>Kellogg Co</t>
  </si>
  <si>
    <t>K</t>
  </si>
  <si>
    <t>KeyCorp</t>
  </si>
  <si>
    <t>KEY</t>
  </si>
  <si>
    <t>Keysight Technologies Inc</t>
  </si>
  <si>
    <t>KEYS</t>
  </si>
  <si>
    <t>Kraft Heinz Co/The</t>
  </si>
  <si>
    <t>KHC</t>
  </si>
  <si>
    <t>Kimco Realty Corp</t>
  </si>
  <si>
    <t>KIM</t>
  </si>
  <si>
    <t>KLA Corp</t>
  </si>
  <si>
    <t>KLAC</t>
  </si>
  <si>
    <t>Kimberly-Clark Corp</t>
  </si>
  <si>
    <t>KMB</t>
  </si>
  <si>
    <t>Kinder Morgan Inc</t>
  </si>
  <si>
    <t>KMI</t>
  </si>
  <si>
    <t>CarMax Inc</t>
  </si>
  <si>
    <t>KMX</t>
  </si>
  <si>
    <t>Coca-Cola Co/The</t>
  </si>
  <si>
    <t>KO</t>
  </si>
  <si>
    <t>Kroger Co/The</t>
  </si>
  <si>
    <t>KR</t>
  </si>
  <si>
    <t>Loews Corp</t>
  </si>
  <si>
    <t>L</t>
  </si>
  <si>
    <t>Leidos Holdings Inc</t>
  </si>
  <si>
    <t>LDOS</t>
  </si>
  <si>
    <t>Lennar Corp</t>
  </si>
  <si>
    <t>LEN</t>
  </si>
  <si>
    <t>Laboratory Corp of America Holdings</t>
  </si>
  <si>
    <t>LH</t>
  </si>
  <si>
    <t>L3Harris Technologies Inc</t>
  </si>
  <si>
    <t>LHX</t>
  </si>
  <si>
    <t>Linde PLC</t>
  </si>
  <si>
    <t>LIN</t>
  </si>
  <si>
    <t>LKQ Corp</t>
  </si>
  <si>
    <t>LKQ</t>
  </si>
  <si>
    <t>Eli Lilly &amp; Co</t>
  </si>
  <si>
    <t>LLY</t>
  </si>
  <si>
    <t>Lockheed Martin Corp</t>
  </si>
  <si>
    <t>LMT</t>
  </si>
  <si>
    <t>Lincoln National Corp</t>
  </si>
  <si>
    <t>LNC</t>
  </si>
  <si>
    <t>Alliant Energy Corp</t>
  </si>
  <si>
    <t>Lowe's Cos Inc</t>
  </si>
  <si>
    <t>LOW</t>
  </si>
  <si>
    <t>Lam Research Corp</t>
  </si>
  <si>
    <t>LRCX</t>
  </si>
  <si>
    <t>Lumen Technologies Inc</t>
  </si>
  <si>
    <t>LUMN</t>
  </si>
  <si>
    <t>Southwest Airlines Co</t>
  </si>
  <si>
    <t>LUV</t>
  </si>
  <si>
    <t>Las Vegas Sands Corp</t>
  </si>
  <si>
    <t>LVS</t>
  </si>
  <si>
    <t>Lamb Weston Holdings Inc</t>
  </si>
  <si>
    <t>LW</t>
  </si>
  <si>
    <t>LyondellBasell Industries NV</t>
  </si>
  <si>
    <t>LYB</t>
  </si>
  <si>
    <t>Live Nation Entertainment Inc</t>
  </si>
  <si>
    <t>LYV</t>
  </si>
  <si>
    <t>Mastercard Inc</t>
  </si>
  <si>
    <t>MA</t>
  </si>
  <si>
    <t>Mid-America Apartment Communities Inc</t>
  </si>
  <si>
    <t>MAA</t>
  </si>
  <si>
    <t>Marriott International Inc/MD</t>
  </si>
  <si>
    <t>MAR</t>
  </si>
  <si>
    <t>Masco Corp</t>
  </si>
  <si>
    <t>MAS</t>
  </si>
  <si>
    <t>McDonald's Corp</t>
  </si>
  <si>
    <t>MCD</t>
  </si>
  <si>
    <t>Microchip Technology Inc</t>
  </si>
  <si>
    <t>MCHP</t>
  </si>
  <si>
    <t>McKesson Corp</t>
  </si>
  <si>
    <t>MCK</t>
  </si>
  <si>
    <t>Moody's Corp</t>
  </si>
  <si>
    <t>MCO</t>
  </si>
  <si>
    <t>Mondelez International Inc</t>
  </si>
  <si>
    <t>MDLZ</t>
  </si>
  <si>
    <t>Medtronic PLC</t>
  </si>
  <si>
    <t>MDT</t>
  </si>
  <si>
    <t>MetLife Inc</t>
  </si>
  <si>
    <t>MET</t>
  </si>
  <si>
    <t>MGM Resorts International</t>
  </si>
  <si>
    <t>MGM</t>
  </si>
  <si>
    <t>Mohawk Industries Inc</t>
  </si>
  <si>
    <t>MHK</t>
  </si>
  <si>
    <t>McCormick &amp; Co Inc/MD</t>
  </si>
  <si>
    <t>MKC</t>
  </si>
  <si>
    <t>MarketAxess Holdings Inc</t>
  </si>
  <si>
    <t>MKTX</t>
  </si>
  <si>
    <t>Martin Marietta Materials Inc</t>
  </si>
  <si>
    <t>MLM</t>
  </si>
  <si>
    <t>Marsh &amp; McLennan Cos Inc</t>
  </si>
  <si>
    <t>MMC</t>
  </si>
  <si>
    <t>3M Co</t>
  </si>
  <si>
    <t>MMM</t>
  </si>
  <si>
    <t>Monster Beverage Corp</t>
  </si>
  <si>
    <t>MNST</t>
  </si>
  <si>
    <t>Altria Group Inc</t>
  </si>
  <si>
    <t>MO</t>
  </si>
  <si>
    <t>Molina Healthcare Inc</t>
  </si>
  <si>
    <t>MOH</t>
  </si>
  <si>
    <t>Mosaic Co/The</t>
  </si>
  <si>
    <t>MOS</t>
  </si>
  <si>
    <t>Marathon Petroleum Corp</t>
  </si>
  <si>
    <t>MPC</t>
  </si>
  <si>
    <t>Monolithic Power Systems Inc</t>
  </si>
  <si>
    <t>MPWR</t>
  </si>
  <si>
    <t>Merck &amp; Co Inc</t>
  </si>
  <si>
    <t>MRK</t>
  </si>
  <si>
    <t>Moderna Inc</t>
  </si>
  <si>
    <t>MRNA</t>
  </si>
  <si>
    <t>Marathon Oil Corp</t>
  </si>
  <si>
    <t>MRO</t>
  </si>
  <si>
    <t>Morgan Stanley</t>
  </si>
  <si>
    <t>MS</t>
  </si>
  <si>
    <t>MSCI Inc</t>
  </si>
  <si>
    <t>MSCI</t>
  </si>
  <si>
    <t>Microsoft Corp</t>
  </si>
  <si>
    <t>MSFT</t>
  </si>
  <si>
    <t>Motorola Solutions Inc</t>
  </si>
  <si>
    <t>MSI</t>
  </si>
  <si>
    <t>M&amp;T Bank Corp</t>
  </si>
  <si>
    <t>MTB</t>
  </si>
  <si>
    <t>Match Group Inc</t>
  </si>
  <si>
    <t>MTCH</t>
  </si>
  <si>
    <t>Mettler-Toledo International Inc</t>
  </si>
  <si>
    <t>MTD</t>
  </si>
  <si>
    <t>Micron Technology Inc</t>
  </si>
  <si>
    <t>MU</t>
  </si>
  <si>
    <t>Norwegian Cruise Line Holdings Ltd</t>
  </si>
  <si>
    <t>NCLH</t>
  </si>
  <si>
    <t>Nasdaq Inc</t>
  </si>
  <si>
    <t>NDAQ</t>
  </si>
  <si>
    <t>Nordson Corp</t>
  </si>
  <si>
    <t>NDSN</t>
  </si>
  <si>
    <t>NextEra Energy Inc</t>
  </si>
  <si>
    <t>Newmont Corp</t>
  </si>
  <si>
    <t>NEM</t>
  </si>
  <si>
    <t>Netflix Inc</t>
  </si>
  <si>
    <t>NFLX</t>
  </si>
  <si>
    <t>NiSource Inc</t>
  </si>
  <si>
    <t>NIKE Inc</t>
  </si>
  <si>
    <t>NKE</t>
  </si>
  <si>
    <t>Northrop Grumman Corp</t>
  </si>
  <si>
    <t>NOC</t>
  </si>
  <si>
    <t>ServiceNow Inc</t>
  </si>
  <si>
    <t>NOW</t>
  </si>
  <si>
    <t>NRG Energy Inc</t>
  </si>
  <si>
    <t>NRG</t>
  </si>
  <si>
    <t>Norfolk Southern Corp</t>
  </si>
  <si>
    <t>NSC</t>
  </si>
  <si>
    <t>NetApp Inc</t>
  </si>
  <si>
    <t>NTAP</t>
  </si>
  <si>
    <t>Northern Trust Corp</t>
  </si>
  <si>
    <t>NTRS</t>
  </si>
  <si>
    <t>Nucor Corp</t>
  </si>
  <si>
    <t>NUE</t>
  </si>
  <si>
    <t>NVIDIA Corp</t>
  </si>
  <si>
    <t>NVDA</t>
  </si>
  <si>
    <t>NVR Inc</t>
  </si>
  <si>
    <t>NVR</t>
  </si>
  <si>
    <t>Newell Brands Inc</t>
  </si>
  <si>
    <t>NWL</t>
  </si>
  <si>
    <t>News Corp</t>
  </si>
  <si>
    <t>NWS</t>
  </si>
  <si>
    <t>NWSA</t>
  </si>
  <si>
    <t>NXP Semiconductors NV</t>
  </si>
  <si>
    <t>NXPI</t>
  </si>
  <si>
    <t>Realty Income Corp</t>
  </si>
  <si>
    <t>O</t>
  </si>
  <si>
    <t>Old Dominion Freight Line Inc</t>
  </si>
  <si>
    <t>ODFL</t>
  </si>
  <si>
    <t>Organon &amp; Co</t>
  </si>
  <si>
    <t>OGN</t>
  </si>
  <si>
    <t>ONEOK Inc</t>
  </si>
  <si>
    <t>OKE</t>
  </si>
  <si>
    <t>Omnicom Group Inc</t>
  </si>
  <si>
    <t>OMC</t>
  </si>
  <si>
    <t>Oracle Corp</t>
  </si>
  <si>
    <t>ORCL</t>
  </si>
  <si>
    <t>O'Reilly Automotive Inc</t>
  </si>
  <si>
    <t>ORLY</t>
  </si>
  <si>
    <t>Otis Worldwide Corp</t>
  </si>
  <si>
    <t>OTIS</t>
  </si>
  <si>
    <t>Occidental Petroleum Corp</t>
  </si>
  <si>
    <t>OXY</t>
  </si>
  <si>
    <t>Paramount Global</t>
  </si>
  <si>
    <t>PARA</t>
  </si>
  <si>
    <t>Paycom Software Inc</t>
  </si>
  <si>
    <t>PAYC</t>
  </si>
  <si>
    <t>Paychex Inc</t>
  </si>
  <si>
    <t>PAYX</t>
  </si>
  <si>
    <t>PACCAR Inc</t>
  </si>
  <si>
    <t>PCAR</t>
  </si>
  <si>
    <t>Healthpeak Properties Inc</t>
  </si>
  <si>
    <t>PEAK</t>
  </si>
  <si>
    <t>Public Service Enterprise Group Inc</t>
  </si>
  <si>
    <t>PepsiCo Inc</t>
  </si>
  <si>
    <t>PEP</t>
  </si>
  <si>
    <t>Pfizer Inc</t>
  </si>
  <si>
    <t>PFE</t>
  </si>
  <si>
    <t>Principal Financial Group Inc</t>
  </si>
  <si>
    <t>PFG</t>
  </si>
  <si>
    <t>Procter &amp; Gamble Co/The</t>
  </si>
  <si>
    <t>PG</t>
  </si>
  <si>
    <t>Progressive Corp/The</t>
  </si>
  <si>
    <t>PGR</t>
  </si>
  <si>
    <t>Parker-Hannifin Corp</t>
  </si>
  <si>
    <t>PH</t>
  </si>
  <si>
    <t>PulteGroup Inc</t>
  </si>
  <si>
    <t>PHM</t>
  </si>
  <si>
    <t>Packaging Corp of America</t>
  </si>
  <si>
    <t>PKG</t>
  </si>
  <si>
    <t>PerkinElmer Inc</t>
  </si>
  <si>
    <t>PKI</t>
  </si>
  <si>
    <t>Prologis Inc</t>
  </si>
  <si>
    <t>PLD</t>
  </si>
  <si>
    <t>Philip Morris International Inc</t>
  </si>
  <si>
    <t>PM</t>
  </si>
  <si>
    <t>PNC Financial Services Group Inc/The</t>
  </si>
  <si>
    <t>PNC</t>
  </si>
  <si>
    <t>Pentair PLC</t>
  </si>
  <si>
    <t>PNR</t>
  </si>
  <si>
    <t>Pinnacle West Capital Corp</t>
  </si>
  <si>
    <t>PNW</t>
  </si>
  <si>
    <t>Pool Corp</t>
  </si>
  <si>
    <t>POOL</t>
  </si>
  <si>
    <t>PPG Industries Inc</t>
  </si>
  <si>
    <t>PPG</t>
  </si>
  <si>
    <t>PPL Corp</t>
  </si>
  <si>
    <t>PPL</t>
  </si>
  <si>
    <t>Prudential Financial Inc</t>
  </si>
  <si>
    <t>PRU</t>
  </si>
  <si>
    <t>Public Storage</t>
  </si>
  <si>
    <t>PSA</t>
  </si>
  <si>
    <t>Phillips 66</t>
  </si>
  <si>
    <t>PSX</t>
  </si>
  <si>
    <t>PTC Inc</t>
  </si>
  <si>
    <t>PTC</t>
  </si>
  <si>
    <t>Quanta Services Inc</t>
  </si>
  <si>
    <t>PWR</t>
  </si>
  <si>
    <t>Pioneer Natural Resources Co</t>
  </si>
  <si>
    <t>PXD</t>
  </si>
  <si>
    <t>PayPal Holdings Inc</t>
  </si>
  <si>
    <t>PYPL</t>
  </si>
  <si>
    <t>QUALCOMM Inc</t>
  </si>
  <si>
    <t>QCOM</t>
  </si>
  <si>
    <t>Qorvo Inc</t>
  </si>
  <si>
    <t>QRVO</t>
  </si>
  <si>
    <t>Royal Caribbean Cruises Ltd</t>
  </si>
  <si>
    <t>RCL</t>
  </si>
  <si>
    <t>Everest Re Group Ltd</t>
  </si>
  <si>
    <t>RE</t>
  </si>
  <si>
    <t>Regency Centers Corp</t>
  </si>
  <si>
    <t>REG</t>
  </si>
  <si>
    <t>Regeneron Pharmaceuticals Inc</t>
  </si>
  <si>
    <t>REGN</t>
  </si>
  <si>
    <t>Regions Financial Corp</t>
  </si>
  <si>
    <t>RF</t>
  </si>
  <si>
    <t>Robert Half International Inc</t>
  </si>
  <si>
    <t>RHI</t>
  </si>
  <si>
    <t>Raymond James Financial Inc</t>
  </si>
  <si>
    <t>RJF</t>
  </si>
  <si>
    <t>Ralph Lauren Corp</t>
  </si>
  <si>
    <t>RL</t>
  </si>
  <si>
    <t>ResMed Inc</t>
  </si>
  <si>
    <t>RMD</t>
  </si>
  <si>
    <t>Rockwell Automation Inc</t>
  </si>
  <si>
    <t>ROK</t>
  </si>
  <si>
    <t>Rollins Inc</t>
  </si>
  <si>
    <t>ROL</t>
  </si>
  <si>
    <t>Roper Technologies Inc</t>
  </si>
  <si>
    <t>ROP</t>
  </si>
  <si>
    <t>Ross Stores Inc</t>
  </si>
  <si>
    <t>ROST</t>
  </si>
  <si>
    <t>Republic Services Inc</t>
  </si>
  <si>
    <t>RSG</t>
  </si>
  <si>
    <t>Raytheon Technologies Corp</t>
  </si>
  <si>
    <t>RTX</t>
  </si>
  <si>
    <t>SBA Communications Corp</t>
  </si>
  <si>
    <t>SBAC</t>
  </si>
  <si>
    <t>Signature Bank/New York NY</t>
  </si>
  <si>
    <t>SBNY</t>
  </si>
  <si>
    <t>Starbucks Corp</t>
  </si>
  <si>
    <t>SBUX</t>
  </si>
  <si>
    <t>Charles Schwab Corp/The</t>
  </si>
  <si>
    <t>SCHW</t>
  </si>
  <si>
    <t>SolarEdge Technologies Inc</t>
  </si>
  <si>
    <t>SEDG</t>
  </si>
  <si>
    <t>Sealed Air Corp</t>
  </si>
  <si>
    <t>SEE</t>
  </si>
  <si>
    <t>Sherwin-Williams Co/The</t>
  </si>
  <si>
    <t>SHW</t>
  </si>
  <si>
    <t>SVB Financial Group</t>
  </si>
  <si>
    <t>SIVB</t>
  </si>
  <si>
    <t>J M Smucker Co/The</t>
  </si>
  <si>
    <t>SJM</t>
  </si>
  <si>
    <t>SLB</t>
  </si>
  <si>
    <t>Snap-on Inc</t>
  </si>
  <si>
    <t>SNA</t>
  </si>
  <si>
    <t>Synopsys Inc</t>
  </si>
  <si>
    <t>SNPS</t>
  </si>
  <si>
    <t>Southern Co/The</t>
  </si>
  <si>
    <t>Simon Property Group Inc</t>
  </si>
  <si>
    <t>SPG</t>
  </si>
  <si>
    <t>S&amp;P Global Inc</t>
  </si>
  <si>
    <t>SPGI</t>
  </si>
  <si>
    <t>Sempra Energy</t>
  </si>
  <si>
    <t>SRE</t>
  </si>
  <si>
    <t>STERIS PLC</t>
  </si>
  <si>
    <t>STE</t>
  </si>
  <si>
    <t>State Street Corp</t>
  </si>
  <si>
    <t>STT</t>
  </si>
  <si>
    <t>Seagate Technology Holdings PLC</t>
  </si>
  <si>
    <t>STX</t>
  </si>
  <si>
    <t>Constellation Brands Inc</t>
  </si>
  <si>
    <t>STZ</t>
  </si>
  <si>
    <t>Stanley Black &amp; Decker Inc</t>
  </si>
  <si>
    <t>SWK</t>
  </si>
  <si>
    <t>Skyworks Solutions Inc</t>
  </si>
  <si>
    <t>SWKS</t>
  </si>
  <si>
    <t>Synchrony Financial</t>
  </si>
  <si>
    <t>SYF</t>
  </si>
  <si>
    <t>Stryker Corp</t>
  </si>
  <si>
    <t>SYK</t>
  </si>
  <si>
    <t>Sysco Corp</t>
  </si>
  <si>
    <t>SYY</t>
  </si>
  <si>
    <t>AT&amp;T Inc</t>
  </si>
  <si>
    <t>T</t>
  </si>
  <si>
    <t>Molson Coors Beverage Co</t>
  </si>
  <si>
    <t>TAP</t>
  </si>
  <si>
    <t>TransDigm Group Inc</t>
  </si>
  <si>
    <t>TDG</t>
  </si>
  <si>
    <t>Teledyne Technologies Inc</t>
  </si>
  <si>
    <t>TDY</t>
  </si>
  <si>
    <t>Bio-Techne Corp</t>
  </si>
  <si>
    <t>TECH</t>
  </si>
  <si>
    <t>TE Connectivity Ltd</t>
  </si>
  <si>
    <t>TEL</t>
  </si>
  <si>
    <t>Teradyne Inc</t>
  </si>
  <si>
    <t>TER</t>
  </si>
  <si>
    <t>Truist Financial Corp</t>
  </si>
  <si>
    <t>TFC</t>
  </si>
  <si>
    <t>Teleflex Inc</t>
  </si>
  <si>
    <t>TFX</t>
  </si>
  <si>
    <t>Target Corp</t>
  </si>
  <si>
    <t>TGT</t>
  </si>
  <si>
    <t>TJX Cos Inc/The</t>
  </si>
  <si>
    <t>TJX</t>
  </si>
  <si>
    <t>Thermo Fisher Scientific Inc</t>
  </si>
  <si>
    <t>TMO</t>
  </si>
  <si>
    <t>T-Mobile US Inc</t>
  </si>
  <si>
    <t>TMUS</t>
  </si>
  <si>
    <t>Tapestry Inc</t>
  </si>
  <si>
    <t>TPR</t>
  </si>
  <si>
    <t>Trimble Inc</t>
  </si>
  <si>
    <t>TRMB</t>
  </si>
  <si>
    <t>T Rowe Price Group Inc</t>
  </si>
  <si>
    <t>TROW</t>
  </si>
  <si>
    <t>Travelers Cos Inc/The</t>
  </si>
  <si>
    <t>TRV</t>
  </si>
  <si>
    <t>Tractor Supply Co</t>
  </si>
  <si>
    <t>TSCO</t>
  </si>
  <si>
    <t>Tesla Inc</t>
  </si>
  <si>
    <t>TSLA</t>
  </si>
  <si>
    <t>Tyson Foods Inc</t>
  </si>
  <si>
    <t>TSN</t>
  </si>
  <si>
    <t>Trane Technologies PLC</t>
  </si>
  <si>
    <t>TT</t>
  </si>
  <si>
    <t>Take-Two Interactive Software Inc</t>
  </si>
  <si>
    <t>TTWO</t>
  </si>
  <si>
    <t>Texas Instruments Inc</t>
  </si>
  <si>
    <t>TXN</t>
  </si>
  <si>
    <t>Textron Inc</t>
  </si>
  <si>
    <t>TXT</t>
  </si>
  <si>
    <t>Tyler Technologies Inc</t>
  </si>
  <si>
    <t>TYL</t>
  </si>
  <si>
    <t>United Airlines Holdings Inc</t>
  </si>
  <si>
    <t>UAL</t>
  </si>
  <si>
    <t>UDR Inc</t>
  </si>
  <si>
    <t>UDR</t>
  </si>
  <si>
    <t>Universal Health Services Inc</t>
  </si>
  <si>
    <t>UHS</t>
  </si>
  <si>
    <t>Ulta Beauty Inc</t>
  </si>
  <si>
    <t>ULTA</t>
  </si>
  <si>
    <t>UnitedHealth Group Inc</t>
  </si>
  <si>
    <t>UNH</t>
  </si>
  <si>
    <t>Union Pacific Corp</t>
  </si>
  <si>
    <t>UNP</t>
  </si>
  <si>
    <t>United Parcel Service Inc</t>
  </si>
  <si>
    <t>UPS</t>
  </si>
  <si>
    <t>United Rentals Inc</t>
  </si>
  <si>
    <t>URI</t>
  </si>
  <si>
    <t>US Bancorp</t>
  </si>
  <si>
    <t>USB</t>
  </si>
  <si>
    <t>Visa Inc</t>
  </si>
  <si>
    <t>V</t>
  </si>
  <si>
    <t>VF Corp</t>
  </si>
  <si>
    <t>VFC</t>
  </si>
  <si>
    <t>Valero Energy Corp</t>
  </si>
  <si>
    <t>VLO</t>
  </si>
  <si>
    <t>Vulcan Materials Co</t>
  </si>
  <si>
    <t>VMC</t>
  </si>
  <si>
    <t>Verisk Analytics Inc</t>
  </si>
  <si>
    <t>VRSK</t>
  </si>
  <si>
    <t>VeriSign Inc</t>
  </si>
  <si>
    <t>VRSN</t>
  </si>
  <si>
    <t>Vertex Pharmaceuticals Inc</t>
  </si>
  <si>
    <t>VRTX</t>
  </si>
  <si>
    <t>Ventas Inc</t>
  </si>
  <si>
    <t>VTR</t>
  </si>
  <si>
    <t>Viatris Inc</t>
  </si>
  <si>
    <t>VTRS</t>
  </si>
  <si>
    <t>Verizon Communications Inc</t>
  </si>
  <si>
    <t>VZ</t>
  </si>
  <si>
    <t>Westinghouse Air Brake Technologies Corp</t>
  </si>
  <si>
    <t>WAB</t>
  </si>
  <si>
    <t>Waters Corp</t>
  </si>
  <si>
    <t>WAT</t>
  </si>
  <si>
    <t>Walgreens Boots Alliance Inc</t>
  </si>
  <si>
    <t>WBA</t>
  </si>
  <si>
    <t>Warner Bros Discovery Inc</t>
  </si>
  <si>
    <t>WBD</t>
  </si>
  <si>
    <t>Western Digital Corp</t>
  </si>
  <si>
    <t>WDC</t>
  </si>
  <si>
    <t>WEC Energy Group Inc</t>
  </si>
  <si>
    <t>Welltower Inc</t>
  </si>
  <si>
    <t>WELL</t>
  </si>
  <si>
    <t>Wells Fargo &amp; Co</t>
  </si>
  <si>
    <t>WFC</t>
  </si>
  <si>
    <t>Whirlpool Corp</t>
  </si>
  <si>
    <t>WHR</t>
  </si>
  <si>
    <t>Waste Management Inc</t>
  </si>
  <si>
    <t>WM</t>
  </si>
  <si>
    <t>Williams Cos Inc/The</t>
  </si>
  <si>
    <t>WMB</t>
  </si>
  <si>
    <t>Walmart Inc</t>
  </si>
  <si>
    <t>WMT</t>
  </si>
  <si>
    <t>W R Berkley Corp</t>
  </si>
  <si>
    <t>WRB</t>
  </si>
  <si>
    <t>Westrock Co</t>
  </si>
  <si>
    <t>WRK</t>
  </si>
  <si>
    <t>West Pharmaceutical Services Inc</t>
  </si>
  <si>
    <t>WST</t>
  </si>
  <si>
    <t>Willis Towers Watson PLC</t>
  </si>
  <si>
    <t>WTW</t>
  </si>
  <si>
    <t>Weyerhaeuser Co</t>
  </si>
  <si>
    <t>WY</t>
  </si>
  <si>
    <t>Wynn Resorts Ltd</t>
  </si>
  <si>
    <t>WYNN</t>
  </si>
  <si>
    <t>Xcel Energy Inc</t>
  </si>
  <si>
    <t>Exxon Mobil Corp</t>
  </si>
  <si>
    <t>XOM</t>
  </si>
  <si>
    <t>DENTSPLY SIRONA Inc</t>
  </si>
  <si>
    <t>XRAY</t>
  </si>
  <si>
    <t>Xylem Inc/NY</t>
  </si>
  <si>
    <t>XYL</t>
  </si>
  <si>
    <t>Yum! Brands Inc</t>
  </si>
  <si>
    <t>YUM</t>
  </si>
  <si>
    <t>Zimmer Biomet Holdings Inc</t>
  </si>
  <si>
    <t>ZBH</t>
  </si>
  <si>
    <t>Zebra Technologies Corp</t>
  </si>
  <si>
    <t>ZBRA</t>
  </si>
  <si>
    <t>Zions Bancorp NA</t>
  </si>
  <si>
    <t>ZION</t>
  </si>
  <si>
    <t>Zoetis Inc</t>
  </si>
  <si>
    <t>ZTS</t>
  </si>
  <si>
    <t>[1] Equals sum of Col. [9]</t>
  </si>
  <si>
    <t>[2] Equals sum of Col. [11]</t>
  </si>
  <si>
    <t>[3] Equals ([1] x (1 + (0.5 x [2]))) + [2]</t>
  </si>
  <si>
    <t>[6] Equals [4] x [5]</t>
  </si>
  <si>
    <r>
      <t xml:space="preserve">[7] Equals weight in S&amp;P 500 based on market capitalization [6] if Growth Rate &gt;0% and </t>
    </r>
    <r>
      <rPr>
        <sz val="10"/>
        <color indexed="8"/>
        <rFont val="Calibri"/>
        <family val="2"/>
      </rPr>
      <t>≤</t>
    </r>
    <r>
      <rPr>
        <sz val="10"/>
        <color indexed="8"/>
        <rFont val="Arial"/>
        <family val="2"/>
      </rPr>
      <t>20%</t>
    </r>
  </si>
  <si>
    <t>[9] Equals [7] x [8]</t>
  </si>
  <si>
    <t>[11] Equals [7] x [10]</t>
  </si>
  <si>
    <t>BOND YIELD PLUS RISK PREMIUM</t>
  </si>
  <si>
    <t>Quarter</t>
  </si>
  <si>
    <t>U.S. Govt. 30-year Treasury</t>
  </si>
  <si>
    <t>1992.1</t>
  </si>
  <si>
    <t>1992.2</t>
  </si>
  <si>
    <t>1992.3</t>
  </si>
  <si>
    <t>1992.4</t>
  </si>
  <si>
    <t>1993.1</t>
  </si>
  <si>
    <t>1993.2</t>
  </si>
  <si>
    <t>1993.3</t>
  </si>
  <si>
    <t>1993.4</t>
  </si>
  <si>
    <t>1994.1</t>
  </si>
  <si>
    <t>1994.2</t>
  </si>
  <si>
    <t>1994.3</t>
  </si>
  <si>
    <t>1994.4</t>
  </si>
  <si>
    <t>1995.2</t>
  </si>
  <si>
    <t>1995.3</t>
  </si>
  <si>
    <t>1995.4</t>
  </si>
  <si>
    <t>1996.1</t>
  </si>
  <si>
    <t>SUMMARY OUTPUT</t>
  </si>
  <si>
    <t>1996.2</t>
  </si>
  <si>
    <t>1996.3</t>
  </si>
  <si>
    <t>Regression Statistics</t>
  </si>
  <si>
    <t>1996.4</t>
  </si>
  <si>
    <t>Multiple R</t>
  </si>
  <si>
    <t>1997.1</t>
  </si>
  <si>
    <t>R Square</t>
  </si>
  <si>
    <t>1997.2</t>
  </si>
  <si>
    <t>Adjusted R Square</t>
  </si>
  <si>
    <t>1997.3</t>
  </si>
  <si>
    <t>Standard Error</t>
  </si>
  <si>
    <t>1997.4</t>
  </si>
  <si>
    <t>Observations</t>
  </si>
  <si>
    <t>1998.2</t>
  </si>
  <si>
    <t>ANOVA</t>
  </si>
  <si>
    <t>1998.3</t>
  </si>
  <si>
    <t>df</t>
  </si>
  <si>
    <t>SS</t>
  </si>
  <si>
    <t>Significance F</t>
  </si>
  <si>
    <t>1998.4</t>
  </si>
  <si>
    <t>Regression</t>
  </si>
  <si>
    <t>1999.1</t>
  </si>
  <si>
    <t>Residual</t>
  </si>
  <si>
    <t>1999.2</t>
  </si>
  <si>
    <t>Total</t>
  </si>
  <si>
    <t>1999.4</t>
  </si>
  <si>
    <t>Coefficients</t>
  </si>
  <si>
    <t>t Stat</t>
  </si>
  <si>
    <t>P-value</t>
  </si>
  <si>
    <t>Lower 95%</t>
  </si>
  <si>
    <t>Upper 95%</t>
  </si>
  <si>
    <t>Lower 95.0%</t>
  </si>
  <si>
    <t>Upper 95.0%</t>
  </si>
  <si>
    <t>2000.1</t>
  </si>
  <si>
    <t>Intercept</t>
  </si>
  <si>
    <t>2000.2</t>
  </si>
  <si>
    <t>2000.3</t>
  </si>
  <si>
    <t>2000.4</t>
  </si>
  <si>
    <t>2001.1</t>
  </si>
  <si>
    <t>2001.2</t>
  </si>
  <si>
    <t>U.S. Govt.</t>
  </si>
  <si>
    <t>30-year</t>
  </si>
  <si>
    <t>Risk</t>
  </si>
  <si>
    <t>2001.4</t>
  </si>
  <si>
    <t>Treasury</t>
  </si>
  <si>
    <t>Premium</t>
  </si>
  <si>
    <t>ROE</t>
  </si>
  <si>
    <t>2002.1</t>
  </si>
  <si>
    <t>2002.2</t>
  </si>
  <si>
    <t>Current 30-day average of 30-year U.S. Treasury bond yield [4]</t>
  </si>
  <si>
    <t>2002.3</t>
  </si>
  <si>
    <t>2002.4</t>
  </si>
  <si>
    <t>Blue Chip Long-Term Projected Forecast (2024-2028) [6]</t>
  </si>
  <si>
    <t>2003.1</t>
  </si>
  <si>
    <t>AVERAGE</t>
  </si>
  <si>
    <t>2003.2</t>
  </si>
  <si>
    <t>2003.3</t>
  </si>
  <si>
    <t>2003.4</t>
  </si>
  <si>
    <t>2004.1</t>
  </si>
  <si>
    <t>[2] Source: S&amp;P Capital IQ Pro, quarterly bond yields are the average of each trading day in the quarter</t>
  </si>
  <si>
    <t>2004.2</t>
  </si>
  <si>
    <t>[3] Equals Column [1] − Column [2]</t>
  </si>
  <si>
    <t>2004.3</t>
  </si>
  <si>
    <t>2004.4</t>
  </si>
  <si>
    <t>2005.1</t>
  </si>
  <si>
    <t>2005.2</t>
  </si>
  <si>
    <t xml:space="preserve">[7] See notes [4], [5] &amp; [6] </t>
  </si>
  <si>
    <t>2005.3</t>
  </si>
  <si>
    <t>2005.4</t>
  </si>
  <si>
    <t>[9] Equals Column [7] + Column [8]</t>
  </si>
  <si>
    <t>2006.1</t>
  </si>
  <si>
    <t>2006.2</t>
  </si>
  <si>
    <t>2006.3</t>
  </si>
  <si>
    <t>2006.4</t>
  </si>
  <si>
    <t>2007.1</t>
  </si>
  <si>
    <t>2007.2</t>
  </si>
  <si>
    <t>2007.3</t>
  </si>
  <si>
    <t>2007.4</t>
  </si>
  <si>
    <t>2008.1</t>
  </si>
  <si>
    <t>2008.2</t>
  </si>
  <si>
    <t>2008.3</t>
  </si>
  <si>
    <t>2008.4</t>
  </si>
  <si>
    <t>2009.1</t>
  </si>
  <si>
    <t>2009.2</t>
  </si>
  <si>
    <t>2009.3</t>
  </si>
  <si>
    <t>2009.4</t>
  </si>
  <si>
    <t>2010.1</t>
  </si>
  <si>
    <t>2010.2</t>
  </si>
  <si>
    <t>2010.3</t>
  </si>
  <si>
    <t>2010.4</t>
  </si>
  <si>
    <t>2011.1</t>
  </si>
  <si>
    <t>2011.2</t>
  </si>
  <si>
    <t>2011.3</t>
  </si>
  <si>
    <t>2011.4</t>
  </si>
  <si>
    <t>2012.1</t>
  </si>
  <si>
    <t>2012.2</t>
  </si>
  <si>
    <t>2012.3</t>
  </si>
  <si>
    <t>2012.4</t>
  </si>
  <si>
    <t>2013.1</t>
  </si>
  <si>
    <t>2013.2</t>
  </si>
  <si>
    <t>2013.3</t>
  </si>
  <si>
    <t>2013.4</t>
  </si>
  <si>
    <t>2014.1</t>
  </si>
  <si>
    <t>2014.2</t>
  </si>
  <si>
    <t>2014.3</t>
  </si>
  <si>
    <t>2014.4</t>
  </si>
  <si>
    <t>2015.1</t>
  </si>
  <si>
    <t>2015.2</t>
  </si>
  <si>
    <t>2015.3</t>
  </si>
  <si>
    <t>2015.4</t>
  </si>
  <si>
    <t>2016.1</t>
  </si>
  <si>
    <t>2016.2</t>
  </si>
  <si>
    <t>2016.3</t>
  </si>
  <si>
    <t>2016.4</t>
  </si>
  <si>
    <t>2017.1</t>
  </si>
  <si>
    <t>2017.2</t>
  </si>
  <si>
    <t>2017.3</t>
  </si>
  <si>
    <t>2017.4</t>
  </si>
  <si>
    <t>2018.1</t>
  </si>
  <si>
    <t>2018.2</t>
  </si>
  <si>
    <t>2018.3</t>
  </si>
  <si>
    <t>2018.4</t>
  </si>
  <si>
    <t>2019.1</t>
  </si>
  <si>
    <t>2019.2</t>
  </si>
  <si>
    <t>2019.3</t>
  </si>
  <si>
    <t>2019.4</t>
  </si>
  <si>
    <t>2020.1</t>
  </si>
  <si>
    <t>2020.2</t>
  </si>
  <si>
    <t>MEDIAN</t>
  </si>
  <si>
    <t>PROXY GROUP SCREENING DATA AND RESULTS - PRELIMINARY PROXY GROUP</t>
  </si>
  <si>
    <t>% Regulated Operating Income &gt; 60%</t>
  </si>
  <si>
    <t>Generation Assets Included in Rate Base</t>
  </si>
  <si>
    <t>% Company-Owned Generation &gt; 40%</t>
  </si>
  <si>
    <t>% Regulated Electric Operating Income &gt; 60%</t>
  </si>
  <si>
    <t>[5] Source: S&amp;P Capital IQ Pro</t>
  </si>
  <si>
    <t>[6] Source: S&amp;P Capital IQ Pro</t>
  </si>
  <si>
    <t>[7] Source: Form 10-K's for 2021, 2020, and 2019</t>
  </si>
  <si>
    <t>[8] Source: Form 10-K's for 2021, 2020, and 2019</t>
  </si>
  <si>
    <t>[9] Source: S&amp;P Capital IQ Pro Financial News Releases</t>
  </si>
  <si>
    <t xml:space="preserve">[10] OTTR: 2021 Operating Income Data was excluded from the three year average since, as noted by Otter Tail, 2021 operating income was impacted by the plastics segment that is not expected to continue over the long-term term. </t>
  </si>
  <si>
    <t>Steel Dynamics Inc</t>
  </si>
  <si>
    <t>STLD</t>
  </si>
  <si>
    <t>EQT Corp</t>
  </si>
  <si>
    <t>EQT</t>
  </si>
  <si>
    <t>PG&amp;E Corp</t>
  </si>
  <si>
    <t>PCG</t>
  </si>
  <si>
    <t>Schlumberger Ltd</t>
  </si>
  <si>
    <t>Gen Digital Inc</t>
  </si>
  <si>
    <t>GEN</t>
  </si>
  <si>
    <t>Keurig Dr Pepper Inc</t>
  </si>
  <si>
    <t>KDP</t>
  </si>
  <si>
    <t>ON Semiconductor Corp</t>
  </si>
  <si>
    <t>ON</t>
  </si>
  <si>
    <t>Elevance Health Inc</t>
  </si>
  <si>
    <t>ELV</t>
  </si>
  <si>
    <t>First Solar Inc</t>
  </si>
  <si>
    <t>FSLR</t>
  </si>
  <si>
    <t>Jacobs Solutions Inc</t>
  </si>
  <si>
    <t>VICI Properties Inc</t>
  </si>
  <si>
    <t>VICI</t>
  </si>
  <si>
    <t>CoStar Group Inc</t>
  </si>
  <si>
    <t>CSGP</t>
  </si>
  <si>
    <t>Invitation Homes Inc</t>
  </si>
  <si>
    <t>INVH</t>
  </si>
  <si>
    <t>META</t>
  </si>
  <si>
    <t>Arch Capital Group Ltd</t>
  </si>
  <si>
    <t>ACGL</t>
  </si>
  <si>
    <t>Crown Castle Inc</t>
  </si>
  <si>
    <t>Targa Resources Corp</t>
  </si>
  <si>
    <t>TRGP</t>
  </si>
  <si>
    <t>HISTORICAL BETA - 2013 - 2022</t>
  </si>
  <si>
    <t>[10] Value Line, dated December 30, 2022.</t>
  </si>
  <si>
    <t>[11] Average ([1] - [10])</t>
  </si>
  <si>
    <t>[3] Source: Market Return</t>
  </si>
  <si>
    <t>Near-term projected 30-year U.S. Treasury bond yield 
(Q2 2023 - Q2 2024)</t>
  </si>
  <si>
    <t>[1] Source: Blue Chip Financial Forecasts, Vol. 41, No. 12, December 2, 2022, at 14</t>
  </si>
  <si>
    <t>[2] Source: LT Beta</t>
  </si>
  <si>
    <t>Average Authorized VI Electric ROE</t>
  </si>
  <si>
    <t>Blue Chip Near-Term Projected Forecast (Q2 2023 - Q2 2024) [5]</t>
  </si>
  <si>
    <t>[6] Source: Blue Chip Financial Forecasts, Vol. 41, No. 12, December 2, 2022, at 14</t>
  </si>
  <si>
    <t>EXPECTED EARNINGS ANALYSIS</t>
  </si>
  <si>
    <t>Compound Annual Growth Rate</t>
  </si>
  <si>
    <t>Adjustment Factor</t>
  </si>
  <si>
    <t>Adjusted Return on Common Equity</t>
  </si>
  <si>
    <t xml:space="preserve">Evergy, Inc. </t>
  </si>
  <si>
    <t>[1] Source: Value Line</t>
  </si>
  <si>
    <t>[3] Source: Value Line</t>
  </si>
  <si>
    <t>[4] Equals [2] x [3]</t>
  </si>
  <si>
    <t>[6] Source: Value Line</t>
  </si>
  <si>
    <t>[7] Equals [5] x [6]</t>
  </si>
  <si>
    <t>[8] Equals ([7] / [4]) ^ (1/5) - 1</t>
  </si>
  <si>
    <t>[9] Equals 2 x (1 + [8]) / (2 + [8])</t>
  </si>
  <si>
    <t>[10] Equals [1] x [9]</t>
  </si>
  <si>
    <t>($ Millions)</t>
  </si>
  <si>
    <t>Cap. Ex. /</t>
  </si>
  <si>
    <t>Net Plant</t>
  </si>
  <si>
    <t>Rank</t>
  </si>
  <si>
    <t>Capital Spending per Share</t>
  </si>
  <si>
    <t>Common Shares Outstanding</t>
  </si>
  <si>
    <t>Capital Expenditures</t>
  </si>
  <si>
    <t>PacifiCorp</t>
  </si>
  <si>
    <t>Capital Expenditures [8]</t>
  </si>
  <si>
    <t>Net Plant [9]</t>
  </si>
  <si>
    <t>PacifiCorp CapEx Annual Average</t>
  </si>
  <si>
    <t>Proxy Group Median</t>
  </si>
  <si>
    <t>PacifiCorp as % Proxy Group Median</t>
  </si>
  <si>
    <t xml:space="preserve">[7] Equals (Column [2] + [3] + [4] + [5] + [6]) /  Column [1] </t>
  </si>
  <si>
    <t>[8] Source: Company Provided Data</t>
  </si>
  <si>
    <t>[9] Source: Company Provided Data</t>
  </si>
  <si>
    <t>For Chart</t>
  </si>
  <si>
    <t>X- Axis</t>
  </si>
  <si>
    <t>PacifiCorp/Proxy Group</t>
  </si>
  <si>
    <t>RISK ASSESSMENT</t>
  </si>
  <si>
    <t>Proxy Group Company</t>
  </si>
  <si>
    <t>Test Year</t>
  </si>
  <si>
    <t>Revenue Decoupling</t>
  </si>
  <si>
    <t>Minnesota</t>
  </si>
  <si>
    <t>Electric</t>
  </si>
  <si>
    <t>Fully Forecast</t>
  </si>
  <si>
    <t>Iowa</t>
  </si>
  <si>
    <t>Historical</t>
  </si>
  <si>
    <t>Gas</t>
  </si>
  <si>
    <t>Wisconsin</t>
  </si>
  <si>
    <t>Illinois</t>
  </si>
  <si>
    <t>N/A</t>
  </si>
  <si>
    <t>Partial</t>
  </si>
  <si>
    <t>Missouri</t>
  </si>
  <si>
    <t>Yes - Sharing Band</t>
  </si>
  <si>
    <t>Arkansas</t>
  </si>
  <si>
    <t>Partially Forecast</t>
  </si>
  <si>
    <t>Indiana</t>
  </si>
  <si>
    <t>Kentucky</t>
  </si>
  <si>
    <t>Louisiana</t>
  </si>
  <si>
    <t>Michigan</t>
  </si>
  <si>
    <t>Ohio</t>
  </si>
  <si>
    <t>Oklahoma</t>
  </si>
  <si>
    <t>Tennessee</t>
  </si>
  <si>
    <t>Texas</t>
  </si>
  <si>
    <t>Virginia</t>
  </si>
  <si>
    <t>West Virginia</t>
  </si>
  <si>
    <t>Idaho</t>
  </si>
  <si>
    <t>Full</t>
  </si>
  <si>
    <t>Oregon</t>
  </si>
  <si>
    <t>North Carolina</t>
  </si>
  <si>
    <t>South Carolina</t>
  </si>
  <si>
    <t>Florida</t>
  </si>
  <si>
    <t>Mississippi</t>
  </si>
  <si>
    <t>Evergy, Inc.</t>
  </si>
  <si>
    <t>Kansas</t>
  </si>
  <si>
    <t>Montana</t>
  </si>
  <si>
    <t>Nebraska</t>
  </si>
  <si>
    <t>South Dakota</t>
  </si>
  <si>
    <t>New Mexico</t>
  </si>
  <si>
    <t>Alabama</t>
  </si>
  <si>
    <t>Georgia</t>
  </si>
  <si>
    <t>Colorado</t>
  </si>
  <si>
    <t>North Dakota</t>
  </si>
  <si>
    <t>Capital Cost Recovery</t>
  </si>
  <si>
    <t>Proxy Group Average</t>
  </si>
  <si>
    <t>Forecast</t>
  </si>
  <si>
    <t>CCRM</t>
  </si>
  <si>
    <t>CAPITAL STRUCTURE ANALYSIS</t>
  </si>
  <si>
    <t>ALLETE (Minnesota Power)</t>
  </si>
  <si>
    <t>Idaho Power Co.</t>
  </si>
  <si>
    <t>[2] Source: Bloomberg Professional, equals 30-day average as of January 31, 2023</t>
  </si>
  <si>
    <t>[2] Source: Bloomberg Professional, equals 90-day average as of January 31, 2023</t>
  </si>
  <si>
    <t>[2] Source: Bloomberg Professional, equals 180-day average as of January 31, 2023</t>
  </si>
  <si>
    <t>GE HealthCare Technologies Inc</t>
  </si>
  <si>
    <t>GEHC</t>
  </si>
  <si>
    <t>[1] Source: Bloomberg Professional, as of Janaury 31, 2023</t>
  </si>
  <si>
    <t>[1] Source: Blue Chip Financial Forecasts, Vol. 42, No. 2, February 1, 2023, at 2</t>
  </si>
  <si>
    <t>[1] Source: Regulatory Research Associates, rate cases through January 31, 2023</t>
  </si>
  <si>
    <t>[5] Source: Blue Chip Financial Forecasts, Vol. 42, No. 2, February 1, 2022, at 2</t>
  </si>
  <si>
    <t>NMF</t>
  </si>
  <si>
    <t>Value Line ROE
2025-2027</t>
  </si>
  <si>
    <t>Value Line
Total Capital
2025-2027</t>
  </si>
  <si>
    <t>Value Line
Common Equity Ratio
2025-2027</t>
  </si>
  <si>
    <t>Total Equity 
2025-2027</t>
  </si>
  <si>
    <t>Value Line
Total Capital
2021</t>
  </si>
  <si>
    <t>Value Line
Common Equity Ratio 
2021</t>
  </si>
  <si>
    <t>Total Equity 
2021</t>
  </si>
  <si>
    <t>2023-27</t>
  </si>
  <si>
    <t>Operating Subsidiary</t>
  </si>
  <si>
    <t>Jurisdiction</t>
  </si>
  <si>
    <t>Service</t>
  </si>
  <si>
    <t>Non-Volumetric Rate Design</t>
  </si>
  <si>
    <t>Formula-based rates</t>
  </si>
  <si>
    <t>Straight Fixed-Variable Rate Design</t>
  </si>
  <si>
    <t>Interstate Power &amp; Light Co.</t>
  </si>
  <si>
    <t>Wisconsin Power &amp; Light Co.</t>
  </si>
  <si>
    <t>Ameren Illinois Co.</t>
  </si>
  <si>
    <t>Union Electric Co.</t>
  </si>
  <si>
    <t>Southwestern Electric Power Co.</t>
  </si>
  <si>
    <t>Indiana Michigan Power Co.</t>
  </si>
  <si>
    <t>Kentucky Power Co.</t>
  </si>
  <si>
    <t>Ohio Power Co.</t>
  </si>
  <si>
    <t>Public Service Co. of Oklahoma</t>
  </si>
  <si>
    <t>Kingsport Power Co.</t>
  </si>
  <si>
    <t>AEP Texas</t>
  </si>
  <si>
    <t>Appalachian Power Co.</t>
  </si>
  <si>
    <t>Appalachian Power Co./Wheeling Power Co.</t>
  </si>
  <si>
    <t>Duke Energy Florida LLC</t>
  </si>
  <si>
    <t>Duke Energy Indiana LLC</t>
  </si>
  <si>
    <t>Duke Energy Kentucky Inc.</t>
  </si>
  <si>
    <t>Duke Energy Carolinas LLC/Duke Energy Progress LLC</t>
  </si>
  <si>
    <t>Piedmont Natural Gas Co. Inc.</t>
  </si>
  <si>
    <t>Duke Energy Ohio Inc.</t>
  </si>
  <si>
    <t>Entergy Arkansas LLC</t>
  </si>
  <si>
    <t>Entergy New Orleans LLC</t>
  </si>
  <si>
    <t>Louisiana-NOCC</t>
  </si>
  <si>
    <t>Entergy Louisiana LLC</t>
  </si>
  <si>
    <t>Entergy Mississippi LLC</t>
  </si>
  <si>
    <t>Entergy Texas Inc.</t>
  </si>
  <si>
    <t>Evergy Kansas Central Inc</t>
  </si>
  <si>
    <t>Evergy Metro Inc.</t>
  </si>
  <si>
    <t>Evergy Metro Inc</t>
  </si>
  <si>
    <t>Evergy Missouri West Inc.</t>
  </si>
  <si>
    <t>Florida Power &amp; Light Co.</t>
  </si>
  <si>
    <t>Pivotal Utility Holdings Inc.</t>
  </si>
  <si>
    <t xml:space="preserve">Lone Star Transmission LLC </t>
  </si>
  <si>
    <t>Portland General Electric Co.</t>
  </si>
  <si>
    <t>Public Service Co. of Colorado</t>
  </si>
  <si>
    <t>Northern States Power Co.-Minnesota</t>
  </si>
  <si>
    <t xml:space="preserve">Southwestern Public Service Co. </t>
  </si>
  <si>
    <t>Southwestern Public Service Co.</t>
  </si>
  <si>
    <t>Northern States Power Co.-Wisconsin</t>
  </si>
  <si>
    <t>Alabama Power Co.</t>
  </si>
  <si>
    <t>Northern Illinois Gas Co.</t>
  </si>
  <si>
    <t>Mississippi Power Co.</t>
  </si>
  <si>
    <t>Chattanooga Gas Co.</t>
  </si>
  <si>
    <t>Virginia Natural Gas Inc.</t>
  </si>
  <si>
    <t xml:space="preserve">Georgia Power Co. </t>
  </si>
  <si>
    <t xml:space="preserve">Atlanta Gas &amp; Light Co. </t>
  </si>
  <si>
    <t>Electric fuel/gas commodity/purchase power</t>
  </si>
  <si>
    <t>Traditional Generation</t>
  </si>
  <si>
    <t>Renewables/Non-Traditional Generation</t>
  </si>
  <si>
    <t>Delivery Infrastructure</t>
  </si>
  <si>
    <t>Environmental Compliance</t>
  </si>
  <si>
    <t>Oklahoma Gas and Electric Co.</t>
  </si>
  <si>
    <t>Oklahoma Gas &amp; Electric Co.</t>
  </si>
  <si>
    <t>Otter Tail Power Co.</t>
  </si>
  <si>
    <t>Yes/N/A</t>
  </si>
  <si>
    <t>NVRD</t>
  </si>
  <si>
    <t>[1] Sources: S&amp;P Global Market Intelligence, Regulatory Focus: Adjustment Clauses, dated July 18, 2022. Operating subsidiaries not covered in this report were excluded from this exhibit.</t>
  </si>
  <si>
    <t>[2] Sources: Regulatory Research Associates, effective as of September 30, 2022</t>
  </si>
  <si>
    <t>[3] Sources: S&amp;P Global Market Intelligence, Regulatory Focus: Adjustment Clauses, dated July 18, 2022.</t>
  </si>
  <si>
    <t>[4] Sources: Company Form 10-K, Company Tariffs, S&amp;P Capital IQ Pro</t>
  </si>
  <si>
    <t>[5] Sources: S&amp;P Global Market Intelligence, Regulatory Focus: Adjustment Clauses, dated July 18, 2022.</t>
  </si>
  <si>
    <t>[6] Equals IF( AND( [3]=No, [4]=No, [5]=No), No, Yes)</t>
  </si>
  <si>
    <t>[7] Sources: S&amp;P Global Market Intelligence, Regulatory Focus: Adjustment Clauses, dated July 18, 2022.</t>
  </si>
  <si>
    <t>[8] Sources: S&amp;P Global Market Intelligence, Regulatory Focus: Adjustment Clauses, dated July 18, 2022.</t>
  </si>
  <si>
    <t>[9] Sources: S&amp;P Global Market Intelligence, Regulatory Focus: Adjustment Clauses, dated July 18, 2022.</t>
  </si>
  <si>
    <t>[10] Sources: S&amp;P Global Market Intelligence, Regulatory Focus: Adjustment Clauses, dated July 18, 2022.</t>
  </si>
  <si>
    <t>[11] Equals IF( AND( [7]=No, [8]=No, [9]=No, [10]=No), No, Yes)</t>
  </si>
  <si>
    <t>CMS Energy</t>
  </si>
  <si>
    <t>Consumers Energy</t>
  </si>
  <si>
    <t>Most Recent 8 Quarters (2020Q4 - 2022Q3)</t>
  </si>
  <si>
    <t>Common</t>
  </si>
  <si>
    <t>Preferred</t>
  </si>
  <si>
    <t>Equity</t>
  </si>
  <si>
    <t>Debt</t>
  </si>
  <si>
    <t>Ratio</t>
  </si>
  <si>
    <t>The Southern Company</t>
  </si>
  <si>
    <t>Maximum</t>
  </si>
  <si>
    <t>Minimum</t>
  </si>
  <si>
    <t>[1] Ratios are weighted by actual common capital, preferred capital, long-term debt and short-term debt of the operating subsidiaries.</t>
  </si>
  <si>
    <t xml:space="preserve">[2] Electric and Natural Gas operating subsidiaries with data listed as N/A from S&amp;P Capital IQ have been excluded from the analysis.  </t>
  </si>
  <si>
    <t>Low End ROE Recommendation</t>
  </si>
  <si>
    <t>High End ROE Recommendation</t>
  </si>
  <si>
    <t>Recommended ROE</t>
  </si>
  <si>
    <t xml:space="preserve">COMPARISON OF PACIFICORP AND PROXY GROUP COMPANIES  </t>
  </si>
  <si>
    <t>PacifiCorp [12]</t>
  </si>
  <si>
    <t xml:space="preserve">[12] Data provided by PacifiCorp. </t>
  </si>
  <si>
    <t>[4] Source: Bloomberg Professional as of January 31, 2023</t>
  </si>
  <si>
    <t>[5] Source: Bloomberg Professional as of January 31, 2023</t>
  </si>
  <si>
    <t>[8] Source: Bloomberg Professional, as of Janaury 31, 2023</t>
  </si>
  <si>
    <t>[10] Source: Value Line, as of January 31, 2023</t>
  </si>
  <si>
    <t>[4] Source: S&amp;P Capital IQ Pro, 30-day average as of January 31, 2023</t>
  </si>
  <si>
    <t>PacifiCorp CapEx Total (2023 - 2027)</t>
  </si>
  <si>
    <t>[1] - [6] Source: Value Line, dated November 11, 2022, December 9, 2022, January 20, 2023.</t>
  </si>
  <si>
    <t>2023-2027 CAPITAL EXPENDITURES AS A PERCENT OF 2022 NET PLANT</t>
  </si>
  <si>
    <t>Projected CAPEX / 2022 Net Plant</t>
  </si>
  <si>
    <t>2023-2027</t>
  </si>
  <si>
    <t>Expected Earnings Results</t>
  </si>
  <si>
    <t>Expected Earnings</t>
  </si>
  <si>
    <t>SUMMARY OF COE ANALYSES RESULTS</t>
  </si>
  <si>
    <t>Alaska Electric Light and Power Co.</t>
  </si>
  <si>
    <t>Avista Corp.</t>
  </si>
  <si>
    <t>Alaska</t>
  </si>
  <si>
    <t>Washington</t>
  </si>
  <si>
    <t>30-DAY CONSTANT GROWTH DCF -- PACIFICORP PROXY GROUP</t>
  </si>
  <si>
    <t>90-DAY CONSTANT GROWTH DCF -- PACIFICORP PROXY GROUP</t>
  </si>
  <si>
    <t>180-DAY CONSTANT GROWTH DCF -- PACIFICORP PROXY GROUP</t>
  </si>
  <si>
    <t>Source: Exhibit No. AEB-12, pages 1-2 col.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</si>
</sst>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quot;[&quot;#&quot;]&quot;"/>
    <numFmt numFmtId="166" formatCode="&quot;$&quot;#,##0.00"/>
    <numFmt numFmtId="167" formatCode="0.0000000%"/>
    <numFmt numFmtId="168" formatCode="0.0000000"/>
    <numFmt numFmtId="169" formatCode="_(* #,##0.0000_);_(* \(#,##0.0000\);_(* &quot;-&quot;??_);_(@_)"/>
    <numFmt numFmtId="170" formatCode="0.000"/>
    <numFmt numFmtId="171" formatCode="_(* #,##0_);_(* \(#,##0\);_(* &quot;-&quot;??_);_(@_)"/>
    <numFmt numFmtId="172" formatCode="&quot;$&quot;#,##0.0"/>
    <numFmt numFmtId="173" formatCode="0.0%"/>
    <numFmt numFmtId="174" formatCode="_(* #,##0.00000_);_(* \(#,##0.00000\);_(* &quot;-&quot;??_);_(@_)"/>
    <numFmt numFmtId="175" formatCode="_(* #,##0.0000000_);_(* \(#,##0.0000000\);_(* &quot;-&quot;??_);_(@_)"/>
  </numFmts>
  <fonts count="20" x14ac:knownFonts="1">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b/>
      <i/>
      <sz val="10"/>
      <color rgb="FF000000"/>
      <name val="Arial"/>
      <family val="2"/>
    </font>
    <font>
      <sz val="10"/>
      <color theme="1"/>
      <name val="Arial"/>
      <family val="2"/>
    </font>
    <font>
      <sz val="11"/>
      <color theme="1"/>
      <name val="Arial"/>
      <family val="2"/>
    </font>
    <font>
      <sz val="12"/>
      <color theme="1"/>
      <name val="Calibri"/>
      <family val="2"/>
      <scheme val="minor"/>
    </font>
    <font>
      <b/>
      <sz val="10"/>
      <color theme="1"/>
      <name val="Arial"/>
      <family val="2"/>
    </font>
    <font>
      <sz val="10"/>
      <color rgb="FFFF0000"/>
      <name val="Arial"/>
      <family val="2"/>
    </font>
    <font>
      <sz val="10"/>
      <color indexed="8"/>
      <name val="Arial"/>
      <family val="2"/>
    </font>
    <font>
      <sz val="10"/>
      <color rgb="FF0000FF"/>
      <name val="Arial"/>
      <family val="2"/>
    </font>
    <font>
      <sz val="10"/>
      <color indexed="8"/>
      <name val="Calibri"/>
      <family val="2"/>
    </font>
    <font>
      <i/>
      <sz val="10"/>
      <name val="Arial"/>
      <family val="2"/>
    </font>
    <font>
      <sz val="10"/>
      <name val="Times New Roman"/>
      <family val="1"/>
    </font>
    <font>
      <sz val="12"/>
      <color theme="1"/>
      <name val="Times New Roman"/>
      <family val="1"/>
    </font>
    <font>
      <sz val="10"/>
      <color theme="0"/>
      <name val="Arial"/>
      <family val="2"/>
    </font>
    <font>
      <u/>
      <sz val="10"/>
      <color theme="1"/>
      <name val="Arial"/>
      <family val="2"/>
    </font>
    <font>
      <sz val="12"/>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style="medium">
        <color auto="1"/>
      </top>
      <bottom style="thin">
        <color auto="1"/>
      </bottom>
      <diagonal/>
    </border>
    <border>
      <left/>
      <right/>
      <top/>
      <bottom style="medium">
        <color auto="1"/>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medium">
        <color auto="1"/>
      </top>
      <bottom/>
      <diagonal/>
    </border>
    <border>
      <left/>
      <right/>
      <top style="thin">
        <color indexed="64"/>
      </top>
      <bottom style="medium">
        <color indexed="64"/>
      </bottom>
      <diagonal/>
    </border>
    <border>
      <left/>
      <right/>
      <top style="double">
        <color auto="1"/>
      </top>
      <bottom style="thin">
        <color indexed="64"/>
      </bottom>
      <diagonal/>
    </border>
  </borders>
  <cellStyleXfs count="3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6" fillId="0" borderId="0"/>
    <xf numFmtId="0" fontId="6" fillId="0" borderId="0"/>
    <xf numFmtId="0" fontId="8" fillId="0" borderId="0"/>
    <xf numFmtId="9" fontId="8" fillId="0" borderId="0" applyFont="0" applyFill="0" applyBorder="0" applyAlignment="0" applyProtection="0"/>
    <xf numFmtId="0" fontId="6"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0" fontId="1" fillId="0" borderId="0" applyNumberFormat="0" applyBorder="0" applyProtection="0">
      <alignment vertical="center"/>
    </xf>
    <xf numFmtId="0" fontId="2" fillId="0" borderId="0"/>
    <xf numFmtId="9" fontId="2" fillId="0" borderId="0" applyFont="0" applyFill="0" applyBorder="0" applyAlignment="0" applyProtection="0"/>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xf numFmtId="0" fontId="15"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1" fillId="0" borderId="0" applyFont="0" applyFill="0" applyBorder="0" applyAlignment="0" applyProtection="0"/>
    <xf numFmtId="0" fontId="6" fillId="0" borderId="0"/>
    <xf numFmtId="0" fontId="2" fillId="0" borderId="0"/>
    <xf numFmtId="0" fontId="1" fillId="0" borderId="0"/>
    <xf numFmtId="0" fontId="2" fillId="0" borderId="0"/>
    <xf numFmtId="0" fontId="6"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380">
    <xf numFmtId="0" fontId="0" fillId="0" borderId="0" xfId="0"/>
    <xf numFmtId="0" fontId="2" fillId="0" borderId="0" xfId="3" applyAlignment="1">
      <alignment horizontal="center" wrapText="1"/>
    </xf>
    <xf numFmtId="0" fontId="2" fillId="0" borderId="0" xfId="3" applyAlignment="1">
      <alignment wrapText="1"/>
    </xf>
    <xf numFmtId="0" fontId="3" fillId="0" borderId="0" xfId="3" applyFont="1" applyAlignment="1">
      <alignment horizontal="center" vertical="center" wrapText="1"/>
    </xf>
    <xf numFmtId="0" fontId="2" fillId="0" borderId="0" xfId="3" applyAlignment="1">
      <alignment horizontal="center" vertical="center" wrapText="1"/>
    </xf>
    <xf numFmtId="0" fontId="2" fillId="0" borderId="0" xfId="4" applyAlignment="1">
      <alignment horizontal="center" vertical="center" wrapText="1"/>
    </xf>
    <xf numFmtId="0" fontId="2" fillId="0" borderId="0" xfId="4" applyAlignment="1">
      <alignment horizontal="right" vertical="center"/>
    </xf>
    <xf numFmtId="10" fontId="2" fillId="0" borderId="0" xfId="4" applyNumberFormat="1" applyAlignment="1">
      <alignment horizontal="center" vertical="center" wrapText="1"/>
    </xf>
    <xf numFmtId="164" fontId="2" fillId="0" borderId="0" xfId="4" applyNumberFormat="1" applyAlignment="1">
      <alignment horizontal="center" vertical="center" wrapText="1"/>
    </xf>
    <xf numFmtId="10" fontId="2" fillId="0" borderId="0" xfId="3" applyNumberFormat="1" applyAlignment="1">
      <alignment horizontal="center" vertical="center" wrapText="1"/>
    </xf>
    <xf numFmtId="43" fontId="2" fillId="0" borderId="0" xfId="5" applyFont="1" applyFill="1" applyBorder="1" applyAlignment="1">
      <alignment horizontal="right" vertical="center" wrapText="1"/>
    </xf>
    <xf numFmtId="10" fontId="2" fillId="0" borderId="0" xfId="4" applyNumberFormat="1" applyAlignment="1">
      <alignment horizontal="right" vertical="center"/>
    </xf>
    <xf numFmtId="0" fontId="2" fillId="0" borderId="0" xfId="4"/>
    <xf numFmtId="0" fontId="2" fillId="0" borderId="0" xfId="3"/>
    <xf numFmtId="0" fontId="5" fillId="0" borderId="0" xfId="3" applyFont="1" applyAlignment="1">
      <alignment horizontal="center" vertical="center" wrapText="1"/>
    </xf>
    <xf numFmtId="0" fontId="6" fillId="0" borderId="0" xfId="6" applyAlignment="1">
      <alignment horizontal="left" wrapText="1"/>
    </xf>
    <xf numFmtId="0" fontId="7" fillId="0" borderId="0" xfId="6" applyFont="1" applyAlignment="1">
      <alignment vertical="top" wrapText="1"/>
    </xf>
    <xf numFmtId="3" fontId="2" fillId="0" borderId="0" xfId="3" applyNumberFormat="1"/>
    <xf numFmtId="0" fontId="2" fillId="0" borderId="0" xfId="7" applyFont="1"/>
    <xf numFmtId="0" fontId="2" fillId="0" borderId="0" xfId="7" applyFont="1" applyAlignment="1">
      <alignment horizontal="center"/>
    </xf>
    <xf numFmtId="0" fontId="2" fillId="0" borderId="2" xfId="7" applyFont="1" applyBorder="1" applyAlignment="1">
      <alignment horizontal="center"/>
    </xf>
    <xf numFmtId="0" fontId="2" fillId="0" borderId="1" xfId="7" applyFont="1" applyBorder="1"/>
    <xf numFmtId="0" fontId="2" fillId="0" borderId="1" xfId="7" applyFont="1" applyBorder="1" applyAlignment="1">
      <alignment horizontal="center"/>
    </xf>
    <xf numFmtId="0" fontId="6" fillId="0" borderId="1" xfId="7" applyBorder="1" applyAlignment="1">
      <alignment horizontal="center"/>
    </xf>
    <xf numFmtId="0" fontId="6" fillId="0" borderId="1" xfId="7" applyBorder="1" applyAlignment="1">
      <alignment horizontal="center" wrapText="1"/>
    </xf>
    <xf numFmtId="0" fontId="2" fillId="0" borderId="0" xfId="6" applyFont="1"/>
    <xf numFmtId="0" fontId="2" fillId="0" borderId="0" xfId="6" applyFont="1" applyAlignment="1">
      <alignment horizontal="center"/>
    </xf>
    <xf numFmtId="10" fontId="2" fillId="0" borderId="0" xfId="2" applyNumberFormat="1" applyFont="1" applyAlignment="1">
      <alignment horizontal="center"/>
    </xf>
    <xf numFmtId="10" fontId="2" fillId="0" borderId="0" xfId="2" applyNumberFormat="1" applyFont="1"/>
    <xf numFmtId="10" fontId="2" fillId="0" borderId="0" xfId="7" applyNumberFormat="1" applyFont="1"/>
    <xf numFmtId="10" fontId="2" fillId="0" borderId="0" xfId="7" applyNumberFormat="1" applyFont="1" applyAlignment="1">
      <alignment horizontal="center"/>
    </xf>
    <xf numFmtId="0" fontId="2" fillId="0" borderId="2" xfId="6" applyFont="1" applyBorder="1"/>
    <xf numFmtId="0" fontId="2" fillId="0" borderId="4" xfId="7" applyFont="1" applyBorder="1"/>
    <xf numFmtId="14" fontId="2" fillId="0" borderId="0" xfId="7" applyNumberFormat="1" applyFont="1" applyAlignment="1">
      <alignment horizontal="center"/>
    </xf>
    <xf numFmtId="0" fontId="9" fillId="0" borderId="0" xfId="8" applyFont="1"/>
    <xf numFmtId="0" fontId="9" fillId="0" borderId="0" xfId="8" applyFont="1" applyAlignment="1">
      <alignment horizontal="center"/>
    </xf>
    <xf numFmtId="0" fontId="6" fillId="0" borderId="0" xfId="8" applyFont="1" applyAlignment="1">
      <alignment horizontal="center"/>
    </xf>
    <xf numFmtId="0" fontId="6" fillId="0" borderId="0" xfId="8" applyFont="1"/>
    <xf numFmtId="165" fontId="6" fillId="0" borderId="2" xfId="0" applyNumberFormat="1" applyFont="1" applyBorder="1" applyAlignment="1">
      <alignment horizontal="center"/>
    </xf>
    <xf numFmtId="0" fontId="2" fillId="0" borderId="1" xfId="8" applyFont="1" applyBorder="1" applyAlignment="1">
      <alignment horizontal="center"/>
    </xf>
    <xf numFmtId="0" fontId="6" fillId="0" borderId="1" xfId="8" applyFont="1" applyBorder="1" applyAlignment="1">
      <alignment horizontal="center"/>
    </xf>
    <xf numFmtId="0" fontId="2" fillId="0" borderId="1" xfId="8"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2" fillId="0" borderId="0" xfId="8" applyFont="1"/>
    <xf numFmtId="0" fontId="2" fillId="0" borderId="0" xfId="0" applyFont="1"/>
    <xf numFmtId="0" fontId="2" fillId="0" borderId="0" xfId="8" applyFont="1" applyAlignment="1">
      <alignment horizontal="center"/>
    </xf>
    <xf numFmtId="166" fontId="2" fillId="0" borderId="0" xfId="8" applyNumberFormat="1" applyFont="1" applyAlignment="1">
      <alignment horizontal="center"/>
    </xf>
    <xf numFmtId="10" fontId="2" fillId="0" borderId="0" xfId="0" applyNumberFormat="1" applyFont="1" applyAlignment="1">
      <alignment horizontal="center"/>
    </xf>
    <xf numFmtId="10" fontId="2" fillId="0" borderId="0" xfId="2" applyNumberFormat="1" applyFont="1" applyBorder="1" applyAlignment="1">
      <alignment horizontal="center"/>
    </xf>
    <xf numFmtId="10" fontId="2" fillId="0" borderId="0" xfId="8" applyNumberFormat="1" applyFont="1" applyAlignment="1">
      <alignment horizontal="center"/>
    </xf>
    <xf numFmtId="10" fontId="2" fillId="0" borderId="0" xfId="2" applyNumberFormat="1" applyFont="1" applyFill="1" applyBorder="1" applyAlignment="1">
      <alignment horizontal="center"/>
    </xf>
    <xf numFmtId="10" fontId="6" fillId="0" borderId="0" xfId="2" applyNumberFormat="1" applyFont="1"/>
    <xf numFmtId="166" fontId="2" fillId="0" borderId="4" xfId="8" applyNumberFormat="1" applyFont="1" applyBorder="1" applyAlignment="1">
      <alignment horizontal="center"/>
    </xf>
    <xf numFmtId="10" fontId="2" fillId="0" borderId="4" xfId="2" applyNumberFormat="1" applyFont="1" applyBorder="1" applyAlignment="1">
      <alignment horizontal="center"/>
    </xf>
    <xf numFmtId="10" fontId="2" fillId="0" borderId="4" xfId="8" applyNumberFormat="1" applyFont="1" applyBorder="1" applyAlignment="1">
      <alignment horizontal="center"/>
    </xf>
    <xf numFmtId="10" fontId="2" fillId="0" borderId="4" xfId="9" applyNumberFormat="1" applyFont="1" applyBorder="1" applyAlignment="1">
      <alignment horizontal="center"/>
    </xf>
    <xf numFmtId="0" fontId="2" fillId="0" borderId="3" xfId="8" applyFont="1" applyBorder="1"/>
    <xf numFmtId="0" fontId="6" fillId="0" borderId="3" xfId="8" applyFont="1" applyBorder="1"/>
    <xf numFmtId="0" fontId="6" fillId="0" borderId="3" xfId="8" applyFont="1" applyBorder="1" applyAlignment="1">
      <alignment horizontal="center"/>
    </xf>
    <xf numFmtId="10" fontId="6" fillId="0" borderId="3" xfId="8" applyNumberFormat="1" applyFont="1" applyBorder="1" applyAlignment="1">
      <alignment horizontal="center"/>
    </xf>
    <xf numFmtId="10" fontId="6" fillId="0" borderId="0" xfId="8" applyNumberFormat="1" applyFont="1" applyAlignment="1">
      <alignment horizontal="center"/>
    </xf>
    <xf numFmtId="0" fontId="6" fillId="0" borderId="4" xfId="10" applyBorder="1"/>
    <xf numFmtId="0" fontId="6" fillId="0" borderId="0" xfId="10"/>
    <xf numFmtId="43" fontId="6" fillId="0" borderId="0" xfId="1" applyFont="1" applyAlignment="1">
      <alignment horizontal="center"/>
    </xf>
    <xf numFmtId="0" fontId="6" fillId="0" borderId="0" xfId="0" applyFont="1"/>
    <xf numFmtId="0" fontId="6" fillId="0" borderId="0" xfId="0" applyFont="1" applyAlignment="1">
      <alignment horizontal="left"/>
    </xf>
    <xf numFmtId="0" fontId="2" fillId="0" borderId="4" xfId="8" applyFont="1" applyBorder="1"/>
    <xf numFmtId="0" fontId="2" fillId="0" borderId="4" xfId="8" applyFont="1" applyBorder="1" applyAlignment="1">
      <alignment horizontal="center"/>
    </xf>
    <xf numFmtId="10" fontId="2" fillId="0" borderId="4" xfId="2" applyNumberFormat="1" applyFont="1" applyFill="1" applyBorder="1" applyAlignment="1">
      <alignment horizontal="center"/>
    </xf>
    <xf numFmtId="0" fontId="6" fillId="0" borderId="0" xfId="7"/>
    <xf numFmtId="0" fontId="6" fillId="0" borderId="0" xfId="7" applyAlignment="1">
      <alignment horizontal="center"/>
    </xf>
    <xf numFmtId="0" fontId="2" fillId="0" borderId="1" xfId="7" applyFont="1" applyBorder="1" applyAlignment="1">
      <alignment horizontal="center" wrapText="1"/>
    </xf>
    <xf numFmtId="10" fontId="6" fillId="0" borderId="0" xfId="2" applyNumberFormat="1" applyFont="1" applyFill="1" applyAlignment="1">
      <alignment horizontal="center"/>
    </xf>
    <xf numFmtId="2" fontId="6" fillId="0" borderId="3" xfId="7" applyNumberFormat="1" applyBorder="1" applyAlignment="1">
      <alignment horizontal="center"/>
    </xf>
    <xf numFmtId="10" fontId="6" fillId="0" borderId="0" xfId="7" applyNumberFormat="1" applyAlignment="1">
      <alignment horizontal="center"/>
    </xf>
    <xf numFmtId="2" fontId="6" fillId="0" borderId="0" xfId="7" applyNumberFormat="1" applyAlignment="1">
      <alignment horizontal="center"/>
    </xf>
    <xf numFmtId="0" fontId="2" fillId="0" borderId="4" xfId="0" applyFont="1" applyBorder="1"/>
    <xf numFmtId="0" fontId="6" fillId="0" borderId="3" xfId="7" applyBorder="1"/>
    <xf numFmtId="10" fontId="6" fillId="0" borderId="3" xfId="7" applyNumberFormat="1" applyBorder="1" applyAlignment="1">
      <alignment horizontal="center"/>
    </xf>
    <xf numFmtId="0" fontId="6" fillId="0" borderId="2" xfId="7" applyBorder="1"/>
    <xf numFmtId="2" fontId="6" fillId="0" borderId="2" xfId="7" applyNumberFormat="1" applyBorder="1" applyAlignment="1">
      <alignment horizontal="center"/>
    </xf>
    <xf numFmtId="10" fontId="6" fillId="0" borderId="2" xfId="7" applyNumberFormat="1" applyBorder="1" applyAlignment="1">
      <alignment horizontal="center"/>
    </xf>
    <xf numFmtId="0" fontId="6" fillId="0" borderId="4" xfId="7" applyBorder="1"/>
    <xf numFmtId="0" fontId="6" fillId="0" borderId="0" xfId="7" applyAlignment="1">
      <alignment horizontal="left"/>
    </xf>
    <xf numFmtId="2" fontId="2" fillId="0" borderId="4" xfId="7" applyNumberFormat="1" applyFont="1" applyBorder="1" applyAlignment="1">
      <alignment horizontal="center"/>
    </xf>
    <xf numFmtId="167" fontId="6" fillId="0" borderId="0" xfId="7" applyNumberFormat="1"/>
    <xf numFmtId="2" fontId="6" fillId="0" borderId="0" xfId="7" applyNumberFormat="1" applyBorder="1" applyAlignment="1">
      <alignment horizontal="center"/>
    </xf>
    <xf numFmtId="10" fontId="6" fillId="0" borderId="0" xfId="7" applyNumberFormat="1"/>
    <xf numFmtId="0" fontId="2" fillId="0" borderId="2" xfId="0" applyFont="1" applyBorder="1"/>
    <xf numFmtId="0" fontId="6" fillId="0" borderId="1" xfId="7" applyBorder="1"/>
    <xf numFmtId="14" fontId="2" fillId="0" borderId="4" xfId="0" applyNumberFormat="1" applyFont="1" applyBorder="1" applyAlignment="1">
      <alignment horizontal="center"/>
    </xf>
    <xf numFmtId="14" fontId="2" fillId="0" borderId="4" xfId="0" applyNumberFormat="1" applyFont="1" applyBorder="1" applyAlignment="1">
      <alignment horizontal="center" wrapText="1"/>
    </xf>
    <xf numFmtId="2" fontId="2" fillId="0" borderId="0" xfId="0" applyNumberFormat="1" applyFont="1" applyAlignment="1">
      <alignment horizontal="center"/>
    </xf>
    <xf numFmtId="0" fontId="10" fillId="0" borderId="0" xfId="0" applyFont="1"/>
    <xf numFmtId="2" fontId="2" fillId="0" borderId="5" xfId="12" applyNumberFormat="1" applyFont="1" applyBorder="1" applyAlignment="1">
      <alignment horizontal="center"/>
    </xf>
    <xf numFmtId="0" fontId="6" fillId="0" borderId="4" xfId="0" applyFont="1" applyBorder="1"/>
    <xf numFmtId="168" fontId="6" fillId="0" borderId="0" xfId="0" applyNumberFormat="1" applyFont="1"/>
    <xf numFmtId="0" fontId="11" fillId="0" borderId="0" xfId="6" applyFont="1"/>
    <xf numFmtId="0" fontId="6" fillId="0" borderId="0" xfId="6"/>
    <xf numFmtId="0" fontId="11" fillId="0" borderId="0" xfId="6" applyFont="1" applyAlignment="1">
      <alignment horizontal="centerContinuous"/>
    </xf>
    <xf numFmtId="0" fontId="11" fillId="0" borderId="0" xfId="6" applyFont="1" applyAlignment="1">
      <alignment horizontal="center"/>
    </xf>
    <xf numFmtId="0" fontId="11" fillId="0" borderId="8" xfId="6" applyFont="1" applyBorder="1"/>
    <xf numFmtId="0" fontId="2" fillId="0" borderId="8" xfId="6" applyFont="1" applyBorder="1"/>
    <xf numFmtId="0" fontId="12" fillId="0" borderId="8" xfId="6" applyFont="1" applyBorder="1"/>
    <xf numFmtId="0" fontId="11" fillId="0" borderId="8" xfId="6" applyFont="1" applyBorder="1" applyAlignment="1">
      <alignment horizontal="center"/>
    </xf>
    <xf numFmtId="0" fontId="11" fillId="0" borderId="4" xfId="6" applyFont="1" applyBorder="1" applyAlignment="1">
      <alignment horizontal="center"/>
    </xf>
    <xf numFmtId="0" fontId="2" fillId="0" borderId="4" xfId="6" applyFont="1" applyBorder="1" applyAlignment="1">
      <alignment horizontal="center"/>
    </xf>
    <xf numFmtId="0" fontId="6" fillId="0" borderId="0" xfId="6" applyAlignment="1">
      <alignment horizontal="center"/>
    </xf>
    <xf numFmtId="4" fontId="6" fillId="0" borderId="0" xfId="6" applyNumberFormat="1" applyAlignment="1">
      <alignment horizontal="center"/>
    </xf>
    <xf numFmtId="10" fontId="11" fillId="0" borderId="0" xfId="6" applyNumberFormat="1" applyFont="1" applyAlignment="1">
      <alignment horizontal="center"/>
    </xf>
    <xf numFmtId="10" fontId="11" fillId="0" borderId="0" xfId="13" applyNumberFormat="1" applyFont="1" applyFill="1" applyAlignment="1">
      <alignment horizontal="center"/>
    </xf>
    <xf numFmtId="9" fontId="11" fillId="0" borderId="0" xfId="6" applyNumberFormat="1" applyFont="1"/>
    <xf numFmtId="0" fontId="11" fillId="0" borderId="4" xfId="6" applyFont="1" applyBorder="1"/>
    <xf numFmtId="0" fontId="2" fillId="0" borderId="0" xfId="15"/>
    <xf numFmtId="0" fontId="2" fillId="0" borderId="0" xfId="15" applyAlignment="1">
      <alignment horizontal="center"/>
    </xf>
    <xf numFmtId="0" fontId="2" fillId="0" borderId="1" xfId="15" applyBorder="1" applyAlignment="1">
      <alignment horizontal="center"/>
    </xf>
    <xf numFmtId="0" fontId="2" fillId="0" borderId="1" xfId="15" applyBorder="1" applyAlignment="1">
      <alignment horizontal="center" wrapText="1"/>
    </xf>
    <xf numFmtId="10" fontId="2" fillId="0" borderId="3" xfId="16" applyNumberFormat="1" applyFont="1" applyBorder="1" applyAlignment="1">
      <alignment horizontal="center"/>
    </xf>
    <xf numFmtId="10" fontId="2" fillId="0" borderId="0" xfId="16" applyNumberFormat="1" applyFont="1" applyAlignment="1">
      <alignment horizontal="center"/>
    </xf>
    <xf numFmtId="10" fontId="2" fillId="0" borderId="0" xfId="16" applyNumberFormat="1" applyFont="1" applyBorder="1" applyAlignment="1">
      <alignment horizontal="center"/>
    </xf>
    <xf numFmtId="0" fontId="2" fillId="0" borderId="8" xfId="15" applyBorder="1"/>
    <xf numFmtId="0" fontId="2" fillId="0" borderId="8" xfId="15" applyBorder="1" applyAlignment="1">
      <alignment horizontal="center"/>
    </xf>
    <xf numFmtId="0" fontId="2" fillId="0" borderId="4" xfId="15" applyBorder="1"/>
    <xf numFmtId="0" fontId="2" fillId="0" borderId="4" xfId="15" applyBorder="1" applyAlignment="1">
      <alignment horizontal="center"/>
    </xf>
    <xf numFmtId="10" fontId="2" fillId="0" borderId="0" xfId="16" applyNumberFormat="1" applyFont="1" applyFill="1" applyBorder="1" applyAlignment="1">
      <alignment horizontal="center"/>
    </xf>
    <xf numFmtId="10" fontId="2" fillId="0" borderId="4" xfId="16" applyNumberFormat="1" applyFont="1" applyFill="1" applyBorder="1" applyAlignment="1">
      <alignment horizontal="center"/>
    </xf>
    <xf numFmtId="10" fontId="2" fillId="0" borderId="4" xfId="16" applyNumberFormat="1" applyFont="1" applyBorder="1" applyAlignment="1">
      <alignment horizontal="center"/>
    </xf>
    <xf numFmtId="0" fontId="2" fillId="0" borderId="9" xfId="15" applyBorder="1"/>
    <xf numFmtId="10" fontId="2" fillId="0" borderId="9" xfId="16" applyNumberFormat="1" applyFont="1" applyBorder="1" applyAlignment="1">
      <alignment horizontal="center"/>
    </xf>
    <xf numFmtId="0" fontId="2" fillId="0" borderId="3" xfId="15" applyBorder="1" applyAlignment="1">
      <alignment horizontal="center"/>
    </xf>
    <xf numFmtId="10" fontId="6" fillId="0" borderId="3" xfId="15" applyNumberFormat="1" applyFont="1" applyBorder="1" applyAlignment="1">
      <alignment horizontal="center"/>
    </xf>
    <xf numFmtId="0" fontId="2" fillId="0" borderId="2" xfId="15" applyBorder="1" applyAlignment="1">
      <alignment horizontal="center"/>
    </xf>
    <xf numFmtId="10" fontId="6" fillId="0" borderId="2" xfId="15" applyNumberFormat="1" applyFont="1" applyBorder="1" applyAlignment="1">
      <alignment horizontal="center"/>
    </xf>
    <xf numFmtId="10" fontId="2" fillId="0" borderId="2" xfId="2" applyNumberFormat="1" applyFont="1" applyBorder="1" applyAlignment="1">
      <alignment horizontal="center"/>
    </xf>
    <xf numFmtId="0" fontId="2" fillId="0" borderId="0" xfId="0" applyFont="1" applyBorder="1"/>
    <xf numFmtId="2" fontId="2" fillId="0" borderId="3" xfId="7" applyNumberFormat="1" applyFont="1" applyBorder="1" applyAlignment="1">
      <alignment horizontal="center"/>
    </xf>
    <xf numFmtId="2" fontId="2" fillId="0" borderId="0" xfId="7" applyNumberFormat="1" applyFont="1" applyBorder="1" applyAlignment="1">
      <alignment horizontal="center"/>
    </xf>
    <xf numFmtId="0" fontId="6" fillId="0" borderId="0" xfId="20" applyFont="1"/>
    <xf numFmtId="0" fontId="4" fillId="0" borderId="0" xfId="21" applyFont="1" applyAlignment="1">
      <alignment horizontal="center" vertical="center" wrapText="1"/>
    </xf>
    <xf numFmtId="0" fontId="16" fillId="0" borderId="0" xfId="20" applyFont="1"/>
    <xf numFmtId="0" fontId="6" fillId="0" borderId="0" xfId="20" applyFont="1" applyAlignment="1">
      <alignment horizontal="center"/>
    </xf>
    <xf numFmtId="0" fontId="16" fillId="0" borderId="0" xfId="20" applyFont="1" applyAlignment="1">
      <alignment horizontal="centerContinuous"/>
    </xf>
    <xf numFmtId="0" fontId="6" fillId="0" borderId="0" xfId="20" applyFont="1" applyAlignment="1">
      <alignment horizontal="center" wrapText="1"/>
    </xf>
    <xf numFmtId="0" fontId="6" fillId="0" borderId="1" xfId="20" applyFont="1" applyBorder="1"/>
    <xf numFmtId="0" fontId="6" fillId="0" borderId="1" xfId="20" applyFont="1" applyBorder="1" applyAlignment="1">
      <alignment horizontal="center" wrapText="1"/>
    </xf>
    <xf numFmtId="9" fontId="16" fillId="0" borderId="0" xfId="22" applyFont="1"/>
    <xf numFmtId="0" fontId="6" fillId="0" borderId="0" xfId="20" applyFont="1" applyAlignment="1">
      <alignment horizontal="center" vertical="center"/>
    </xf>
    <xf numFmtId="0" fontId="2" fillId="0" borderId="0" xfId="15" applyFont="1"/>
    <xf numFmtId="10" fontId="2" fillId="0" borderId="0" xfId="16" applyNumberFormat="1" applyAlignment="1">
      <alignment horizontal="center"/>
    </xf>
    <xf numFmtId="3" fontId="2" fillId="0" borderId="0" xfId="23" applyNumberFormat="1" applyFont="1" applyAlignment="1">
      <alignment horizontal="center"/>
    </xf>
    <xf numFmtId="10" fontId="6" fillId="0" borderId="0" xfId="24" applyNumberFormat="1" applyFont="1" applyAlignment="1">
      <alignment horizontal="center"/>
    </xf>
    <xf numFmtId="170" fontId="6" fillId="0" borderId="0" xfId="20" applyNumberFormat="1" applyFont="1" applyAlignment="1">
      <alignment horizontal="center"/>
    </xf>
    <xf numFmtId="10" fontId="6" fillId="0" borderId="0" xfId="20" applyNumberFormat="1" applyFont="1" applyAlignment="1">
      <alignment horizontal="center"/>
    </xf>
    <xf numFmtId="169" fontId="16" fillId="0" borderId="0" xfId="23" applyNumberFormat="1" applyFont="1"/>
    <xf numFmtId="10" fontId="16" fillId="0" borderId="0" xfId="22" applyNumberFormat="1" applyFont="1"/>
    <xf numFmtId="0" fontId="2" fillId="0" borderId="3" xfId="10" applyFont="1" applyBorder="1" applyAlignment="1">
      <alignment horizontal="left" vertical="center"/>
    </xf>
    <xf numFmtId="0" fontId="6" fillId="0" borderId="3" xfId="20" applyFont="1" applyBorder="1" applyAlignment="1">
      <alignment horizontal="center"/>
    </xf>
    <xf numFmtId="0" fontId="4" fillId="0" borderId="3" xfId="20" applyFont="1" applyBorder="1" applyAlignment="1">
      <alignment horizontal="center"/>
    </xf>
    <xf numFmtId="0" fontId="6" fillId="0" borderId="3" xfId="20" applyFont="1" applyBorder="1"/>
    <xf numFmtId="10" fontId="2" fillId="0" borderId="3" xfId="25" applyNumberFormat="1" applyFont="1" applyBorder="1" applyAlignment="1">
      <alignment horizontal="center"/>
    </xf>
    <xf numFmtId="0" fontId="6" fillId="0" borderId="2" xfId="20" applyFont="1" applyBorder="1"/>
    <xf numFmtId="0" fontId="6" fillId="0" borderId="2" xfId="20" applyFont="1" applyBorder="1" applyAlignment="1">
      <alignment horizontal="center"/>
    </xf>
    <xf numFmtId="0" fontId="4" fillId="0" borderId="2" xfId="20" applyFont="1" applyBorder="1" applyAlignment="1">
      <alignment horizontal="center"/>
    </xf>
    <xf numFmtId="10" fontId="6" fillId="0" borderId="2" xfId="20" applyNumberFormat="1" applyFont="1" applyBorder="1" applyAlignment="1">
      <alignment horizontal="center" vertical="center"/>
    </xf>
    <xf numFmtId="0" fontId="4" fillId="0" borderId="0" xfId="21" applyFont="1"/>
    <xf numFmtId="0" fontId="6" fillId="0" borderId="4" xfId="20" applyFont="1" applyBorder="1"/>
    <xf numFmtId="0" fontId="16" fillId="0" borderId="0" xfId="20" applyFont="1" applyAlignment="1">
      <alignment horizontal="center"/>
    </xf>
    <xf numFmtId="0" fontId="6" fillId="0" borderId="0" xfId="20" applyFont="1" applyAlignment="1">
      <alignment horizontal="left"/>
    </xf>
    <xf numFmtId="3" fontId="6" fillId="0" borderId="0" xfId="20" applyNumberFormat="1" applyFont="1"/>
    <xf numFmtId="171" fontId="6" fillId="0" borderId="0" xfId="23" applyNumberFormat="1" applyFont="1"/>
    <xf numFmtId="171" fontId="16" fillId="0" borderId="0" xfId="20" applyNumberFormat="1" applyFont="1"/>
    <xf numFmtId="43" fontId="6" fillId="0" borderId="0" xfId="20" applyNumberFormat="1" applyFont="1"/>
    <xf numFmtId="43" fontId="16" fillId="0" borderId="0" xfId="20" applyNumberFormat="1" applyFont="1"/>
    <xf numFmtId="10" fontId="6" fillId="0" borderId="0" xfId="22" applyNumberFormat="1" applyFont="1"/>
    <xf numFmtId="0" fontId="16" fillId="0" borderId="0" xfId="20" applyFont="1" applyAlignment="1">
      <alignment horizontal="left"/>
    </xf>
    <xf numFmtId="0" fontId="2" fillId="0" borderId="0" xfId="10" applyFont="1"/>
    <xf numFmtId="0" fontId="14" fillId="0" borderId="0" xfId="10" applyFont="1"/>
    <xf numFmtId="0" fontId="2" fillId="0" borderId="0" xfId="10" applyFont="1" applyAlignment="1">
      <alignment horizontal="center"/>
    </xf>
    <xf numFmtId="0" fontId="14" fillId="0" borderId="8" xfId="10" applyFont="1" applyBorder="1"/>
    <xf numFmtId="0" fontId="2" fillId="0" borderId="8" xfId="10" applyFont="1" applyBorder="1"/>
    <xf numFmtId="0" fontId="2" fillId="0" borderId="8" xfId="10" applyFont="1" applyBorder="1" applyAlignment="1">
      <alignment horizontal="center"/>
    </xf>
    <xf numFmtId="0" fontId="2" fillId="0" borderId="4" xfId="10" applyFont="1" applyBorder="1"/>
    <xf numFmtId="0" fontId="2" fillId="0" borderId="4" xfId="10" applyFont="1" applyBorder="1" applyAlignment="1">
      <alignment horizontal="center"/>
    </xf>
    <xf numFmtId="0" fontId="6" fillId="0" borderId="0" xfId="10" applyAlignment="1">
      <alignment horizontal="center"/>
    </xf>
    <xf numFmtId="166" fontId="2" fillId="0" borderId="0" xfId="10" applyNumberFormat="1" applyFont="1" applyAlignment="1">
      <alignment horizontal="center"/>
    </xf>
    <xf numFmtId="172" fontId="2" fillId="0" borderId="0" xfId="10" applyNumberFormat="1" applyFont="1" applyAlignment="1">
      <alignment horizontal="center"/>
    </xf>
    <xf numFmtId="10" fontId="2" fillId="0" borderId="0" xfId="26" applyNumberFormat="1" applyFont="1" applyAlignment="1">
      <alignment horizontal="center"/>
    </xf>
    <xf numFmtId="0" fontId="6" fillId="0" borderId="0" xfId="10" applyAlignment="1">
      <alignment horizontal="center" vertical="center"/>
    </xf>
    <xf numFmtId="9" fontId="2" fillId="0" borderId="0" xfId="26" applyFont="1"/>
    <xf numFmtId="0" fontId="17" fillId="0" borderId="0" xfId="10" applyFont="1"/>
    <xf numFmtId="0" fontId="17" fillId="0" borderId="0" xfId="10" applyFont="1" applyAlignment="1">
      <alignment horizontal="left" vertical="center"/>
    </xf>
    <xf numFmtId="166" fontId="2" fillId="0" borderId="0" xfId="10" applyNumberFormat="1" applyFont="1"/>
    <xf numFmtId="0" fontId="2" fillId="0" borderId="0" xfId="10" applyFont="1" applyAlignment="1">
      <alignment horizontal="left" vertical="center"/>
    </xf>
    <xf numFmtId="10" fontId="2" fillId="0" borderId="0" xfId="26" applyNumberFormat="1" applyFont="1" applyFill="1" applyAlignment="1">
      <alignment horizontal="center"/>
    </xf>
    <xf numFmtId="10" fontId="2" fillId="0" borderId="0" xfId="26" applyNumberFormat="1" applyFont="1" applyFill="1"/>
    <xf numFmtId="172" fontId="2" fillId="0" borderId="0" xfId="10" applyNumberFormat="1" applyFont="1"/>
    <xf numFmtId="10" fontId="2" fillId="0" borderId="0" xfId="26" applyNumberFormat="1" applyFont="1"/>
    <xf numFmtId="43" fontId="2" fillId="0" borderId="0" xfId="27" applyFont="1"/>
    <xf numFmtId="0" fontId="2" fillId="0" borderId="0" xfId="10" applyFont="1" applyAlignment="1">
      <alignment horizontal="centerContinuous"/>
    </xf>
    <xf numFmtId="0" fontId="6" fillId="0" borderId="0" xfId="10" applyAlignment="1">
      <alignment horizontal="centerContinuous"/>
    </xf>
    <xf numFmtId="0" fontId="9" fillId="0" borderId="0" xfId="10" applyFont="1" applyAlignment="1">
      <alignment horizontal="centerContinuous"/>
    </xf>
    <xf numFmtId="0" fontId="6" fillId="0" borderId="4" xfId="10" applyBorder="1" applyAlignment="1">
      <alignment horizontal="center"/>
    </xf>
    <xf numFmtId="0" fontId="17" fillId="0" borderId="0" xfId="10" applyFont="1" applyAlignment="1">
      <alignment horizontal="center"/>
    </xf>
    <xf numFmtId="10" fontId="2" fillId="0" borderId="0" xfId="10" applyNumberFormat="1" applyFont="1" applyAlignment="1">
      <alignment horizontal="center"/>
    </xf>
    <xf numFmtId="10" fontId="17" fillId="0" borderId="0" xfId="10" applyNumberFormat="1" applyFont="1"/>
    <xf numFmtId="0" fontId="2" fillId="0" borderId="3" xfId="10" applyFont="1" applyBorder="1"/>
    <xf numFmtId="0" fontId="6" fillId="0" borderId="3" xfId="10" applyBorder="1"/>
    <xf numFmtId="10" fontId="2" fillId="0" borderId="3" xfId="26" applyNumberFormat="1" applyFont="1" applyBorder="1" applyAlignment="1">
      <alignment horizontal="center"/>
    </xf>
    <xf numFmtId="10" fontId="6" fillId="0" borderId="0" xfId="10" applyNumberFormat="1"/>
    <xf numFmtId="0" fontId="6" fillId="0" borderId="2" xfId="10" applyBorder="1"/>
    <xf numFmtId="0" fontId="2" fillId="0" borderId="2" xfId="10" applyFont="1" applyBorder="1"/>
    <xf numFmtId="2" fontId="2" fillId="0" borderId="0" xfId="10" applyNumberFormat="1" applyFont="1" applyAlignment="1">
      <alignment horizontal="center"/>
    </xf>
    <xf numFmtId="0" fontId="6" fillId="0" borderId="0" xfId="0" applyFont="1" applyAlignment="1">
      <alignment horizontal="center"/>
    </xf>
    <xf numFmtId="0" fontId="2" fillId="0" borderId="0" xfId="10" applyFont="1" applyAlignment="1">
      <alignment horizontal="center"/>
    </xf>
    <xf numFmtId="0" fontId="1" fillId="0" borderId="0" xfId="18">
      <alignment vertical="center"/>
    </xf>
    <xf numFmtId="0" fontId="2" fillId="0" borderId="0" xfId="15" quotePrefix="1" applyFont="1" applyAlignment="1">
      <alignment horizontal="center"/>
    </xf>
    <xf numFmtId="0" fontId="2" fillId="0" borderId="0" xfId="15" applyFont="1" applyAlignment="1">
      <alignment horizontal="center"/>
    </xf>
    <xf numFmtId="0" fontId="2" fillId="0" borderId="0" xfId="15" applyAlignment="1"/>
    <xf numFmtId="0" fontId="14" fillId="0" borderId="1" xfId="15" applyFont="1" applyFill="1" applyBorder="1" applyAlignment="1">
      <alignment horizontal="centerContinuous"/>
    </xf>
    <xf numFmtId="0" fontId="2" fillId="0" borderId="0" xfId="15" applyFill="1" applyBorder="1" applyAlignment="1"/>
    <xf numFmtId="0" fontId="2" fillId="0" borderId="2" xfId="15" applyFill="1" applyBorder="1" applyAlignment="1"/>
    <xf numFmtId="0" fontId="14" fillId="0" borderId="1" xfId="15" applyFont="1" applyFill="1" applyBorder="1" applyAlignment="1">
      <alignment horizontal="center"/>
    </xf>
    <xf numFmtId="0" fontId="2" fillId="0" borderId="0" xfId="15" applyFill="1"/>
    <xf numFmtId="0" fontId="6" fillId="0" borderId="0" xfId="18" applyFont="1">
      <alignment vertical="center"/>
    </xf>
    <xf numFmtId="0" fontId="6" fillId="0" borderId="0" xfId="18" applyFont="1" applyFill="1">
      <alignment vertical="center"/>
    </xf>
    <xf numFmtId="0" fontId="1" fillId="0" borderId="0" xfId="18" applyFill="1">
      <alignment vertical="center"/>
    </xf>
    <xf numFmtId="0" fontId="2" fillId="0" borderId="4" xfId="0" applyFont="1" applyBorder="1" applyAlignment="1">
      <alignment horizontal="center"/>
    </xf>
    <xf numFmtId="2" fontId="2" fillId="0" borderId="0" xfId="12" applyNumberFormat="1" applyFont="1" applyFill="1" applyAlignment="1">
      <alignment horizontal="center"/>
    </xf>
    <xf numFmtId="43" fontId="2" fillId="0" borderId="0" xfId="12" applyFont="1" applyFill="1" applyAlignment="1">
      <alignment horizontal="center"/>
    </xf>
    <xf numFmtId="10" fontId="2" fillId="0" borderId="0" xfId="16" applyNumberFormat="1" applyFill="1" applyAlignment="1">
      <alignment horizontal="center"/>
    </xf>
    <xf numFmtId="3" fontId="2" fillId="0" borderId="0" xfId="23" applyNumberFormat="1" applyFont="1" applyFill="1" applyAlignment="1">
      <alignment horizontal="center"/>
    </xf>
    <xf numFmtId="0" fontId="6" fillId="0" borderId="0" xfId="20" applyFont="1" applyFill="1" applyAlignment="1">
      <alignment horizontal="center" vertical="center"/>
    </xf>
    <xf numFmtId="0" fontId="2" fillId="0" borderId="0" xfId="15" applyFont="1" applyFill="1"/>
    <xf numFmtId="10" fontId="6" fillId="0" borderId="0" xfId="24" applyNumberFormat="1" applyFont="1" applyFill="1" applyAlignment="1">
      <alignment horizontal="center"/>
    </xf>
    <xf numFmtId="170" fontId="6" fillId="0" borderId="0" xfId="20" applyNumberFormat="1" applyFont="1" applyFill="1" applyAlignment="1">
      <alignment horizontal="center"/>
    </xf>
    <xf numFmtId="10" fontId="6" fillId="0" borderId="0" xfId="20" applyNumberFormat="1" applyFont="1" applyFill="1" applyAlignment="1">
      <alignment horizontal="center"/>
    </xf>
    <xf numFmtId="0" fontId="16" fillId="0" borderId="0" xfId="20" applyFont="1" applyFill="1"/>
    <xf numFmtId="2" fontId="2" fillId="0" borderId="4" xfId="10" applyNumberFormat="1" applyFont="1" applyBorder="1" applyAlignment="1">
      <alignment horizontal="center"/>
    </xf>
    <xf numFmtId="0" fontId="6" fillId="0" borderId="0" xfId="6" applyFont="1" applyFill="1"/>
    <xf numFmtId="0" fontId="2" fillId="0" borderId="0" xfId="0" applyFont="1" applyFill="1"/>
    <xf numFmtId="0" fontId="6" fillId="0" borderId="0" xfId="0" applyFont="1" applyFill="1" applyAlignment="1">
      <alignment horizontal="left"/>
    </xf>
    <xf numFmtId="0" fontId="6" fillId="0" borderId="0" xfId="10" applyFont="1" applyFill="1" applyAlignment="1">
      <alignment horizontal="center"/>
    </xf>
    <xf numFmtId="0" fontId="6" fillId="0" borderId="0" xfId="6" applyFont="1" applyFill="1" applyAlignment="1">
      <alignment horizontal="center"/>
    </xf>
    <xf numFmtId="0" fontId="2" fillId="0" borderId="0" xfId="6" applyFont="1" applyFill="1" applyAlignment="1">
      <alignment horizontal="center"/>
    </xf>
    <xf numFmtId="0" fontId="2" fillId="0" borderId="0" xfId="7" applyFont="1" applyFill="1"/>
    <xf numFmtId="0" fontId="2" fillId="0" borderId="0" xfId="10" applyFont="1" applyFill="1" applyAlignment="1">
      <alignment horizontal="center"/>
    </xf>
    <xf numFmtId="0" fontId="6" fillId="0" borderId="0" xfId="0" applyFont="1" applyFill="1" applyAlignment="1">
      <alignment horizontal="center"/>
    </xf>
    <xf numFmtId="0" fontId="6" fillId="0" borderId="0" xfId="29" applyFont="1" applyFill="1"/>
    <xf numFmtId="0" fontId="6" fillId="0" borderId="0" xfId="29" applyFont="1" applyFill="1" applyAlignment="1">
      <alignment horizontal="center"/>
    </xf>
    <xf numFmtId="0" fontId="6" fillId="0" borderId="0" xfId="31" applyFont="1" applyFill="1" applyAlignment="1">
      <alignment vertical="center"/>
    </xf>
    <xf numFmtId="10" fontId="6" fillId="0" borderId="0" xfId="38" applyNumberFormat="1" applyFont="1" applyFill="1" applyAlignment="1">
      <alignment horizontal="center"/>
    </xf>
    <xf numFmtId="173" fontId="2" fillId="0" borderId="5" xfId="38" applyNumberFormat="1" applyFont="1" applyFill="1" applyBorder="1" applyAlignment="1">
      <alignment horizontal="center"/>
    </xf>
    <xf numFmtId="0" fontId="6" fillId="0" borderId="9" xfId="6" applyFont="1" applyFill="1" applyBorder="1"/>
    <xf numFmtId="0" fontId="6" fillId="0" borderId="9" xfId="0" applyFont="1" applyFill="1" applyBorder="1" applyAlignment="1">
      <alignment horizontal="left"/>
    </xf>
    <xf numFmtId="0" fontId="6" fillId="0" borderId="0" xfId="6" applyFont="1"/>
    <xf numFmtId="0" fontId="6" fillId="0" borderId="2" xfId="6" applyFont="1" applyBorder="1" applyAlignment="1">
      <alignment horizontal="center"/>
    </xf>
    <xf numFmtId="0" fontId="9" fillId="0" borderId="8" xfId="6" applyFont="1" applyBorder="1" applyAlignment="1">
      <alignment horizontal="center"/>
    </xf>
    <xf numFmtId="0" fontId="9" fillId="0" borderId="4" xfId="29" applyFont="1" applyFill="1" applyBorder="1" applyAlignment="1">
      <alignment horizontal="center" vertical="center" wrapText="1"/>
    </xf>
    <xf numFmtId="0" fontId="6" fillId="0" borderId="0" xfId="6" applyFont="1" applyAlignment="1">
      <alignment horizontal="center"/>
    </xf>
    <xf numFmtId="0" fontId="6" fillId="0" borderId="3" xfId="6" applyFont="1" applyBorder="1"/>
    <xf numFmtId="0" fontId="6" fillId="0" borderId="3" xfId="0" applyFont="1" applyBorder="1" applyAlignment="1">
      <alignment horizontal="left"/>
    </xf>
    <xf numFmtId="0" fontId="6" fillId="0" borderId="3" xfId="0" applyFont="1" applyBorder="1" applyAlignment="1">
      <alignment horizontal="left" vertical="center"/>
    </xf>
    <xf numFmtId="0" fontId="6" fillId="0" borderId="3" xfId="0" applyFont="1" applyBorder="1" applyAlignment="1">
      <alignment horizontal="center" vertical="center"/>
    </xf>
    <xf numFmtId="0" fontId="6" fillId="0" borderId="3" xfId="6" applyFont="1" applyBorder="1" applyAlignment="1">
      <alignment horizontal="center" vertical="center"/>
    </xf>
    <xf numFmtId="0" fontId="6" fillId="0" borderId="3" xfId="29" applyFont="1" applyBorder="1" applyAlignment="1">
      <alignment horizontal="center" vertical="center"/>
    </xf>
    <xf numFmtId="0" fontId="6" fillId="0" borderId="0" xfId="29" applyFont="1"/>
    <xf numFmtId="0" fontId="6" fillId="0" borderId="0" xfId="29" applyFont="1" applyFill="1" applyAlignment="1">
      <alignment horizontal="right"/>
    </xf>
    <xf numFmtId="0" fontId="6" fillId="0" borderId="0" xfId="29" applyFont="1" applyAlignment="1">
      <alignment horizontal="center"/>
    </xf>
    <xf numFmtId="0" fontId="6" fillId="0" borderId="0" xfId="28" applyFont="1" applyAlignment="1">
      <alignment horizontal="left"/>
    </xf>
    <xf numFmtId="0" fontId="6" fillId="0" borderId="0" xfId="31" applyFont="1" applyAlignment="1">
      <alignment vertical="center"/>
    </xf>
    <xf numFmtId="0" fontId="2" fillId="0" borderId="0" xfId="10" applyFont="1" applyAlignment="1">
      <alignment horizontal="right"/>
    </xf>
    <xf numFmtId="0" fontId="6" fillId="0" borderId="0" xfId="28" applyFont="1"/>
    <xf numFmtId="0" fontId="6" fillId="0" borderId="0" xfId="31" applyFont="1" applyAlignment="1">
      <alignment horizontal="center" vertical="center"/>
    </xf>
    <xf numFmtId="0" fontId="6" fillId="0" borderId="0" xfId="6" applyFont="1" applyFill="1" applyAlignment="1">
      <alignment horizontal="right"/>
    </xf>
    <xf numFmtId="10" fontId="6" fillId="0" borderId="0" xfId="38" applyNumberFormat="1" applyFont="1" applyAlignment="1">
      <alignment horizontal="center"/>
    </xf>
    <xf numFmtId="0" fontId="6" fillId="0" borderId="5" xfId="6" applyFont="1" applyBorder="1"/>
    <xf numFmtId="0" fontId="6" fillId="0" borderId="5" xfId="0" applyFont="1" applyBorder="1" applyAlignment="1">
      <alignment horizontal="left"/>
    </xf>
    <xf numFmtId="0" fontId="6" fillId="0" borderId="5" xfId="0" applyFont="1" applyBorder="1" applyAlignment="1">
      <alignment horizontal="center"/>
    </xf>
    <xf numFmtId="0" fontId="6" fillId="0" borderId="5" xfId="6" applyFont="1" applyBorder="1" applyAlignment="1">
      <alignment horizontal="center"/>
    </xf>
    <xf numFmtId="0" fontId="6" fillId="0" borderId="4" xfId="6" applyFont="1" applyBorder="1"/>
    <xf numFmtId="0" fontId="6" fillId="0" borderId="0" xfId="6" applyFont="1" applyBorder="1"/>
    <xf numFmtId="0" fontId="6" fillId="0" borderId="0" xfId="28" applyFont="1" applyAlignment="1">
      <alignment wrapText="1"/>
    </xf>
    <xf numFmtId="0" fontId="6" fillId="0" borderId="0" xfId="28" applyFont="1" applyAlignment="1">
      <alignment horizontal="left" wrapText="1"/>
    </xf>
    <xf numFmtId="0" fontId="6" fillId="0" borderId="0" xfId="28" applyFont="1" applyAlignment="1">
      <alignment horizontal="center" wrapText="1"/>
    </xf>
    <xf numFmtId="0" fontId="6" fillId="0" borderId="0" xfId="6" applyFont="1" applyAlignment="1">
      <alignment vertical="top"/>
    </xf>
    <xf numFmtId="0" fontId="6" fillId="0" borderId="0" xfId="6" applyFont="1" applyAlignment="1">
      <alignment wrapText="1"/>
    </xf>
    <xf numFmtId="0" fontId="6" fillId="0" borderId="0" xfId="6" applyFont="1" applyAlignment="1">
      <alignment horizontal="center" wrapText="1"/>
    </xf>
    <xf numFmtId="0" fontId="6" fillId="0" borderId="0" xfId="6" applyFont="1" applyAlignment="1">
      <alignment horizontal="center" vertical="top"/>
    </xf>
    <xf numFmtId="1" fontId="6" fillId="0" borderId="0" xfId="0" applyNumberFormat="1" applyFont="1" applyBorder="1" applyAlignment="1">
      <alignment horizontal="right"/>
    </xf>
    <xf numFmtId="0" fontId="6" fillId="0" borderId="0" xfId="0" applyNumberFormat="1" applyFont="1" applyBorder="1" applyAlignment="1"/>
    <xf numFmtId="0" fontId="1" fillId="0" borderId="0" xfId="17">
      <alignment vertical="center"/>
    </xf>
    <xf numFmtId="0" fontId="6" fillId="0" borderId="0" xfId="0" applyFont="1" applyAlignment="1">
      <alignment horizontal="centerContinuous"/>
    </xf>
    <xf numFmtId="0" fontId="6" fillId="0" borderId="4" xfId="0" applyFont="1" applyBorder="1" applyAlignment="1">
      <alignment horizontal="centerContinuous"/>
    </xf>
    <xf numFmtId="0" fontId="6" fillId="0" borderId="0" xfId="0" applyNumberFormat="1" applyFont="1" applyBorder="1" applyAlignment="1">
      <alignment horizontal="center"/>
    </xf>
    <xf numFmtId="0" fontId="6" fillId="0" borderId="4" xfId="0" applyFont="1" applyBorder="1" applyAlignment="1"/>
    <xf numFmtId="0" fontId="6" fillId="0" borderId="4" xfId="0" applyFont="1" applyBorder="1" applyAlignment="1">
      <alignment horizontal="center"/>
    </xf>
    <xf numFmtId="0" fontId="2" fillId="0" borderId="4" xfId="34" applyFont="1" applyBorder="1" applyAlignment="1">
      <alignment horizontal="center"/>
    </xf>
    <xf numFmtId="0" fontId="6" fillId="0" borderId="0" xfId="0" applyFont="1" applyBorder="1" applyAlignment="1"/>
    <xf numFmtId="0" fontId="6" fillId="0" borderId="0" xfId="0" applyFont="1" applyBorder="1" applyAlignment="1">
      <alignment horizontal="center"/>
    </xf>
    <xf numFmtId="10" fontId="2" fillId="0" borderId="0" xfId="34" applyNumberFormat="1" applyFont="1" applyBorder="1" applyAlignment="1">
      <alignment horizontal="center"/>
    </xf>
    <xf numFmtId="1" fontId="6" fillId="0" borderId="0" xfId="0" applyNumberFormat="1" applyFont="1" applyFill="1" applyBorder="1" applyAlignment="1">
      <alignment horizontal="left"/>
    </xf>
    <xf numFmtId="0" fontId="6" fillId="0" borderId="0" xfId="0" applyNumberFormat="1" applyFont="1" applyBorder="1" applyAlignment="1">
      <alignment horizontal="left" wrapText="1"/>
    </xf>
    <xf numFmtId="0" fontId="6" fillId="0" borderId="0" xfId="17" applyFont="1" applyFill="1" applyAlignment="1">
      <alignment horizontal="center"/>
    </xf>
    <xf numFmtId="0" fontId="2" fillId="0" borderId="0" xfId="34" applyFont="1" applyFill="1" applyBorder="1" applyAlignment="1">
      <alignment horizontal="center"/>
    </xf>
    <xf numFmtId="0" fontId="2" fillId="0" borderId="0" xfId="34" applyFont="1" applyBorder="1" applyAlignment="1">
      <alignment horizontal="center"/>
    </xf>
    <xf numFmtId="0" fontId="6" fillId="0" borderId="0" xfId="0" applyFont="1" applyBorder="1" applyAlignment="1">
      <alignment horizontal="right"/>
    </xf>
    <xf numFmtId="0" fontId="18" fillId="0" borderId="0" xfId="0" applyFont="1" applyAlignment="1"/>
    <xf numFmtId="0" fontId="6" fillId="0" borderId="0" xfId="0" applyNumberFormat="1" applyFont="1" applyBorder="1" applyAlignment="1">
      <alignment horizontal="left" vertical="top"/>
    </xf>
    <xf numFmtId="0" fontId="6" fillId="0" borderId="0" xfId="0" applyFont="1" applyAlignment="1">
      <alignment horizontal="left" vertical="top"/>
    </xf>
    <xf numFmtId="0" fontId="4" fillId="0" borderId="0" xfId="3" applyFont="1" applyBorder="1" applyAlignment="1">
      <alignment horizontal="center" vertical="center" wrapText="1"/>
    </xf>
    <xf numFmtId="0" fontId="2" fillId="0" borderId="0" xfId="3" applyBorder="1" applyAlignment="1">
      <alignment horizontal="center" vertical="center" wrapText="1"/>
    </xf>
    <xf numFmtId="10" fontId="2" fillId="0" borderId="0" xfId="4" applyNumberFormat="1" applyBorder="1" applyAlignment="1">
      <alignment horizontal="center" vertical="center" wrapText="1"/>
    </xf>
    <xf numFmtId="0" fontId="2" fillId="0" borderId="0" xfId="4" applyBorder="1" applyAlignment="1">
      <alignment horizontal="center" vertical="center" wrapText="1"/>
    </xf>
    <xf numFmtId="10" fontId="2" fillId="0" borderId="0" xfId="3" applyNumberFormat="1" applyBorder="1" applyAlignment="1">
      <alignment horizontal="center" vertical="center" wrapText="1"/>
    </xf>
    <xf numFmtId="0" fontId="2" fillId="0" borderId="4" xfId="3" applyBorder="1" applyAlignment="1">
      <alignment horizontal="center" vertical="center" wrapText="1"/>
    </xf>
    <xf numFmtId="10" fontId="2" fillId="0" borderId="4" xfId="3" applyNumberFormat="1" applyBorder="1" applyAlignment="1">
      <alignment horizontal="center" vertical="center" wrapText="1"/>
    </xf>
    <xf numFmtId="164" fontId="19" fillId="0" borderId="0" xfId="4" applyNumberFormat="1" applyFont="1" applyAlignment="1">
      <alignment horizontal="center" vertical="center" wrapText="1"/>
    </xf>
    <xf numFmtId="10" fontId="2" fillId="0" borderId="0" xfId="2" applyNumberFormat="1" applyFont="1" applyAlignment="1">
      <alignment horizontal="center" vertical="center" wrapText="1"/>
    </xf>
    <xf numFmtId="0" fontId="2" fillId="0" borderId="0" xfId="6" applyFont="1" applyFill="1"/>
    <xf numFmtId="0" fontId="2" fillId="0" borderId="0" xfId="7" applyFont="1" applyFill="1" applyAlignment="1">
      <alignment horizontal="center"/>
    </xf>
    <xf numFmtId="10" fontId="2" fillId="0" borderId="0" xfId="2" applyNumberFormat="1" applyFont="1" applyFill="1" applyAlignment="1">
      <alignment horizontal="center"/>
    </xf>
    <xf numFmtId="10" fontId="2" fillId="0" borderId="0" xfId="2" applyNumberFormat="1" applyFont="1" applyFill="1"/>
    <xf numFmtId="10" fontId="2" fillId="0" borderId="0" xfId="7" applyNumberFormat="1" applyFont="1" applyFill="1"/>
    <xf numFmtId="173" fontId="10" fillId="0" borderId="9" xfId="38" applyNumberFormat="1" applyFont="1" applyFill="1" applyBorder="1" applyAlignment="1">
      <alignment horizontal="center"/>
    </xf>
    <xf numFmtId="0" fontId="6" fillId="0" borderId="0" xfId="6" applyBorder="1"/>
    <xf numFmtId="0" fontId="6" fillId="0" borderId="3" xfId="29" applyFont="1" applyBorder="1" applyAlignment="1">
      <alignment vertical="center"/>
    </xf>
    <xf numFmtId="0" fontId="6" fillId="0" borderId="3" xfId="29" applyFont="1" applyBorder="1" applyAlignment="1">
      <alignment vertical="center" wrapText="1"/>
    </xf>
    <xf numFmtId="0" fontId="2" fillId="0" borderId="9" xfId="10" applyFont="1" applyBorder="1" applyAlignment="1">
      <alignment horizontal="center"/>
    </xf>
    <xf numFmtId="0" fontId="2" fillId="0" borderId="9" xfId="0" applyFont="1" applyFill="1" applyBorder="1" applyAlignment="1">
      <alignment horizontal="left"/>
    </xf>
    <xf numFmtId="0" fontId="2" fillId="0" borderId="9" xfId="6" applyFont="1" applyFill="1" applyBorder="1" applyAlignment="1">
      <alignment horizontal="center"/>
    </xf>
    <xf numFmtId="173" fontId="2" fillId="0" borderId="9" xfId="38" applyNumberFormat="1" applyFont="1" applyFill="1" applyBorder="1" applyAlignment="1">
      <alignment horizontal="center"/>
    </xf>
    <xf numFmtId="0" fontId="2" fillId="0" borderId="4" xfId="4" applyBorder="1" applyAlignment="1">
      <alignment horizontal="center" vertical="center" wrapText="1"/>
    </xf>
    <xf numFmtId="10" fontId="2" fillId="0" borderId="4" xfId="4" applyNumberFormat="1" applyBorder="1" applyAlignment="1">
      <alignment horizontal="center" vertical="center" wrapText="1"/>
    </xf>
    <xf numFmtId="0" fontId="2" fillId="0" borderId="0" xfId="10" applyFont="1" applyFill="1"/>
    <xf numFmtId="166" fontId="2" fillId="0" borderId="0" xfId="10" applyNumberFormat="1" applyFont="1" applyFill="1" applyAlignment="1">
      <alignment horizontal="center"/>
    </xf>
    <xf numFmtId="172" fontId="2" fillId="0" borderId="0" xfId="10" applyNumberFormat="1" applyFont="1" applyFill="1" applyAlignment="1">
      <alignment horizontal="center"/>
    </xf>
    <xf numFmtId="10" fontId="2" fillId="0" borderId="0" xfId="10" applyNumberFormat="1" applyFont="1" applyFill="1" applyAlignment="1">
      <alignment horizontal="center"/>
    </xf>
    <xf numFmtId="2" fontId="2" fillId="0" borderId="2" xfId="10" applyNumberFormat="1" applyFont="1" applyFill="1" applyBorder="1" applyAlignment="1">
      <alignment horizontal="center"/>
    </xf>
    <xf numFmtId="43" fontId="2" fillId="0" borderId="0" xfId="1" applyFont="1" applyFill="1" applyBorder="1" applyAlignment="1"/>
    <xf numFmtId="169" fontId="2" fillId="0" borderId="0" xfId="1" applyNumberFormat="1" applyFont="1" applyFill="1" applyBorder="1" applyAlignment="1"/>
    <xf numFmtId="174" fontId="2" fillId="0" borderId="0" xfId="1" applyNumberFormat="1" applyFont="1" applyFill="1" applyBorder="1" applyAlignment="1"/>
    <xf numFmtId="175" fontId="2" fillId="0" borderId="0" xfId="1" applyNumberFormat="1" applyFont="1" applyFill="1" applyBorder="1" applyAlignment="1"/>
    <xf numFmtId="43" fontId="2" fillId="0" borderId="2" xfId="1" applyFont="1" applyFill="1" applyBorder="1" applyAlignment="1"/>
    <xf numFmtId="169" fontId="2" fillId="0" borderId="2" xfId="1" applyNumberFormat="1" applyFont="1" applyFill="1" applyBorder="1" applyAlignment="1"/>
    <xf numFmtId="174" fontId="2" fillId="0" borderId="2" xfId="1" applyNumberFormat="1" applyFont="1" applyFill="1" applyBorder="1" applyAlignment="1"/>
    <xf numFmtId="0" fontId="3" fillId="2" borderId="5" xfId="3" applyFont="1" applyFill="1" applyBorder="1" applyAlignment="1">
      <alignment horizontal="center" vertical="center" wrapText="1"/>
    </xf>
    <xf numFmtId="0" fontId="2" fillId="0" borderId="3" xfId="3" applyBorder="1" applyAlignment="1">
      <alignment horizontal="center" vertical="center" wrapText="1"/>
    </xf>
    <xf numFmtId="10" fontId="2" fillId="0" borderId="4" xfId="3" applyNumberFormat="1" applyBorder="1" applyAlignment="1">
      <alignment horizontal="center" vertical="center" wrapText="1"/>
    </xf>
    <xf numFmtId="0" fontId="2" fillId="0" borderId="0" xfId="3" applyAlignment="1">
      <alignment horizontal="center" wrapText="1"/>
    </xf>
    <xf numFmtId="0" fontId="3" fillId="2" borderId="10" xfId="3" applyFont="1" applyFill="1" applyBorder="1" applyAlignment="1">
      <alignment horizontal="center" vertical="center" wrapText="1"/>
    </xf>
    <xf numFmtId="0" fontId="2" fillId="0" borderId="0" xfId="7" applyFont="1" applyAlignment="1">
      <alignment horizontal="center"/>
    </xf>
    <xf numFmtId="0" fontId="2" fillId="0" borderId="0" xfId="7" applyFont="1" applyAlignment="1">
      <alignment horizontal="left" wrapText="1"/>
    </xf>
    <xf numFmtId="0" fontId="9" fillId="0" borderId="0" xfId="8" applyFont="1" applyAlignment="1">
      <alignment horizontal="center"/>
    </xf>
    <xf numFmtId="0" fontId="6" fillId="0" borderId="0" xfId="7" applyAlignment="1">
      <alignment horizontal="center"/>
    </xf>
    <xf numFmtId="0" fontId="6" fillId="0" borderId="0" xfId="0" applyFont="1" applyAlignment="1">
      <alignment horizontal="center"/>
    </xf>
    <xf numFmtId="0" fontId="6" fillId="0" borderId="0" xfId="6" applyAlignment="1">
      <alignment horizontal="center" wrapText="1"/>
    </xf>
    <xf numFmtId="10" fontId="11" fillId="0" borderId="6" xfId="6" applyNumberFormat="1" applyFont="1" applyBorder="1" applyAlignment="1">
      <alignment horizontal="center"/>
    </xf>
    <xf numFmtId="10" fontId="11" fillId="0" borderId="7" xfId="6" applyNumberFormat="1" applyFont="1" applyBorder="1" applyAlignment="1">
      <alignment horizontal="center"/>
    </xf>
    <xf numFmtId="10" fontId="11" fillId="0" borderId="6" xfId="13" applyNumberFormat="1" applyFont="1" applyFill="1" applyBorder="1" applyAlignment="1">
      <alignment horizontal="center"/>
    </xf>
    <xf numFmtId="10" fontId="11" fillId="0" borderId="7" xfId="13" applyNumberFormat="1" applyFont="1" applyFill="1" applyBorder="1" applyAlignment="1">
      <alignment horizontal="center"/>
    </xf>
    <xf numFmtId="0" fontId="1" fillId="0" borderId="0" xfId="18" applyAlignment="1">
      <alignment horizontal="center" vertical="center"/>
    </xf>
    <xf numFmtId="0" fontId="6" fillId="0" borderId="0" xfId="20" applyFont="1" applyAlignment="1">
      <alignment horizontal="center"/>
    </xf>
    <xf numFmtId="0" fontId="2" fillId="0" borderId="0" xfId="10" applyFont="1" applyAlignment="1">
      <alignment horizontal="center"/>
    </xf>
    <xf numFmtId="0" fontId="14" fillId="0" borderId="0" xfId="10" applyFont="1" applyAlignment="1">
      <alignment horizontal="center"/>
    </xf>
    <xf numFmtId="0" fontId="9" fillId="0" borderId="0" xfId="6" applyFont="1" applyAlignment="1">
      <alignment horizontal="center"/>
    </xf>
    <xf numFmtId="0" fontId="6" fillId="0" borderId="2" xfId="6" applyFont="1" applyBorder="1" applyAlignment="1">
      <alignment horizontal="center"/>
    </xf>
    <xf numFmtId="0" fontId="4" fillId="0" borderId="4" xfId="37" applyFont="1" applyFill="1" applyBorder="1" applyAlignment="1">
      <alignment horizontal="center" vertical="center" wrapText="1"/>
    </xf>
    <xf numFmtId="0" fontId="9" fillId="0" borderId="8" xfId="6" applyFont="1" applyBorder="1" applyAlignment="1">
      <alignment horizontal="center" vertical="center"/>
    </xf>
    <xf numFmtId="0" fontId="9" fillId="0" borderId="4" xfId="6" applyFont="1" applyBorder="1" applyAlignment="1">
      <alignment horizontal="center" vertical="center"/>
    </xf>
    <xf numFmtId="0" fontId="9" fillId="0" borderId="8" xfId="10" applyFont="1" applyFill="1" applyBorder="1" applyAlignment="1">
      <alignment horizontal="center" vertical="center" wrapText="1"/>
    </xf>
    <xf numFmtId="0" fontId="9" fillId="0" borderId="4" xfId="10" applyFont="1" applyFill="1" applyBorder="1" applyAlignment="1">
      <alignment horizontal="center" vertical="center" wrapText="1"/>
    </xf>
    <xf numFmtId="0" fontId="6" fillId="0" borderId="3" xfId="29" applyFont="1" applyBorder="1" applyAlignment="1">
      <alignment horizontal="center"/>
    </xf>
    <xf numFmtId="0" fontId="6" fillId="0" borderId="0" xfId="28" applyFont="1" applyAlignment="1">
      <alignment horizontal="left" wrapText="1"/>
    </xf>
    <xf numFmtId="0" fontId="6" fillId="0" borderId="3" xfId="29" applyFont="1" applyBorder="1" applyAlignment="1">
      <alignment horizontal="center" vertical="center"/>
    </xf>
    <xf numFmtId="0" fontId="9" fillId="0" borderId="1" xfId="6" applyFont="1" applyBorder="1" applyAlignment="1">
      <alignment horizontal="center"/>
    </xf>
    <xf numFmtId="0" fontId="9" fillId="0" borderId="1" xfId="6" applyFont="1" applyFill="1" applyBorder="1" applyAlignment="1">
      <alignment horizontal="center"/>
    </xf>
    <xf numFmtId="0" fontId="9" fillId="0" borderId="4" xfId="29" applyFont="1" applyFill="1" applyBorder="1" applyAlignment="1">
      <alignment horizontal="center" vertical="center" wrapText="1"/>
    </xf>
    <xf numFmtId="0" fontId="9" fillId="0" borderId="4" xfId="29" applyFont="1" applyBorder="1" applyAlignment="1">
      <alignment horizontal="center" vertical="center" wrapText="1"/>
    </xf>
    <xf numFmtId="0" fontId="6" fillId="0" borderId="0" xfId="0" applyNumberFormat="1" applyFont="1" applyBorder="1" applyAlignment="1">
      <alignment horizontal="center"/>
    </xf>
  </cellXfs>
  <cellStyles count="39">
    <cellStyle name="Comma" xfId="1" builtinId="3"/>
    <cellStyle name="Comma 10" xfId="5" xr:uid="{00000000-0005-0000-0000-000001000000}"/>
    <cellStyle name="Comma 101" xfId="12" xr:uid="{00000000-0005-0000-0000-000002000000}"/>
    <cellStyle name="Comma 2 2 21" xfId="27" xr:uid="{00000000-0005-0000-0000-000003000000}"/>
    <cellStyle name="Comma 4 17" xfId="23" xr:uid="{00000000-0005-0000-0000-000004000000}"/>
    <cellStyle name="Normal" xfId="0" builtinId="0"/>
    <cellStyle name="Normal 10 10" xfId="6" xr:uid="{00000000-0005-0000-0000-000006000000}"/>
    <cellStyle name="Normal 10 10 3 2" xfId="10" xr:uid="{00000000-0005-0000-0000-000007000000}"/>
    <cellStyle name="Normal 10 10 6 2" xfId="28" xr:uid="{00000000-0005-0000-0000-000008000000}"/>
    <cellStyle name="Normal 10 10 8" xfId="29" xr:uid="{00000000-0005-0000-0000-000009000000}"/>
    <cellStyle name="Normal 12 50" xfId="20" xr:uid="{00000000-0005-0000-0000-00000A000000}"/>
    <cellStyle name="Normal 14 12 10 2 2 2" xfId="37" xr:uid="{00000000-0005-0000-0000-00000B000000}"/>
    <cellStyle name="Normal 195 2" xfId="7" xr:uid="{00000000-0005-0000-0000-00000C000000}"/>
    <cellStyle name="Normal 2" xfId="17" xr:uid="{00000000-0005-0000-0000-00000D000000}"/>
    <cellStyle name="Normal 2 10 2" xfId="15" xr:uid="{00000000-0005-0000-0000-00000E000000}"/>
    <cellStyle name="Normal 2 142 2" xfId="31" xr:uid="{00000000-0005-0000-0000-00000F000000}"/>
    <cellStyle name="Normal 201" xfId="33" xr:uid="{00000000-0005-0000-0000-000010000000}"/>
    <cellStyle name="Normal 246" xfId="3" xr:uid="{00000000-0005-0000-0000-000011000000}"/>
    <cellStyle name="Normal 246 2" xfId="4" xr:uid="{00000000-0005-0000-0000-000012000000}"/>
    <cellStyle name="Normal 252" xfId="8" xr:uid="{00000000-0005-0000-0000-000013000000}"/>
    <cellStyle name="Normal 3" xfId="18" xr:uid="{00000000-0005-0000-0000-000014000000}"/>
    <cellStyle name="Normal 3 115" xfId="14" xr:uid="{00000000-0005-0000-0000-000015000000}"/>
    <cellStyle name="Normal 4" xfId="19" xr:uid="{00000000-0005-0000-0000-000016000000}"/>
    <cellStyle name="Normal 4 4 7" xfId="21" xr:uid="{00000000-0005-0000-0000-000017000000}"/>
    <cellStyle name="Normal 41" xfId="32" xr:uid="{00000000-0005-0000-0000-000018000000}"/>
    <cellStyle name="Normal 5 10 3" xfId="34" xr:uid="{00000000-0005-0000-0000-000019000000}"/>
    <cellStyle name="Normal 6 14" xfId="35" xr:uid="{00000000-0005-0000-0000-00001A000000}"/>
    <cellStyle name="Normal 6 2 5" xfId="11" xr:uid="{00000000-0005-0000-0000-00001B000000}"/>
    <cellStyle name="Percent" xfId="2" builtinId="5"/>
    <cellStyle name="Percent 2 155 2" xfId="26" xr:uid="{00000000-0005-0000-0000-00001D000000}"/>
    <cellStyle name="Percent 2 155 2 3" xfId="38" xr:uid="{00000000-0005-0000-0000-00001E000000}"/>
    <cellStyle name="Percent 2 16" xfId="16" xr:uid="{00000000-0005-0000-0000-00001F000000}"/>
    <cellStyle name="Percent 6 4" xfId="24" xr:uid="{00000000-0005-0000-0000-000020000000}"/>
    <cellStyle name="Percent 79" xfId="22" xr:uid="{00000000-0005-0000-0000-000021000000}"/>
    <cellStyle name="Percent 82" xfId="36" xr:uid="{00000000-0005-0000-0000-000022000000}"/>
    <cellStyle name="Percent 88 3" xfId="25" xr:uid="{00000000-0005-0000-0000-000023000000}"/>
    <cellStyle name="Percent 94 2" xfId="30" xr:uid="{00000000-0005-0000-0000-000024000000}"/>
    <cellStyle name="Percent 95" xfId="9" xr:uid="{00000000-0005-0000-0000-000025000000}"/>
    <cellStyle name="Percent 96" xfId="13" xr:uid="{00000000-0005-0000-0000-000026000000}"/>
  </cellStyles>
  <dxfs count="22">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59996337778862885"/>
        </patternFill>
      </fill>
    </dxf>
    <dxf>
      <font>
        <b/>
        <i val="0"/>
      </font>
    </dxf>
    <dxf>
      <fill>
        <patternFill>
          <bgColor rgb="FFFFC000"/>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319610156256558E-2"/>
          <c:y val="5.824744242613375E-2"/>
          <c:w val="0.90801958413493755"/>
          <c:h val="0.89534282300833379"/>
        </c:manualLayout>
      </c:layout>
      <c:scatterChart>
        <c:scatterStyle val="lineMarker"/>
        <c:varyColors val="0"/>
        <c:ser>
          <c:idx val="1"/>
          <c:order val="0"/>
          <c:tx>
            <c:strRef>
              <c:f>'Exh. No AEB-4 Summary'!$H$5</c:f>
              <c:strCache>
                <c:ptCount val="1"/>
                <c:pt idx="0">
                  <c:v>Constant Growth Mean DCF </c:v>
                </c:pt>
              </c:strCache>
            </c:strRef>
          </c:tx>
          <c:spPr>
            <a:ln w="25400" cap="rnd">
              <a:solidFill>
                <a:schemeClr val="tx1"/>
              </a:solidFill>
              <a:round/>
            </a:ln>
            <a:effectLst/>
          </c:spPr>
          <c:marker>
            <c:symbol val="none"/>
          </c:marker>
          <c:xVal>
            <c:numRef>
              <c:f>'Exh. No AEB-4 Summary'!$I$5:$I$7</c:f>
              <c:numCache>
                <c:formatCode>0.00%</c:formatCode>
                <c:ptCount val="3"/>
                <c:pt idx="0">
                  <c:v>8.1669841847228392E-2</c:v>
                </c:pt>
                <c:pt idx="1">
                  <c:v>9.4595190135877846E-2</c:v>
                </c:pt>
                <c:pt idx="2">
                  <c:v>0.10446746591605</c:v>
                </c:pt>
              </c:numCache>
            </c:numRef>
          </c:xVal>
          <c:yVal>
            <c:numRef>
              <c:f>'Exh. No AEB-4 Summary'!$J$5:$J$7</c:f>
              <c:numCache>
                <c:formatCode>0.0</c:formatCode>
                <c:ptCount val="3"/>
                <c:pt idx="0">
                  <c:v>8</c:v>
                </c:pt>
                <c:pt idx="1">
                  <c:v>8</c:v>
                </c:pt>
                <c:pt idx="2">
                  <c:v>8</c:v>
                </c:pt>
              </c:numCache>
            </c:numRef>
          </c:yVal>
          <c:smooth val="0"/>
          <c:extLst>
            <c:ext xmlns:c16="http://schemas.microsoft.com/office/drawing/2014/chart" uri="{C3380CC4-5D6E-409C-BE32-E72D297353CC}">
              <c16:uniqueId val="{00000000-DC3E-42C7-ACF8-6105E9DDEF8C}"/>
            </c:ext>
          </c:extLst>
        </c:ser>
        <c:ser>
          <c:idx val="4"/>
          <c:order val="1"/>
          <c:tx>
            <c:strRef>
              <c:f>'Exh. No AEB-4 Summary'!$H$11</c:f>
              <c:strCache>
                <c:ptCount val="1"/>
                <c:pt idx="0">
                  <c:v>CAPM </c:v>
                </c:pt>
              </c:strCache>
            </c:strRef>
          </c:tx>
          <c:spPr>
            <a:ln w="25400" cap="rnd">
              <a:solidFill>
                <a:schemeClr val="tx1"/>
              </a:solidFill>
              <a:prstDash val="solid"/>
              <a:round/>
            </a:ln>
            <a:effectLst/>
          </c:spPr>
          <c:marker>
            <c:symbol val="none"/>
          </c:marker>
          <c:xVal>
            <c:numRef>
              <c:f>'Exh. No AEB-4 Summary'!$I$11:$I$12</c:f>
              <c:numCache>
                <c:formatCode>0.00%</c:formatCode>
                <c:ptCount val="2"/>
                <c:pt idx="0">
                  <c:v>0.10333072145050487</c:v>
                </c:pt>
                <c:pt idx="1">
                  <c:v>0.11383836082232235</c:v>
                </c:pt>
              </c:numCache>
            </c:numRef>
          </c:xVal>
          <c:yVal>
            <c:numRef>
              <c:f>'Exh. No AEB-4 Summary'!$J$11:$J$12</c:f>
              <c:numCache>
                <c:formatCode>0.0</c:formatCode>
                <c:ptCount val="2"/>
                <c:pt idx="0">
                  <c:v>5</c:v>
                </c:pt>
                <c:pt idx="1">
                  <c:v>5</c:v>
                </c:pt>
              </c:numCache>
            </c:numRef>
          </c:yVal>
          <c:smooth val="0"/>
          <c:extLst>
            <c:ext xmlns:c16="http://schemas.microsoft.com/office/drawing/2014/chart" uri="{C3380CC4-5D6E-409C-BE32-E72D297353CC}">
              <c16:uniqueId val="{00000001-DC3E-42C7-ACF8-6105E9DDEF8C}"/>
            </c:ext>
          </c:extLst>
        </c:ser>
        <c:ser>
          <c:idx val="9"/>
          <c:order val="2"/>
          <c:tx>
            <c:strRef>
              <c:f>'Exh. No AEB-4 Summary'!$H$13</c:f>
              <c:strCache>
                <c:ptCount val="1"/>
                <c:pt idx="0">
                  <c:v>ECAPM </c:v>
                </c:pt>
              </c:strCache>
            </c:strRef>
          </c:tx>
          <c:spPr>
            <a:ln w="25400" cap="rnd">
              <a:solidFill>
                <a:schemeClr val="tx1"/>
              </a:solidFill>
              <a:round/>
            </a:ln>
            <a:effectLst/>
          </c:spPr>
          <c:marker>
            <c:symbol val="none"/>
          </c:marker>
          <c:xVal>
            <c:numRef>
              <c:f>'Exh. No AEB-4 Summary'!$I$13:$I$14</c:f>
              <c:numCache>
                <c:formatCode>0.00%</c:formatCode>
                <c:ptCount val="2"/>
                <c:pt idx="0">
                  <c:v>0.1087387865942888</c:v>
                </c:pt>
                <c:pt idx="1">
                  <c:v>0.11661951612315188</c:v>
                </c:pt>
              </c:numCache>
            </c:numRef>
          </c:xVal>
          <c:yVal>
            <c:numRef>
              <c:f>'Exh. No AEB-4 Summary'!$J$13:$J$14</c:f>
              <c:numCache>
                <c:formatCode>0.0</c:formatCode>
                <c:ptCount val="2"/>
                <c:pt idx="0">
                  <c:v>4</c:v>
                </c:pt>
                <c:pt idx="1">
                  <c:v>4</c:v>
                </c:pt>
              </c:numCache>
            </c:numRef>
          </c:yVal>
          <c:smooth val="0"/>
          <c:extLst>
            <c:ext xmlns:c16="http://schemas.microsoft.com/office/drawing/2014/chart" uri="{C3380CC4-5D6E-409C-BE32-E72D297353CC}">
              <c16:uniqueId val="{00000002-DC3E-42C7-ACF8-6105E9DDEF8C}"/>
            </c:ext>
          </c:extLst>
        </c:ser>
        <c:ser>
          <c:idx val="2"/>
          <c:order val="3"/>
          <c:tx>
            <c:strRef>
              <c:f>'Exh. No AEB-4 Summary'!$H$8</c:f>
              <c:strCache>
                <c:ptCount val="1"/>
                <c:pt idx="0">
                  <c:v>Constant Growth Median DCF</c:v>
                </c:pt>
              </c:strCache>
            </c:strRef>
          </c:tx>
          <c:spPr>
            <a:ln w="25400" cap="rnd">
              <a:solidFill>
                <a:schemeClr val="tx1"/>
              </a:solidFill>
              <a:round/>
            </a:ln>
            <a:effectLst/>
          </c:spPr>
          <c:marker>
            <c:symbol val="none"/>
          </c:marker>
          <c:xVal>
            <c:numRef>
              <c:f>'Exh. No AEB-4 Summary'!$I$8:$I$10</c:f>
              <c:numCache>
                <c:formatCode>0.00%</c:formatCode>
                <c:ptCount val="3"/>
                <c:pt idx="0">
                  <c:v>8.0105054636730663E-2</c:v>
                </c:pt>
                <c:pt idx="1">
                  <c:v>9.427236330133619E-2</c:v>
                </c:pt>
                <c:pt idx="2">
                  <c:v>0.10164138211479216</c:v>
                </c:pt>
              </c:numCache>
            </c:numRef>
          </c:xVal>
          <c:yVal>
            <c:numRef>
              <c:f>'Exh. No AEB-4 Summary'!$J$8:$J$10</c:f>
              <c:numCache>
                <c:formatCode>0.0</c:formatCode>
                <c:ptCount val="3"/>
                <c:pt idx="0">
                  <c:v>7</c:v>
                </c:pt>
                <c:pt idx="1">
                  <c:v>7</c:v>
                </c:pt>
                <c:pt idx="2">
                  <c:v>7</c:v>
                </c:pt>
              </c:numCache>
            </c:numRef>
          </c:yVal>
          <c:smooth val="0"/>
          <c:extLst>
            <c:ext xmlns:c16="http://schemas.microsoft.com/office/drawing/2014/chart" uri="{C3380CC4-5D6E-409C-BE32-E72D297353CC}">
              <c16:uniqueId val="{00000006-DC3E-42C7-ACF8-6105E9DDEF8C}"/>
            </c:ext>
          </c:extLst>
        </c:ser>
        <c:ser>
          <c:idx val="3"/>
          <c:order val="4"/>
          <c:tx>
            <c:strRef>
              <c:f>'Exh. No AEB-4 Summary'!$H$15</c:f>
              <c:strCache>
                <c:ptCount val="1"/>
                <c:pt idx="0">
                  <c:v>Risk Premium</c:v>
                </c:pt>
              </c:strCache>
            </c:strRef>
          </c:tx>
          <c:spPr>
            <a:ln w="19050" cap="rnd">
              <a:solidFill>
                <a:schemeClr val="tx1"/>
              </a:solidFill>
              <a:round/>
            </a:ln>
            <a:effectLst/>
          </c:spPr>
          <c:marker>
            <c:symbol val="none"/>
          </c:marker>
          <c:xVal>
            <c:numRef>
              <c:f>'Exh. No AEB-4 Summary'!$I$15:$I$16</c:f>
              <c:numCache>
                <c:formatCode>0.00%</c:formatCode>
                <c:ptCount val="2"/>
                <c:pt idx="0">
                  <c:v>0.10232391779262304</c:v>
                </c:pt>
                <c:pt idx="1">
                  <c:v>0.10315805832389577</c:v>
                </c:pt>
              </c:numCache>
            </c:numRef>
          </c:xVal>
          <c:yVal>
            <c:numRef>
              <c:f>'Exh. No AEB-4 Summary'!$J$15:$J$16</c:f>
              <c:numCache>
                <c:formatCode>0.0</c:formatCode>
                <c:ptCount val="2"/>
                <c:pt idx="0">
                  <c:v>3</c:v>
                </c:pt>
                <c:pt idx="1">
                  <c:v>3</c:v>
                </c:pt>
              </c:numCache>
            </c:numRef>
          </c:yVal>
          <c:smooth val="0"/>
          <c:extLst>
            <c:ext xmlns:c16="http://schemas.microsoft.com/office/drawing/2014/chart" uri="{C3380CC4-5D6E-409C-BE32-E72D297353CC}">
              <c16:uniqueId val="{00000007-DC3E-42C7-ACF8-6105E9DDEF8C}"/>
            </c:ext>
          </c:extLst>
        </c:ser>
        <c:ser>
          <c:idx val="0"/>
          <c:order val="5"/>
          <c:spPr>
            <a:ln w="19050" cap="rnd">
              <a:solidFill>
                <a:schemeClr val="tx1"/>
              </a:solidFill>
              <a:prstDash val="dash"/>
              <a:round/>
            </a:ln>
            <a:effectLst/>
          </c:spPr>
          <c:marker>
            <c:symbol val="none"/>
          </c:marker>
          <c:xVal>
            <c:numRef>
              <c:f>'Exh. No AEB-4 Summary'!$I$19:$I$20</c:f>
              <c:numCache>
                <c:formatCode>0.00%</c:formatCode>
                <c:ptCount val="2"/>
                <c:pt idx="0">
                  <c:v>9.9000000000000005E-2</c:v>
                </c:pt>
                <c:pt idx="1">
                  <c:v>9.9000000000000005E-2</c:v>
                </c:pt>
              </c:numCache>
            </c:numRef>
          </c:xVal>
          <c:yVal>
            <c:numRef>
              <c:f>'Exh. No AEB-4 Summary'!$J$19:$J$20</c:f>
              <c:numCache>
                <c:formatCode>0.0</c:formatCode>
                <c:ptCount val="2"/>
                <c:pt idx="0">
                  <c:v>0</c:v>
                </c:pt>
                <c:pt idx="1">
                  <c:v>9</c:v>
                </c:pt>
              </c:numCache>
            </c:numRef>
          </c:yVal>
          <c:smooth val="0"/>
          <c:extLst>
            <c:ext xmlns:c16="http://schemas.microsoft.com/office/drawing/2014/chart" uri="{C3380CC4-5D6E-409C-BE32-E72D297353CC}">
              <c16:uniqueId val="{00000000-4AE9-4EA6-9E1E-7CDA8ACADB43}"/>
            </c:ext>
          </c:extLst>
        </c:ser>
        <c:ser>
          <c:idx val="5"/>
          <c:order val="6"/>
          <c:spPr>
            <a:ln w="19050" cap="rnd">
              <a:solidFill>
                <a:schemeClr val="tx1"/>
              </a:solidFill>
              <a:prstDash val="dash"/>
              <a:round/>
            </a:ln>
            <a:effectLst/>
          </c:spPr>
          <c:marker>
            <c:symbol val="none"/>
          </c:marker>
          <c:xVal>
            <c:numRef>
              <c:f>'Exh. No AEB-4 Summary'!$I$21:$I$22</c:f>
              <c:numCache>
                <c:formatCode>0.00%</c:formatCode>
                <c:ptCount val="2"/>
                <c:pt idx="0">
                  <c:v>0.11</c:v>
                </c:pt>
                <c:pt idx="1">
                  <c:v>0.11</c:v>
                </c:pt>
              </c:numCache>
            </c:numRef>
          </c:xVal>
          <c:yVal>
            <c:numRef>
              <c:f>'Exh. No AEB-4 Summary'!$J$21:$J$22</c:f>
              <c:numCache>
                <c:formatCode>0.0</c:formatCode>
                <c:ptCount val="2"/>
                <c:pt idx="0">
                  <c:v>0</c:v>
                </c:pt>
                <c:pt idx="1">
                  <c:v>9</c:v>
                </c:pt>
              </c:numCache>
            </c:numRef>
          </c:yVal>
          <c:smooth val="0"/>
          <c:extLst>
            <c:ext xmlns:c16="http://schemas.microsoft.com/office/drawing/2014/chart" uri="{C3380CC4-5D6E-409C-BE32-E72D297353CC}">
              <c16:uniqueId val="{00000001-4AE9-4EA6-9E1E-7CDA8ACADB43}"/>
            </c:ext>
          </c:extLst>
        </c:ser>
        <c:ser>
          <c:idx val="7"/>
          <c:order val="7"/>
          <c:tx>
            <c:strRef>
              <c:f>'Exh. No AEB-4 Summary'!$H$17</c:f>
              <c:strCache>
                <c:ptCount val="1"/>
                <c:pt idx="0">
                  <c:v>Expected Earnings</c:v>
                </c:pt>
              </c:strCache>
            </c:strRef>
          </c:tx>
          <c:spPr>
            <a:ln w="19050" cap="rnd">
              <a:solidFill>
                <a:schemeClr val="tx1"/>
              </a:solidFill>
              <a:round/>
            </a:ln>
            <a:effectLst/>
          </c:spPr>
          <c:marker>
            <c:symbol val="none"/>
          </c:marker>
          <c:xVal>
            <c:numRef>
              <c:f>'Exh. No AEB-4 Summary'!$I$17:$I$18</c:f>
              <c:numCache>
                <c:formatCode>0.00%</c:formatCode>
                <c:ptCount val="2"/>
                <c:pt idx="0">
                  <c:v>0.11251216622771187</c:v>
                </c:pt>
                <c:pt idx="1">
                  <c:v>0.11307080745908356</c:v>
                </c:pt>
              </c:numCache>
            </c:numRef>
          </c:xVal>
          <c:yVal>
            <c:numRef>
              <c:f>'Exh. No AEB-4 Summary'!$J$17:$J$18</c:f>
              <c:numCache>
                <c:formatCode>0.0</c:formatCode>
                <c:ptCount val="2"/>
                <c:pt idx="0">
                  <c:v>2</c:v>
                </c:pt>
                <c:pt idx="1">
                  <c:v>2</c:v>
                </c:pt>
              </c:numCache>
            </c:numRef>
          </c:yVal>
          <c:smooth val="0"/>
          <c:extLst>
            <c:ext xmlns:c16="http://schemas.microsoft.com/office/drawing/2014/chart" uri="{C3380CC4-5D6E-409C-BE32-E72D297353CC}">
              <c16:uniqueId val="{00000000-3841-44D5-B915-229E3CDC6F18}"/>
            </c:ext>
          </c:extLst>
        </c:ser>
        <c:ser>
          <c:idx val="6"/>
          <c:order val="8"/>
          <c:tx>
            <c:strRef>
              <c:f>'Exh. No AEB-4 Summary'!$H$23</c:f>
              <c:strCache>
                <c:ptCount val="1"/>
                <c:pt idx="0">
                  <c:v>Recommended ROE</c:v>
                </c:pt>
              </c:strCache>
            </c:strRef>
          </c:tx>
          <c:spPr>
            <a:ln w="19050" cap="rnd">
              <a:solidFill>
                <a:schemeClr val="accent1">
                  <a:lumMod val="60000"/>
                </a:schemeClr>
              </a:solidFill>
              <a:round/>
            </a:ln>
            <a:effectLst/>
          </c:spPr>
          <c:marker>
            <c:symbol val="none"/>
          </c:marker>
          <c:xVal>
            <c:numRef>
              <c:f>'Exh. No AEB-4 Summary'!$I$23</c:f>
              <c:numCache>
                <c:formatCode>0.00%</c:formatCode>
                <c:ptCount val="1"/>
                <c:pt idx="0">
                  <c:v>0.10299999999999999</c:v>
                </c:pt>
              </c:numCache>
            </c:numRef>
          </c:xVal>
          <c:yVal>
            <c:numRef>
              <c:f>'Exh. No AEB-4 Summary'!$J$23</c:f>
              <c:numCache>
                <c:formatCode>0.0</c:formatCode>
                <c:ptCount val="1"/>
                <c:pt idx="0">
                  <c:v>5</c:v>
                </c:pt>
              </c:numCache>
            </c:numRef>
          </c:yVal>
          <c:smooth val="0"/>
          <c:extLst>
            <c:ext xmlns:c16="http://schemas.microsoft.com/office/drawing/2014/chart" uri="{C3380CC4-5D6E-409C-BE32-E72D297353CC}">
              <c16:uniqueId val="{00000003-4AE9-4EA6-9E1E-7CDA8ACADB43}"/>
            </c:ext>
          </c:extLst>
        </c:ser>
        <c:dLbls>
          <c:showLegendKey val="0"/>
          <c:showVal val="0"/>
          <c:showCatName val="0"/>
          <c:showSerName val="0"/>
          <c:showPercent val="0"/>
          <c:showBubbleSize val="0"/>
        </c:dLbls>
        <c:axId val="238422656"/>
        <c:axId val="238432640"/>
      </c:scatterChart>
      <c:valAx>
        <c:axId val="238422656"/>
        <c:scaling>
          <c:orientation val="minMax"/>
          <c:max val="0.12000000000000001"/>
          <c:min val="7.5000000000000011E-2"/>
        </c:scaling>
        <c:delete val="0"/>
        <c:axPos val="b"/>
        <c:numFmt formatCode="0.00%" sourceLinked="1"/>
        <c:majorTickMark val="in"/>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38432640"/>
        <c:crosses val="autoZero"/>
        <c:crossBetween val="midCat"/>
        <c:majorUnit val="5.0000000000000027E-3"/>
      </c:valAx>
      <c:valAx>
        <c:axId val="238432640"/>
        <c:scaling>
          <c:orientation val="minMax"/>
          <c:max val="9"/>
        </c:scaling>
        <c:delete val="1"/>
        <c:axPos val="l"/>
        <c:majorGridlines>
          <c:spPr>
            <a:ln w="9525" cap="flat" cmpd="sng" algn="ctr">
              <a:noFill/>
              <a:round/>
            </a:ln>
            <a:effectLst/>
          </c:spPr>
        </c:majorGridlines>
        <c:numFmt formatCode="0.0" sourceLinked="1"/>
        <c:majorTickMark val="out"/>
        <c:minorTickMark val="none"/>
        <c:tickLblPos val="nextTo"/>
        <c:crossAx val="238422656"/>
        <c:crossesAt val="0.1"/>
        <c:crossBetween val="midCat"/>
        <c:majorUnit val="1"/>
      </c:valAx>
      <c:spPr>
        <a:noFill/>
        <a:ln>
          <a:solidFill>
            <a:sysClr val="windowText" lastClr="000000"/>
          </a:solid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32117500893605"/>
          <c:y val="2.8104184646706058E-2"/>
          <c:w val="0.85044618010784101"/>
          <c:h val="0.81212352563677004"/>
        </c:manualLayout>
      </c:layout>
      <c:scatterChart>
        <c:scatterStyle val="smoothMarker"/>
        <c:varyColors val="0"/>
        <c:ser>
          <c:idx val="0"/>
          <c:order val="0"/>
          <c:spPr>
            <a:ln w="19050" cap="rnd">
              <a:noFill/>
              <a:round/>
            </a:ln>
            <a:effectLst/>
          </c:spPr>
          <c:marker>
            <c:symbol val="diamond"/>
            <c:size val="7"/>
            <c:spPr>
              <a:solidFill>
                <a:schemeClr val="tx1"/>
              </a:solidFill>
              <a:ln w="9525">
                <a:solidFill>
                  <a:schemeClr val="tx1"/>
                </a:solidFill>
              </a:ln>
              <a:effectLst/>
            </c:spPr>
          </c:marker>
          <c:trendline>
            <c:spPr>
              <a:ln w="12700" cap="rnd">
                <a:solidFill>
                  <a:schemeClr val="tx1"/>
                </a:solidFill>
                <a:prstDash val="solid"/>
              </a:ln>
              <a:effectLst/>
            </c:spPr>
            <c:trendlineType val="linear"/>
            <c:dispRSqr val="1"/>
            <c:dispEq val="1"/>
            <c:trendlineLbl>
              <c:layout>
                <c:manualLayout>
                  <c:x val="-3.5500229939206318E-2"/>
                  <c:y val="-0.4733504150670112"/>
                </c:manualLayout>
              </c:layout>
              <c:numFmt formatCode="General" sourceLinked="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rendlineLbl>
          </c:trendline>
          <c:xVal>
            <c:numRef>
              <c:f>'Exh. No. AEB-10 Risk Premium'!$D$6:$D$130</c:f>
              <c:numCache>
                <c:formatCode>0.00%</c:formatCode>
                <c:ptCount val="125"/>
                <c:pt idx="0">
                  <c:v>7.8050793650793662E-2</c:v>
                </c:pt>
                <c:pt idx="1">
                  <c:v>7.8976190476190478E-2</c:v>
                </c:pt>
                <c:pt idx="2">
                  <c:v>7.4456250000000002E-2</c:v>
                </c:pt>
                <c:pt idx="3">
                  <c:v>7.5235937499999989E-2</c:v>
                </c:pt>
                <c:pt idx="4">
                  <c:v>7.0716129032258074E-2</c:v>
                </c:pt>
                <c:pt idx="5">
                  <c:v>6.8584126984127011E-2</c:v>
                </c:pt>
                <c:pt idx="6">
                  <c:v>6.3154687500000015E-2</c:v>
                </c:pt>
                <c:pt idx="7">
                  <c:v>6.1351562500000012E-2</c:v>
                </c:pt>
                <c:pt idx="8">
                  <c:v>6.5758730158730155E-2</c:v>
                </c:pt>
                <c:pt idx="9">
                  <c:v>7.3622580645161306E-2</c:v>
                </c:pt>
                <c:pt idx="10">
                  <c:v>7.5893750000000024E-2</c:v>
                </c:pt>
                <c:pt idx="11">
                  <c:v>7.9633333333333334E-2</c:v>
                </c:pt>
                <c:pt idx="12">
                  <c:v>7.6334374999999996E-2</c:v>
                </c:pt>
                <c:pt idx="13">
                  <c:v>6.9422222222222191E-2</c:v>
                </c:pt>
                <c:pt idx="14">
                  <c:v>6.7173015873015857E-2</c:v>
                </c:pt>
                <c:pt idx="15">
                  <c:v>6.2390476190476205E-2</c:v>
                </c:pt>
                <c:pt idx="16">
                  <c:v>6.2916923076923065E-2</c:v>
                </c:pt>
                <c:pt idx="17">
                  <c:v>6.9215384615384609E-2</c:v>
                </c:pt>
                <c:pt idx="18">
                  <c:v>6.9672727272727275E-2</c:v>
                </c:pt>
                <c:pt idx="19">
                  <c:v>6.6199999999999995E-2</c:v>
                </c:pt>
                <c:pt idx="20">
                  <c:v>6.8153124999999995E-2</c:v>
                </c:pt>
                <c:pt idx="21">
                  <c:v>6.9369230769230752E-2</c:v>
                </c:pt>
                <c:pt idx="22">
                  <c:v>6.5304545454545448E-2</c:v>
                </c:pt>
                <c:pt idx="23">
                  <c:v>6.1478125000000015E-2</c:v>
                </c:pt>
                <c:pt idx="24">
                  <c:v>5.884375E-2</c:v>
                </c:pt>
                <c:pt idx="25">
                  <c:v>5.8490769230769207E-2</c:v>
                </c:pt>
                <c:pt idx="26">
                  <c:v>5.4762121212121241E-2</c:v>
                </c:pt>
                <c:pt idx="27">
                  <c:v>5.1071212121212115E-2</c:v>
                </c:pt>
                <c:pt idx="28">
                  <c:v>5.3734374999999994E-2</c:v>
                </c:pt>
                <c:pt idx="29">
                  <c:v>5.7987692307692289E-2</c:v>
                </c:pt>
                <c:pt idx="30">
                  <c:v>6.040757575757575E-2</c:v>
                </c:pt>
                <c:pt idx="31">
                  <c:v>6.2559090909090911E-2</c:v>
                </c:pt>
                <c:pt idx="32">
                  <c:v>6.2958461538461505E-2</c:v>
                </c:pt>
                <c:pt idx="33">
                  <c:v>5.9787692307692299E-2</c:v>
                </c:pt>
                <c:pt idx="34">
                  <c:v>5.7932307692307693E-2</c:v>
                </c:pt>
                <c:pt idx="35">
                  <c:v>5.6907692307692305E-2</c:v>
                </c:pt>
                <c:pt idx="36">
                  <c:v>5.4464615384615396E-2</c:v>
                </c:pt>
                <c:pt idx="37">
                  <c:v>5.7016923076923069E-2</c:v>
                </c:pt>
                <c:pt idx="38">
                  <c:v>5.5250769230769207E-2</c:v>
                </c:pt>
                <c:pt idx="39">
                  <c:v>5.3019696969696967E-2</c:v>
                </c:pt>
                <c:pt idx="40">
                  <c:v>5.51578125E-2</c:v>
                </c:pt>
                <c:pt idx="41">
                  <c:v>5.6164615384615389E-2</c:v>
                </c:pt>
                <c:pt idx="42">
                  <c:v>5.0868181818181826E-2</c:v>
                </c:pt>
                <c:pt idx="43">
                  <c:v>4.9322727272727268E-2</c:v>
                </c:pt>
                <c:pt idx="44">
                  <c:v>4.8518749999999999E-2</c:v>
                </c:pt>
                <c:pt idx="45">
                  <c:v>4.6032307692307678E-2</c:v>
                </c:pt>
                <c:pt idx="46">
                  <c:v>5.113939393939395E-2</c:v>
                </c:pt>
                <c:pt idx="47">
                  <c:v>5.1146969696969691E-2</c:v>
                </c:pt>
                <c:pt idx="48">
                  <c:v>4.8776923076923072E-2</c:v>
                </c:pt>
                <c:pt idx="49">
                  <c:v>5.3353846153846154E-2</c:v>
                </c:pt>
                <c:pt idx="50">
                  <c:v>5.1074242424242439E-2</c:v>
                </c:pt>
                <c:pt idx="51">
                  <c:v>4.9322727272727296E-2</c:v>
                </c:pt>
                <c:pt idx="52">
                  <c:v>4.7070312500000003E-2</c:v>
                </c:pt>
                <c:pt idx="53">
                  <c:v>4.4709230769230765E-2</c:v>
                </c:pt>
                <c:pt idx="54">
                  <c:v>4.4228787878787867E-2</c:v>
                </c:pt>
                <c:pt idx="55">
                  <c:v>4.6523076923076924E-2</c:v>
                </c:pt>
                <c:pt idx="56">
                  <c:v>4.6270769230769213E-2</c:v>
                </c:pt>
                <c:pt idx="57">
                  <c:v>5.1427692307692299E-2</c:v>
                </c:pt>
                <c:pt idx="58">
                  <c:v>4.9955384615384631E-2</c:v>
                </c:pt>
                <c:pt idx="59">
                  <c:v>4.7423076923076908E-2</c:v>
                </c:pt>
                <c:pt idx="60">
                  <c:v>4.7975384615384635E-2</c:v>
                </c:pt>
                <c:pt idx="61">
                  <c:v>4.9892307692307715E-2</c:v>
                </c:pt>
                <c:pt idx="62">
                  <c:v>4.9499999999999982E-2</c:v>
                </c:pt>
                <c:pt idx="63">
                  <c:v>4.6140000000000014E-2</c:v>
                </c:pt>
                <c:pt idx="64">
                  <c:v>4.409538461538462E-2</c:v>
                </c:pt>
                <c:pt idx="65">
                  <c:v>4.5739999999999996E-2</c:v>
                </c:pt>
                <c:pt idx="66">
                  <c:v>4.4501515151515146E-2</c:v>
                </c:pt>
                <c:pt idx="67">
                  <c:v>3.6437500000000005E-2</c:v>
                </c:pt>
                <c:pt idx="68">
                  <c:v>3.4393749999999994E-2</c:v>
                </c:pt>
                <c:pt idx="69">
                  <c:v>4.1692307692307695E-2</c:v>
                </c:pt>
                <c:pt idx="70">
                  <c:v>4.321666666666666E-2</c:v>
                </c:pt>
                <c:pt idx="71">
                  <c:v>4.3392187499999998E-2</c:v>
                </c:pt>
                <c:pt idx="72">
                  <c:v>4.6243749999999986E-2</c:v>
                </c:pt>
                <c:pt idx="73">
                  <c:v>4.3692307692307676E-2</c:v>
                </c:pt>
                <c:pt idx="74">
                  <c:v>3.8563636363636355E-2</c:v>
                </c:pt>
                <c:pt idx="75">
                  <c:v>4.1749230769230768E-2</c:v>
                </c:pt>
                <c:pt idx="76">
                  <c:v>4.5609374999999994E-2</c:v>
                </c:pt>
                <c:pt idx="77">
                  <c:v>4.3387692307692308E-2</c:v>
                </c:pt>
                <c:pt idx="78">
                  <c:v>3.6960606060606048E-2</c:v>
                </c:pt>
                <c:pt idx="79">
                  <c:v>3.0376190476190473E-2</c:v>
                </c:pt>
                <c:pt idx="80">
                  <c:v>3.1361538461538462E-2</c:v>
                </c:pt>
                <c:pt idx="81">
                  <c:v>2.9363076923076922E-2</c:v>
                </c:pt>
                <c:pt idx="82">
                  <c:v>2.7429230769230779E-2</c:v>
                </c:pt>
                <c:pt idx="83">
                  <c:v>2.8639062499999993E-2</c:v>
                </c:pt>
                <c:pt idx="84">
                  <c:v>3.1303125000000008E-2</c:v>
                </c:pt>
                <c:pt idx="85">
                  <c:v>3.1412307692307684E-2</c:v>
                </c:pt>
                <c:pt idx="86">
                  <c:v>3.7107575757575756E-2</c:v>
                </c:pt>
                <c:pt idx="87">
                  <c:v>3.7882812500000008E-2</c:v>
                </c:pt>
                <c:pt idx="88">
                  <c:v>3.6903125000000009E-2</c:v>
                </c:pt>
                <c:pt idx="89">
                  <c:v>3.4430769230769237E-2</c:v>
                </c:pt>
                <c:pt idx="90">
                  <c:v>3.2657575757575753E-2</c:v>
                </c:pt>
                <c:pt idx="91">
                  <c:v>2.9637499999999997E-2</c:v>
                </c:pt>
                <c:pt idx="92">
                  <c:v>2.5540625000000004E-2</c:v>
                </c:pt>
                <c:pt idx="93">
                  <c:v>2.8836923076923083E-2</c:v>
                </c:pt>
                <c:pt idx="94">
                  <c:v>2.9624242424242438E-2</c:v>
                </c:pt>
                <c:pt idx="95">
                  <c:v>2.9630303030303028E-2</c:v>
                </c:pt>
                <c:pt idx="96">
                  <c:v>2.7218461538461539E-2</c:v>
                </c:pt>
                <c:pt idx="97">
                  <c:v>2.5672307692307696E-2</c:v>
                </c:pt>
                <c:pt idx="98">
                  <c:v>2.2793939393939398E-2</c:v>
                </c:pt>
                <c:pt idx="99">
                  <c:v>2.8333846153846154E-2</c:v>
                </c:pt>
                <c:pt idx="100">
                  <c:v>3.0452307692307709E-2</c:v>
                </c:pt>
                <c:pt idx="101">
                  <c:v>2.8972307692307693E-2</c:v>
                </c:pt>
                <c:pt idx="102">
                  <c:v>2.8173846153846157E-2</c:v>
                </c:pt>
                <c:pt idx="103">
                  <c:v>2.817384615384615E-2</c:v>
                </c:pt>
                <c:pt idx="104">
                  <c:v>3.0235384615384615E-2</c:v>
                </c:pt>
                <c:pt idx="105">
                  <c:v>3.0853846153846162E-2</c:v>
                </c:pt>
                <c:pt idx="106">
                  <c:v>3.0607692307692315E-2</c:v>
                </c:pt>
                <c:pt idx="107">
                  <c:v>3.26939393939394E-2</c:v>
                </c:pt>
                <c:pt idx="108">
                  <c:v>3.0129687499999998E-2</c:v>
                </c:pt>
                <c:pt idx="109">
                  <c:v>2.7836923076923075E-2</c:v>
                </c:pt>
                <c:pt idx="110">
                  <c:v>2.2849999999999995E-2</c:v>
                </c:pt>
                <c:pt idx="111">
                  <c:v>2.2566666666666676E-2</c:v>
                </c:pt>
                <c:pt idx="112">
                  <c:v>1.8878461538461538E-2</c:v>
                </c:pt>
                <c:pt idx="113">
                  <c:v>1.3801538461538454E-2</c:v>
                </c:pt>
                <c:pt idx="114">
                  <c:v>1.3654545454545457E-2</c:v>
                </c:pt>
                <c:pt idx="115">
                  <c:v>1.6210606060606054E-2</c:v>
                </c:pt>
                <c:pt idx="116">
                  <c:v>2.0748437499999998E-2</c:v>
                </c:pt>
                <c:pt idx="117">
                  <c:v>2.2579999999999996E-2</c:v>
                </c:pt>
                <c:pt idx="118">
                  <c:v>1.9333333333333327E-2</c:v>
                </c:pt>
                <c:pt idx="119">
                  <c:v>1.9479687499999995E-2</c:v>
                </c:pt>
                <c:pt idx="120">
                  <c:v>2.2546031746031748E-2</c:v>
                </c:pt>
                <c:pt idx="121">
                  <c:v>3.0455384615384599E-2</c:v>
                </c:pt>
                <c:pt idx="122">
                  <c:v>3.2607575757575759E-2</c:v>
                </c:pt>
                <c:pt idx="123">
                  <c:v>3.8912500000000003E-2</c:v>
                </c:pt>
                <c:pt idx="124">
                  <c:v>3.6759090909090915E-2</c:v>
                </c:pt>
              </c:numCache>
            </c:numRef>
          </c:xVal>
          <c:yVal>
            <c:numRef>
              <c:f>'Exh. No. AEB-10 Risk Premium'!$E$6:$E$130</c:f>
              <c:numCache>
                <c:formatCode>0.00%</c:formatCode>
                <c:ptCount val="125"/>
                <c:pt idx="0">
                  <c:v>4.5759206349206355E-2</c:v>
                </c:pt>
                <c:pt idx="1">
                  <c:v>3.9298809523809528E-2</c:v>
                </c:pt>
                <c:pt idx="2">
                  <c:v>4.5856249999999987E-2</c:v>
                </c:pt>
                <c:pt idx="3">
                  <c:v>4.6170729166666688E-2</c:v>
                </c:pt>
                <c:pt idx="4">
                  <c:v>4.7641013824884781E-2</c:v>
                </c:pt>
                <c:pt idx="5">
                  <c:v>4.7826984126984079E-2</c:v>
                </c:pt>
                <c:pt idx="6">
                  <c:v>4.8361979166666652E-2</c:v>
                </c:pt>
                <c:pt idx="7">
                  <c:v>4.9065104166666651E-2</c:v>
                </c:pt>
                <c:pt idx="8">
                  <c:v>4.4911269841269849E-2</c:v>
                </c:pt>
                <c:pt idx="9">
                  <c:v>3.767741935483869E-2</c:v>
                </c:pt>
                <c:pt idx="10">
                  <c:v>5.1606249999999979E-2</c:v>
                </c:pt>
                <c:pt idx="11">
                  <c:v>3.2750000000000001E-2</c:v>
                </c:pt>
                <c:pt idx="12">
                  <c:v>4.3278125000000001E-2</c:v>
                </c:pt>
                <c:pt idx="13">
                  <c:v>4.3740277777777808E-2</c:v>
                </c:pt>
                <c:pt idx="14">
                  <c:v>4.6526984126984139E-2</c:v>
                </c:pt>
                <c:pt idx="15">
                  <c:v>5.3452380952380932E-2</c:v>
                </c:pt>
                <c:pt idx="16">
                  <c:v>5.1683076923076943E-2</c:v>
                </c:pt>
                <c:pt idx="17">
                  <c:v>4.5373504273504298E-2</c:v>
                </c:pt>
                <c:pt idx="18">
                  <c:v>3.7327272727272737E-2</c:v>
                </c:pt>
                <c:pt idx="19">
                  <c:v>4.9399999999999999E-2</c:v>
                </c:pt>
                <c:pt idx="20">
                  <c:v>4.2646875000000001E-2</c:v>
                </c:pt>
                <c:pt idx="21">
                  <c:v>4.6797435897435929E-2</c:v>
                </c:pt>
                <c:pt idx="22">
                  <c:v>5.4695454545454547E-2</c:v>
                </c:pt>
                <c:pt idx="23">
                  <c:v>4.9121874999999988E-2</c:v>
                </c:pt>
                <c:pt idx="24">
                  <c:v>5.4281249999999989E-2</c:v>
                </c:pt>
                <c:pt idx="25">
                  <c:v>6.350923076923079E-2</c:v>
                </c:pt>
                <c:pt idx="26">
                  <c:v>6.1737878787878765E-2</c:v>
                </c:pt>
                <c:pt idx="27">
                  <c:v>7.1928787878787884E-2</c:v>
                </c:pt>
                <c:pt idx="28">
                  <c:v>5.0265625000000015E-2</c:v>
                </c:pt>
                <c:pt idx="29">
                  <c:v>5.1412307692307709E-2</c:v>
                </c:pt>
                <c:pt idx="30">
                  <c:v>4.7092424242424248E-2</c:v>
                </c:pt>
                <c:pt idx="31">
                  <c:v>4.844090909090909E-2</c:v>
                </c:pt>
                <c:pt idx="32">
                  <c:v>4.9166538461538498E-2</c:v>
                </c:pt>
                <c:pt idx="33">
                  <c:v>5.0212307692307702E-2</c:v>
                </c:pt>
                <c:pt idx="34">
                  <c:v>5.8867692307692308E-2</c:v>
                </c:pt>
                <c:pt idx="35">
                  <c:v>6.8092307692307702E-2</c:v>
                </c:pt>
                <c:pt idx="36">
                  <c:v>5.9285384615384608E-2</c:v>
                </c:pt>
                <c:pt idx="37">
                  <c:v>5.2983076923076931E-2</c:v>
                </c:pt>
                <c:pt idx="38">
                  <c:v>5.2306373626373658E-2</c:v>
                </c:pt>
                <c:pt idx="39">
                  <c:v>6.691363636363637E-2</c:v>
                </c:pt>
                <c:pt idx="40">
                  <c:v>4.5342187500000006E-2</c:v>
                </c:pt>
                <c:pt idx="41">
                  <c:v>5.7885384615384609E-2</c:v>
                </c:pt>
                <c:pt idx="42">
                  <c:v>6.563181818181818E-2</c:v>
                </c:pt>
                <c:pt idx="43">
                  <c:v>6.6343939393939386E-2</c:v>
                </c:pt>
                <c:pt idx="44">
                  <c:v>6.8681249999999999E-2</c:v>
                </c:pt>
                <c:pt idx="45">
                  <c:v>6.5592692307692324E-2</c:v>
                </c:pt>
                <c:pt idx="46">
                  <c:v>5.3860606060606046E-2</c:v>
                </c:pt>
                <c:pt idx="47">
                  <c:v>6.2253030303030296E-2</c:v>
                </c:pt>
                <c:pt idx="48">
                  <c:v>6.1223076923076915E-2</c:v>
                </c:pt>
                <c:pt idx="49">
                  <c:v>5.3031868131868137E-2</c:v>
                </c:pt>
                <c:pt idx="50">
                  <c:v>5.642575757575756E-2</c:v>
                </c:pt>
                <c:pt idx="51">
                  <c:v>6.3117272727272716E-2</c:v>
                </c:pt>
                <c:pt idx="52">
                  <c:v>5.9179687500000008E-2</c:v>
                </c:pt>
                <c:pt idx="53">
                  <c:v>5.8415769230769229E-2</c:v>
                </c:pt>
                <c:pt idx="54">
                  <c:v>6.6604545454545472E-2</c:v>
                </c:pt>
                <c:pt idx="55">
                  <c:v>5.978942307692308E-2</c:v>
                </c:pt>
                <c:pt idx="56">
                  <c:v>6.0679230769230791E-2</c:v>
                </c:pt>
                <c:pt idx="57">
                  <c:v>5.6447307692307686E-2</c:v>
                </c:pt>
                <c:pt idx="58">
                  <c:v>5.3511282051282034E-2</c:v>
                </c:pt>
                <c:pt idx="59">
                  <c:v>5.9076923076923089E-2</c:v>
                </c:pt>
                <c:pt idx="60">
                  <c:v>5.7941282051282024E-2</c:v>
                </c:pt>
                <c:pt idx="61">
                  <c:v>5.335769230769228E-2</c:v>
                </c:pt>
                <c:pt idx="62">
                  <c:v>5.4500000000000028E-2</c:v>
                </c:pt>
                <c:pt idx="63">
                  <c:v>6.0359999999999969E-2</c:v>
                </c:pt>
                <c:pt idx="64">
                  <c:v>6.2054615384615375E-2</c:v>
                </c:pt>
                <c:pt idx="65">
                  <c:v>5.9622500000000002E-2</c:v>
                </c:pt>
                <c:pt idx="66">
                  <c:v>5.9765151515151528E-2</c:v>
                </c:pt>
                <c:pt idx="67">
                  <c:v>6.7437499999999984E-2</c:v>
                </c:pt>
                <c:pt idx="68">
                  <c:v>7.3126250000000004E-2</c:v>
                </c:pt>
                <c:pt idx="69">
                  <c:v>6.5807692307692303E-2</c:v>
                </c:pt>
                <c:pt idx="70">
                  <c:v>6.1783333333333336E-2</c:v>
                </c:pt>
                <c:pt idx="71">
                  <c:v>6.252781250000003E-2</c:v>
                </c:pt>
                <c:pt idx="72">
                  <c:v>5.9681250000000019E-2</c:v>
                </c:pt>
                <c:pt idx="73">
                  <c:v>5.8107692307692325E-2</c:v>
                </c:pt>
                <c:pt idx="74">
                  <c:v>6.5469696969696969E-2</c:v>
                </c:pt>
                <c:pt idx="75">
                  <c:v>6.2037435897435912E-2</c:v>
                </c:pt>
                <c:pt idx="76">
                  <c:v>5.5307291666666661E-2</c:v>
                </c:pt>
                <c:pt idx="77">
                  <c:v>5.9240879120879122E-2</c:v>
                </c:pt>
                <c:pt idx="78">
                  <c:v>6.8756060606060626E-2</c:v>
                </c:pt>
                <c:pt idx="79">
                  <c:v>7.3501587301587304E-2</c:v>
                </c:pt>
                <c:pt idx="80">
                  <c:v>7.1667032967032973E-2</c:v>
                </c:pt>
                <c:pt idx="81">
                  <c:v>7.0136923076923083E-2</c:v>
                </c:pt>
                <c:pt idx="82">
                  <c:v>7.1570769230769229E-2</c:v>
                </c:pt>
                <c:pt idx="83">
                  <c:v>7.2996231617647095E-2</c:v>
                </c:pt>
                <c:pt idx="84">
                  <c:v>6.7196874999999989E-2</c:v>
                </c:pt>
                <c:pt idx="85">
                  <c:v>6.7187692307692309E-2</c:v>
                </c:pt>
                <c:pt idx="86">
                  <c:v>6.4092424242424229E-2</c:v>
                </c:pt>
                <c:pt idx="87">
                  <c:v>6.1785937500000006E-2</c:v>
                </c:pt>
                <c:pt idx="88">
                  <c:v>6.164687499999999E-2</c:v>
                </c:pt>
                <c:pt idx="89">
                  <c:v>6.6569230769230769E-2</c:v>
                </c:pt>
                <c:pt idx="90">
                  <c:v>6.6342424242424258E-2</c:v>
                </c:pt>
                <c:pt idx="91">
                  <c:v>6.9802500000000003E-2</c:v>
                </c:pt>
                <c:pt idx="92">
                  <c:v>7.0834374999999977E-2</c:v>
                </c:pt>
                <c:pt idx="93">
                  <c:v>6.9429743589743576E-2</c:v>
                </c:pt>
                <c:pt idx="94">
                  <c:v>6.4375757575757558E-2</c:v>
                </c:pt>
                <c:pt idx="95">
                  <c:v>6.8994696969696956E-2</c:v>
                </c:pt>
                <c:pt idx="96">
                  <c:v>6.9781538461538478E-2</c:v>
                </c:pt>
                <c:pt idx="97">
                  <c:v>6.9127692307692307E-2</c:v>
                </c:pt>
                <c:pt idx="98">
                  <c:v>7.4556060606060598E-2</c:v>
                </c:pt>
                <c:pt idx="99">
                  <c:v>6.9986153846153837E-2</c:v>
                </c:pt>
                <c:pt idx="100">
                  <c:v>6.6731025641025635E-2</c:v>
                </c:pt>
                <c:pt idx="101">
                  <c:v>6.7456263736263733E-2</c:v>
                </c:pt>
                <c:pt idx="102">
                  <c:v>7.1826153846153845E-2</c:v>
                </c:pt>
                <c:pt idx="103">
                  <c:v>7.0890439560439569E-2</c:v>
                </c:pt>
                <c:pt idx="104">
                  <c:v>6.6647948717948713E-2</c:v>
                </c:pt>
                <c:pt idx="105">
                  <c:v>6.662115384615383E-2</c:v>
                </c:pt>
                <c:pt idx="106">
                  <c:v>6.6252307692307666E-2</c:v>
                </c:pt>
                <c:pt idx="107">
                  <c:v>6.2531060606060618E-2</c:v>
                </c:pt>
                <c:pt idx="108">
                  <c:v>6.7036979166666663E-2</c:v>
                </c:pt>
                <c:pt idx="109">
                  <c:v>6.7925576923076908E-2</c:v>
                </c:pt>
                <c:pt idx="110">
                  <c:v>7.2450000000000001E-2</c:v>
                </c:pt>
                <c:pt idx="111">
                  <c:v>7.6308333333333325E-2</c:v>
                </c:pt>
                <c:pt idx="112">
                  <c:v>7.8307252747252754E-2</c:v>
                </c:pt>
                <c:pt idx="113">
                  <c:v>8.1948461538461539E-2</c:v>
                </c:pt>
                <c:pt idx="114">
                  <c:v>7.9345454545454525E-2</c:v>
                </c:pt>
                <c:pt idx="115">
                  <c:v>7.938939393939394E-2</c:v>
                </c:pt>
                <c:pt idx="116">
                  <c:v>7.3751562500000006E-2</c:v>
                </c:pt>
                <c:pt idx="117">
                  <c:v>7.2103333333333325E-2</c:v>
                </c:pt>
                <c:pt idx="118">
                  <c:v>7.3406666666666676E-2</c:v>
                </c:pt>
                <c:pt idx="119">
                  <c:v>7.7253645833333343E-2</c:v>
                </c:pt>
                <c:pt idx="120">
                  <c:v>7.1953968253968242E-2</c:v>
                </c:pt>
                <c:pt idx="121">
                  <c:v>6.4544615384615395E-2</c:v>
                </c:pt>
                <c:pt idx="122">
                  <c:v>5.8792424242424236E-2</c:v>
                </c:pt>
                <c:pt idx="123">
                  <c:v>5.9760833333333346E-2</c:v>
                </c:pt>
                <c:pt idx="124">
                  <c:v>6.0907575757575765E-2</c:v>
                </c:pt>
              </c:numCache>
            </c:numRef>
          </c:yVal>
          <c:smooth val="1"/>
          <c:extLst>
            <c:ext xmlns:c16="http://schemas.microsoft.com/office/drawing/2014/chart" uri="{C3380CC4-5D6E-409C-BE32-E72D297353CC}">
              <c16:uniqueId val="{00000000-E079-4965-A200-EA49964C6122}"/>
            </c:ext>
          </c:extLst>
        </c:ser>
        <c:dLbls>
          <c:showLegendKey val="0"/>
          <c:showVal val="0"/>
          <c:showCatName val="0"/>
          <c:showSerName val="0"/>
          <c:showPercent val="0"/>
          <c:showBubbleSize val="0"/>
        </c:dLbls>
        <c:axId val="1143795120"/>
        <c:axId val="1143802192"/>
      </c:scatterChart>
      <c:valAx>
        <c:axId val="1143795120"/>
        <c:scaling>
          <c:orientation val="minMax"/>
          <c:max val="8.0000000000000016E-2"/>
          <c:min val="1.0000000000000002E-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r>
                  <a:rPr lang="en-US" b="0" i="0" baseline="0">
                    <a:solidFill>
                      <a:sysClr val="windowText" lastClr="000000"/>
                    </a:solidFill>
                    <a:latin typeface="Arial" panose="020B0604020202020204" pitchFamily="34" charset="0"/>
                  </a:rPr>
                  <a:t>U.S. Government 30-year Treasury Yield</a:t>
                </a:r>
              </a:p>
            </c:rich>
          </c:tx>
          <c:layout>
            <c:manualLayout>
              <c:xMode val="edge"/>
              <c:yMode val="edge"/>
              <c:x val="0.34729134419095042"/>
              <c:y val="0.9268066266780921"/>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mn-cs"/>
              </a:defRPr>
            </a:pPr>
            <a:endParaRPr lang="en-US"/>
          </a:p>
        </c:txPr>
        <c:crossAx val="1143802192"/>
        <c:crosses val="autoZero"/>
        <c:crossBetween val="midCat"/>
      </c:valAx>
      <c:valAx>
        <c:axId val="1143802192"/>
        <c:scaling>
          <c:orientation val="minMax"/>
          <c:max val="9.0000000000000024E-2"/>
          <c:min val="2.0000000000000004E-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ysClr val="windowText" lastClr="000000"/>
                    </a:solidFill>
                    <a:latin typeface="Arial" panose="020B0604020202020204" pitchFamily="34" charset="0"/>
                    <a:cs typeface="Arial" panose="020B0604020202020204" pitchFamily="34" charset="0"/>
                  </a:rPr>
                  <a:t>Risk Premium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mn-cs"/>
              </a:defRPr>
            </a:pPr>
            <a:endParaRPr lang="en-US"/>
          </a:p>
        </c:txPr>
        <c:crossAx val="1143795120"/>
        <c:crosses val="autoZero"/>
        <c:crossBetween val="midCat"/>
      </c:valAx>
      <c:spPr>
        <a:noFill/>
        <a:ln>
          <a:solidFill>
            <a:schemeClr val="tx1"/>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'Exh. No AEB-12 CapEx 2'!$E$27</c:f>
              <c:strCache>
                <c:ptCount val="1"/>
                <c:pt idx="0">
                  <c:v>2023-2027</c:v>
                </c:pt>
              </c:strCache>
            </c:strRef>
          </c:tx>
          <c:spPr>
            <a:solidFill>
              <a:schemeClr val="tx1"/>
            </a:solidFill>
            <a:ln>
              <a:solidFill>
                <a:sysClr val="windowText" lastClr="000000"/>
              </a:solidFill>
            </a:ln>
          </c:spPr>
          <c:invertIfNegative val="0"/>
          <c:dPt>
            <c:idx val="3"/>
            <c:invertIfNegative val="0"/>
            <c:bubble3D val="0"/>
            <c:extLst>
              <c:ext xmlns:c16="http://schemas.microsoft.com/office/drawing/2014/chart" uri="{C3380CC4-5D6E-409C-BE32-E72D297353CC}">
                <c16:uniqueId val="{00000000-E482-4EBD-A8FB-3B20E7CE6D21}"/>
              </c:ext>
            </c:extLst>
          </c:dPt>
          <c:dPt>
            <c:idx val="4"/>
            <c:invertIfNegative val="0"/>
            <c:bubble3D val="0"/>
            <c:extLst>
              <c:ext xmlns:c16="http://schemas.microsoft.com/office/drawing/2014/chart" uri="{C3380CC4-5D6E-409C-BE32-E72D297353CC}">
                <c16:uniqueId val="{00000001-E482-4EBD-A8FB-3B20E7CE6D21}"/>
              </c:ext>
            </c:extLst>
          </c:dPt>
          <c:dPt>
            <c:idx val="6"/>
            <c:invertIfNegative val="0"/>
            <c:bubble3D val="0"/>
            <c:extLst>
              <c:ext xmlns:c16="http://schemas.microsoft.com/office/drawing/2014/chart" uri="{C3380CC4-5D6E-409C-BE32-E72D297353CC}">
                <c16:uniqueId val="{00000002-E482-4EBD-A8FB-3B20E7CE6D21}"/>
              </c:ext>
            </c:extLst>
          </c:dPt>
          <c:dPt>
            <c:idx val="8"/>
            <c:invertIfNegative val="0"/>
            <c:bubble3D val="0"/>
            <c:extLst>
              <c:ext xmlns:c16="http://schemas.microsoft.com/office/drawing/2014/chart" uri="{C3380CC4-5D6E-409C-BE32-E72D297353CC}">
                <c16:uniqueId val="{00000003-E482-4EBD-A8FB-3B20E7CE6D21}"/>
              </c:ext>
            </c:extLst>
          </c:dPt>
          <c:dPt>
            <c:idx val="11"/>
            <c:invertIfNegative val="0"/>
            <c:bubble3D val="0"/>
            <c:extLst>
              <c:ext xmlns:c16="http://schemas.microsoft.com/office/drawing/2014/chart" uri="{C3380CC4-5D6E-409C-BE32-E72D297353CC}">
                <c16:uniqueId val="{00000004-E482-4EBD-A8FB-3B20E7CE6D21}"/>
              </c:ext>
            </c:extLst>
          </c:dPt>
          <c:dPt>
            <c:idx val="14"/>
            <c:invertIfNegative val="0"/>
            <c:bubble3D val="0"/>
            <c:extLst>
              <c:ext xmlns:c16="http://schemas.microsoft.com/office/drawing/2014/chart" uri="{C3380CC4-5D6E-409C-BE32-E72D297353CC}">
                <c16:uniqueId val="{00000005-E482-4EBD-A8FB-3B20E7CE6D21}"/>
              </c:ext>
            </c:extLst>
          </c:dPt>
          <c:dPt>
            <c:idx val="16"/>
            <c:invertIfNegative val="0"/>
            <c:bubble3D val="0"/>
            <c:extLst>
              <c:ext xmlns:c16="http://schemas.microsoft.com/office/drawing/2014/chart" uri="{C3380CC4-5D6E-409C-BE32-E72D297353CC}">
                <c16:uniqueId val="{00000007-E482-4EBD-A8FB-3B20E7CE6D21}"/>
              </c:ext>
            </c:extLst>
          </c:dPt>
          <c:dPt>
            <c:idx val="17"/>
            <c:invertIfNegative val="0"/>
            <c:bubble3D val="0"/>
            <c:spPr>
              <a:pattFill prst="ltDnDiag">
                <a:fgClr>
                  <a:schemeClr val="tx1"/>
                </a:fgClr>
                <a:bgClr>
                  <a:schemeClr val="bg1"/>
                </a:bgClr>
              </a:pattFill>
              <a:ln>
                <a:solidFill>
                  <a:sysClr val="windowText" lastClr="000000"/>
                </a:solidFill>
              </a:ln>
            </c:spPr>
            <c:extLst>
              <c:ext xmlns:c16="http://schemas.microsoft.com/office/drawing/2014/chart" uri="{C3380CC4-5D6E-409C-BE32-E72D297353CC}">
                <c16:uniqueId val="{00000008-87C4-494D-90A3-B7B35CE2B477}"/>
              </c:ext>
            </c:extLst>
          </c:dPt>
          <c:cat>
            <c:strRef>
              <c:f>'Exh. No AEB-12 CapEx 2'!$D$29:$D$46</c:f>
              <c:strCache>
                <c:ptCount val="18"/>
                <c:pt idx="0">
                  <c:v>ALE</c:v>
                </c:pt>
                <c:pt idx="1">
                  <c:v>NWE</c:v>
                </c:pt>
                <c:pt idx="2">
                  <c:v>SO</c:v>
                </c:pt>
                <c:pt idx="3">
                  <c:v>AVA</c:v>
                </c:pt>
                <c:pt idx="4">
                  <c:v>OGE</c:v>
                </c:pt>
                <c:pt idx="5">
                  <c:v>ETR</c:v>
                </c:pt>
                <c:pt idx="6">
                  <c:v>LNT</c:v>
                </c:pt>
                <c:pt idx="7">
                  <c:v>EVRG</c:v>
                </c:pt>
                <c:pt idx="8">
                  <c:v>POR</c:v>
                </c:pt>
                <c:pt idx="9">
                  <c:v>XEL</c:v>
                </c:pt>
                <c:pt idx="10">
                  <c:v>AEP</c:v>
                </c:pt>
                <c:pt idx="11">
                  <c:v>DUK</c:v>
                </c:pt>
                <c:pt idx="12">
                  <c:v>IDA</c:v>
                </c:pt>
                <c:pt idx="13">
                  <c:v>AEE</c:v>
                </c:pt>
                <c:pt idx="14">
                  <c:v>OTTR</c:v>
                </c:pt>
                <c:pt idx="15">
                  <c:v>CMS</c:v>
                </c:pt>
                <c:pt idx="16">
                  <c:v>NEE</c:v>
                </c:pt>
                <c:pt idx="17">
                  <c:v>PacifiCorp</c:v>
                </c:pt>
              </c:strCache>
            </c:strRef>
          </c:cat>
          <c:val>
            <c:numRef>
              <c:f>'Exh. No AEB-12 CapEx 2'!$E$29:$E$46</c:f>
              <c:numCache>
                <c:formatCode>0.00%</c:formatCode>
                <c:ptCount val="18"/>
                <c:pt idx="0">
                  <c:v>0.39588686481303936</c:v>
                </c:pt>
                <c:pt idx="1">
                  <c:v>0.40085257548845477</c:v>
                </c:pt>
                <c:pt idx="2">
                  <c:v>0.42760641093011037</c:v>
                </c:pt>
                <c:pt idx="3">
                  <c:v>0.45555963302752295</c:v>
                </c:pt>
                <c:pt idx="4">
                  <c:v>0.4596181730304495</c:v>
                </c:pt>
                <c:pt idx="5">
                  <c:v>0.47424714285714287</c:v>
                </c:pt>
                <c:pt idx="6">
                  <c:v>0.48424453978159127</c:v>
                </c:pt>
                <c:pt idx="7">
                  <c:v>0.48966063348416289</c:v>
                </c:pt>
                <c:pt idx="8">
                  <c:v>0.49778903903903904</c:v>
                </c:pt>
                <c:pt idx="9">
                  <c:v>0.52040435458786938</c:v>
                </c:pt>
                <c:pt idx="10">
                  <c:v>0.53512384996461426</c:v>
                </c:pt>
                <c:pt idx="11">
                  <c:v>0.54778084519006154</c:v>
                </c:pt>
                <c:pt idx="12">
                  <c:v>0.55724285714285704</c:v>
                </c:pt>
                <c:pt idx="13">
                  <c:v>0.56892914331465172</c:v>
                </c:pt>
                <c:pt idx="14">
                  <c:v>0.58843891402714932</c:v>
                </c:pt>
                <c:pt idx="15">
                  <c:v>0.61359095688748688</c:v>
                </c:pt>
                <c:pt idx="16">
                  <c:v>0.86896551724137927</c:v>
                </c:pt>
                <c:pt idx="17">
                  <c:v>0.98855496864049885</c:v>
                </c:pt>
              </c:numCache>
            </c:numRef>
          </c:val>
          <c:extLst>
            <c:ext xmlns:c16="http://schemas.microsoft.com/office/drawing/2014/chart" uri="{C3380CC4-5D6E-409C-BE32-E72D297353CC}">
              <c16:uniqueId val="{0000000A-E482-4EBD-A8FB-3B20E7CE6D21}"/>
            </c:ext>
          </c:extLst>
        </c:ser>
        <c:dLbls>
          <c:showLegendKey val="0"/>
          <c:showVal val="0"/>
          <c:showCatName val="0"/>
          <c:showSerName val="0"/>
          <c:showPercent val="0"/>
          <c:showBubbleSize val="0"/>
        </c:dLbls>
        <c:gapWidth val="150"/>
        <c:axId val="484605800"/>
        <c:axId val="484606976"/>
      </c:barChart>
      <c:scatterChart>
        <c:scatterStyle val="smoothMarker"/>
        <c:varyColors val="0"/>
        <c:ser>
          <c:idx val="1"/>
          <c:order val="1"/>
          <c:tx>
            <c:v>Median</c:v>
          </c:tx>
          <c:spPr>
            <a:ln>
              <a:solidFill>
                <a:schemeClr val="tx1"/>
              </a:solidFill>
              <a:prstDash val="dash"/>
            </a:ln>
          </c:spPr>
          <c:marker>
            <c:symbol val="none"/>
          </c:marker>
          <c:xVal>
            <c:numRef>
              <c:f>'Exh. No AEB-12 CapEx 2'!$H$29:$H$30</c:f>
              <c:numCache>
                <c:formatCode>General</c:formatCode>
                <c:ptCount val="2"/>
                <c:pt idx="0">
                  <c:v>0</c:v>
                </c:pt>
                <c:pt idx="1">
                  <c:v>10</c:v>
                </c:pt>
              </c:numCache>
            </c:numRef>
          </c:xVal>
          <c:yVal>
            <c:numRef>
              <c:f>'Exh. No AEB-12 CapEx 2'!$I$29:$I$30</c:f>
              <c:numCache>
                <c:formatCode>0.00%</c:formatCode>
                <c:ptCount val="2"/>
                <c:pt idx="0">
                  <c:v>0.49778903903903904</c:v>
                </c:pt>
                <c:pt idx="1">
                  <c:v>0.49778903903903904</c:v>
                </c:pt>
              </c:numCache>
            </c:numRef>
          </c:yVal>
          <c:smooth val="1"/>
          <c:extLst>
            <c:ext xmlns:c16="http://schemas.microsoft.com/office/drawing/2014/chart" uri="{C3380CC4-5D6E-409C-BE32-E72D297353CC}">
              <c16:uniqueId val="{0000000B-E482-4EBD-A8FB-3B20E7CE6D21}"/>
            </c:ext>
          </c:extLst>
        </c:ser>
        <c:dLbls>
          <c:showLegendKey val="0"/>
          <c:showVal val="0"/>
          <c:showCatName val="0"/>
          <c:showSerName val="0"/>
          <c:showPercent val="0"/>
          <c:showBubbleSize val="0"/>
        </c:dLbls>
        <c:axId val="484608936"/>
        <c:axId val="484608152"/>
      </c:scatterChart>
      <c:catAx>
        <c:axId val="484605800"/>
        <c:scaling>
          <c:orientation val="minMax"/>
        </c:scaling>
        <c:delete val="0"/>
        <c:axPos val="b"/>
        <c:numFmt formatCode="General" sourceLinked="0"/>
        <c:majorTickMark val="out"/>
        <c:minorTickMark val="none"/>
        <c:tickLblPos val="nextTo"/>
        <c:crossAx val="484606976"/>
        <c:crosses val="autoZero"/>
        <c:auto val="1"/>
        <c:lblAlgn val="ctr"/>
        <c:lblOffset val="100"/>
        <c:noMultiLvlLbl val="0"/>
      </c:catAx>
      <c:valAx>
        <c:axId val="484606976"/>
        <c:scaling>
          <c:orientation val="minMax"/>
        </c:scaling>
        <c:delete val="0"/>
        <c:axPos val="l"/>
        <c:majorGridlines/>
        <c:numFmt formatCode="0.00%" sourceLinked="1"/>
        <c:majorTickMark val="out"/>
        <c:minorTickMark val="none"/>
        <c:tickLblPos val="nextTo"/>
        <c:crossAx val="484605800"/>
        <c:crosses val="autoZero"/>
        <c:crossBetween val="between"/>
      </c:valAx>
      <c:valAx>
        <c:axId val="484608152"/>
        <c:scaling>
          <c:orientation val="minMax"/>
        </c:scaling>
        <c:delete val="1"/>
        <c:axPos val="r"/>
        <c:numFmt formatCode="0.00%" sourceLinked="1"/>
        <c:majorTickMark val="out"/>
        <c:minorTickMark val="none"/>
        <c:tickLblPos val="none"/>
        <c:crossAx val="484608936"/>
        <c:crosses val="max"/>
        <c:crossBetween val="midCat"/>
      </c:valAx>
      <c:valAx>
        <c:axId val="484608936"/>
        <c:scaling>
          <c:orientation val="minMax"/>
          <c:max val="10"/>
        </c:scaling>
        <c:delete val="0"/>
        <c:axPos val="t"/>
        <c:numFmt formatCode="General" sourceLinked="1"/>
        <c:majorTickMark val="none"/>
        <c:minorTickMark val="none"/>
        <c:tickLblPos val="none"/>
        <c:crossAx val="484608152"/>
        <c:crosses val="max"/>
        <c:crossBetween val="midCat"/>
      </c:valAx>
    </c:plotArea>
    <c:plotVisOnly val="1"/>
    <c:dispBlanksAs val="gap"/>
    <c:showDLblsOverMax val="0"/>
  </c:chart>
  <c:txPr>
    <a:bodyPr/>
    <a:lstStyle/>
    <a:p>
      <a:pPr>
        <a:defRPr sz="800" baseline="0">
          <a:latin typeface="Arial" pitchFamily="34" charset="0"/>
        </a:defRPr>
      </a:pPr>
      <a:endParaRPr lang="en-US"/>
    </a:p>
  </c:txPr>
  <c:printSettings>
    <c:headerFooter/>
    <c:pageMargins b="0.75000000000000311" l="0.70000000000000062" r="0.70000000000000062" t="0.75000000000000311"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451556</xdr:colOff>
      <xdr:row>3</xdr:row>
      <xdr:rowOff>50219</xdr:rowOff>
    </xdr:from>
    <xdr:to>
      <xdr:col>21</xdr:col>
      <xdr:colOff>29883</xdr:colOff>
      <xdr:row>24</xdr:row>
      <xdr:rowOff>261056</xdr:rowOff>
    </xdr:to>
    <xdr:graphicFrame macro="">
      <xdr:nvGraphicFramePr>
        <xdr:cNvPr id="2" name="Chart 1">
          <a:extLst>
            <a:ext uri="{FF2B5EF4-FFF2-40B4-BE49-F238E27FC236}">
              <a16:creationId xmlns:a16="http://schemas.microsoft.com/office/drawing/2014/main" id="{546EE14A-01F5-4140-A19C-BF31367D7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0.28076</cdr:x>
      <cdr:y>0.20954</cdr:y>
    </cdr:from>
    <cdr:to>
      <cdr:x>0.44149</cdr:x>
      <cdr:y>0.25519</cdr:y>
    </cdr:to>
    <cdr:sp macro="" textlink="">
      <cdr:nvSpPr>
        <cdr:cNvPr id="2" name="TextBox 1">
          <a:extLst xmlns:a="http://schemas.openxmlformats.org/drawingml/2006/main">
            <a:ext uri="{FF2B5EF4-FFF2-40B4-BE49-F238E27FC236}">
              <a16:creationId xmlns:a16="http://schemas.microsoft.com/office/drawing/2014/main" id="{0A457792-F7B5-4332-9C14-41224D22A084}"/>
            </a:ext>
          </a:extLst>
        </cdr:cNvPr>
        <cdr:cNvSpPr txBox="1"/>
      </cdr:nvSpPr>
      <cdr:spPr>
        <a:xfrm xmlns:a="http://schemas.openxmlformats.org/drawingml/2006/main">
          <a:off x="2058897" y="1202531"/>
          <a:ext cx="1178718"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0.64</cdr:x>
      <cdr:y>0.39641</cdr:y>
    </cdr:from>
    <cdr:to>
      <cdr:x>0.74878</cdr:x>
      <cdr:y>0.45658</cdr:y>
    </cdr:to>
    <cdr:sp macro="" textlink="">
      <cdr:nvSpPr>
        <cdr:cNvPr id="3" name="TextBox 2">
          <a:extLst xmlns:a="http://schemas.openxmlformats.org/drawingml/2006/main">
            <a:ext uri="{FF2B5EF4-FFF2-40B4-BE49-F238E27FC236}">
              <a16:creationId xmlns:a16="http://schemas.microsoft.com/office/drawing/2014/main" id="{7380ECD5-C799-4397-B109-C5E8D2582F0D}"/>
            </a:ext>
          </a:extLst>
        </cdr:cNvPr>
        <cdr:cNvSpPr txBox="1"/>
      </cdr:nvSpPr>
      <cdr:spPr>
        <a:xfrm xmlns:a="http://schemas.openxmlformats.org/drawingml/2006/main">
          <a:off x="4155812" y="1843117"/>
          <a:ext cx="706361" cy="2797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CAPM</a:t>
          </a:r>
        </a:p>
      </cdr:txBody>
    </cdr:sp>
  </cdr:relSizeAnchor>
  <cdr:relSizeAnchor xmlns:cdr="http://schemas.openxmlformats.org/drawingml/2006/chartDrawing">
    <cdr:from>
      <cdr:x>0.79565</cdr:x>
      <cdr:y>0.4983</cdr:y>
    </cdr:from>
    <cdr:to>
      <cdr:x>0.90085</cdr:x>
      <cdr:y>0.55846</cdr:y>
    </cdr:to>
    <cdr:sp macro="" textlink="">
      <cdr:nvSpPr>
        <cdr:cNvPr id="4" name="TextBox 1">
          <a:extLst xmlns:a="http://schemas.openxmlformats.org/drawingml/2006/main">
            <a:ext uri="{FF2B5EF4-FFF2-40B4-BE49-F238E27FC236}">
              <a16:creationId xmlns:a16="http://schemas.microsoft.com/office/drawing/2014/main" id="{5BEB9929-E302-4329-99E6-31AC07649BE9}"/>
            </a:ext>
          </a:extLst>
        </cdr:cNvPr>
        <cdr:cNvSpPr txBox="1"/>
      </cdr:nvSpPr>
      <cdr:spPr>
        <a:xfrm xmlns:a="http://schemas.openxmlformats.org/drawingml/2006/main">
          <a:off x="5166551" y="2316828"/>
          <a:ext cx="683114" cy="2797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ECAPM</a:t>
          </a:r>
        </a:p>
      </cdr:txBody>
    </cdr:sp>
  </cdr:relSizeAnchor>
  <cdr:relSizeAnchor xmlns:cdr="http://schemas.openxmlformats.org/drawingml/2006/chartDrawing">
    <cdr:from>
      <cdr:x>0.18606</cdr:x>
      <cdr:y>0.09888</cdr:y>
    </cdr:from>
    <cdr:to>
      <cdr:x>0.49013</cdr:x>
      <cdr:y>0.15905</cdr:y>
    </cdr:to>
    <cdr:sp macro="" textlink="">
      <cdr:nvSpPr>
        <cdr:cNvPr id="8" name="TextBox 1">
          <a:extLst xmlns:a="http://schemas.openxmlformats.org/drawingml/2006/main">
            <a:ext uri="{FF2B5EF4-FFF2-40B4-BE49-F238E27FC236}">
              <a16:creationId xmlns:a16="http://schemas.microsoft.com/office/drawing/2014/main" id="{60524A09-0478-451B-BE21-AFAA95785582}"/>
            </a:ext>
          </a:extLst>
        </cdr:cNvPr>
        <cdr:cNvSpPr txBox="1"/>
      </cdr:nvSpPr>
      <cdr:spPr>
        <a:xfrm xmlns:a="http://schemas.openxmlformats.org/drawingml/2006/main">
          <a:off x="1418177" y="576333"/>
          <a:ext cx="2317740" cy="350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Constant Growth</a:t>
          </a:r>
          <a:r>
            <a:rPr lang="en-US" sz="1100" b="1" baseline="0"/>
            <a:t> </a:t>
          </a:r>
          <a:r>
            <a:rPr lang="en-US" sz="1100" b="1"/>
            <a:t>DCF - Mean</a:t>
          </a:r>
        </a:p>
      </cdr:txBody>
    </cdr:sp>
  </cdr:relSizeAnchor>
  <cdr:relSizeAnchor xmlns:cdr="http://schemas.openxmlformats.org/drawingml/2006/chartDrawing">
    <cdr:from>
      <cdr:x>0.51301</cdr:x>
      <cdr:y>0.38559</cdr:y>
    </cdr:from>
    <cdr:to>
      <cdr:x>0.56984</cdr:x>
      <cdr:y>0.38559</cdr:y>
    </cdr:to>
    <cdr:cxnSp macro="">
      <cdr:nvCxnSpPr>
        <cdr:cNvPr id="10" name="Straight Arrow Connector 9">
          <a:extLst xmlns:a="http://schemas.openxmlformats.org/drawingml/2006/main">
            <a:ext uri="{FF2B5EF4-FFF2-40B4-BE49-F238E27FC236}">
              <a16:creationId xmlns:a16="http://schemas.microsoft.com/office/drawing/2014/main" id="{653CABBF-61E2-4E43-AA0A-6C017C891534}"/>
            </a:ext>
          </a:extLst>
        </cdr:cNvPr>
        <cdr:cNvCxnSpPr/>
      </cdr:nvCxnSpPr>
      <cdr:spPr>
        <a:xfrm xmlns:a="http://schemas.openxmlformats.org/drawingml/2006/main" flipV="1">
          <a:off x="4191000" y="2166919"/>
          <a:ext cx="464304" cy="18"/>
        </a:xfrm>
        <a:prstGeom xmlns:a="http://schemas.openxmlformats.org/drawingml/2006/main" prst="straightConnector1">
          <a:avLst/>
        </a:prstGeom>
        <a:ln xmlns:a="http://schemas.openxmlformats.org/drawingml/2006/main" w="19050">
          <a:noFill/>
          <a:prstDash val="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0.17333</cdr:x>
      <cdr:y>0.19101</cdr:y>
    </cdr:from>
    <cdr:to>
      <cdr:x>0.50911</cdr:x>
      <cdr:y>0.23704</cdr:y>
    </cdr:to>
    <cdr:sp macro="" textlink="">
      <cdr:nvSpPr>
        <cdr:cNvPr id="11" name="TextBox 1">
          <a:extLst xmlns:a="http://schemas.openxmlformats.org/drawingml/2006/main">
            <a:ext uri="{FF2B5EF4-FFF2-40B4-BE49-F238E27FC236}">
              <a16:creationId xmlns:a16="http://schemas.microsoft.com/office/drawing/2014/main" id="{66204D9D-EE32-4988-B6CD-046DA4C804FD}"/>
            </a:ext>
          </a:extLst>
        </cdr:cNvPr>
        <cdr:cNvSpPr txBox="1"/>
      </cdr:nvSpPr>
      <cdr:spPr>
        <a:xfrm xmlns:a="http://schemas.openxmlformats.org/drawingml/2006/main">
          <a:off x="1121887" y="886181"/>
          <a:ext cx="2173373" cy="213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Constant Growth DCF - Median</a:t>
          </a:r>
        </a:p>
      </cdr:txBody>
    </cdr:sp>
  </cdr:relSizeAnchor>
  <cdr:relSizeAnchor xmlns:cdr="http://schemas.openxmlformats.org/drawingml/2006/chartDrawing">
    <cdr:from>
      <cdr:x>0.57145</cdr:x>
      <cdr:y>0.59567</cdr:y>
    </cdr:from>
    <cdr:to>
      <cdr:x>0.73821</cdr:x>
      <cdr:y>0.65583</cdr:y>
    </cdr:to>
    <cdr:sp macro="" textlink="">
      <cdr:nvSpPr>
        <cdr:cNvPr id="12" name="TextBox 1">
          <a:extLst xmlns:a="http://schemas.openxmlformats.org/drawingml/2006/main">
            <a:ext uri="{FF2B5EF4-FFF2-40B4-BE49-F238E27FC236}">
              <a16:creationId xmlns:a16="http://schemas.microsoft.com/office/drawing/2014/main" id="{5BEB9929-E302-4329-99E6-31AC07649BE9}"/>
            </a:ext>
          </a:extLst>
        </cdr:cNvPr>
        <cdr:cNvSpPr txBox="1"/>
      </cdr:nvSpPr>
      <cdr:spPr>
        <a:xfrm xmlns:a="http://schemas.openxmlformats.org/drawingml/2006/main">
          <a:off x="3710728" y="2769557"/>
          <a:ext cx="1082816" cy="279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Risk Premium</a:t>
          </a:r>
        </a:p>
      </cdr:txBody>
    </cdr:sp>
  </cdr:relSizeAnchor>
  <cdr:relSizeAnchor xmlns:cdr="http://schemas.openxmlformats.org/drawingml/2006/chartDrawing">
    <cdr:from>
      <cdr:x>0.56036</cdr:x>
      <cdr:y>0.26983</cdr:y>
    </cdr:from>
    <cdr:to>
      <cdr:x>0.76432</cdr:x>
      <cdr:y>0.36004</cdr:y>
    </cdr:to>
    <cdr:sp macro="" textlink="">
      <cdr:nvSpPr>
        <cdr:cNvPr id="9" name="TextBox 1">
          <a:extLst xmlns:a="http://schemas.openxmlformats.org/drawingml/2006/main">
            <a:ext uri="{FF2B5EF4-FFF2-40B4-BE49-F238E27FC236}">
              <a16:creationId xmlns:a16="http://schemas.microsoft.com/office/drawing/2014/main" id="{66204D9D-EE32-4988-B6CD-046DA4C804FD}"/>
            </a:ext>
          </a:extLst>
        </cdr:cNvPr>
        <cdr:cNvSpPr txBox="1"/>
      </cdr:nvSpPr>
      <cdr:spPr>
        <a:xfrm xmlns:a="http://schemas.openxmlformats.org/drawingml/2006/main">
          <a:off x="3638697" y="1254549"/>
          <a:ext cx="1324410" cy="419430"/>
        </a:xfrm>
        <a:prstGeom xmlns:a="http://schemas.openxmlformats.org/drawingml/2006/main" prst="rect">
          <a:avLst/>
        </a:prstGeom>
        <a:ln xmlns:a="http://schemas.openxmlformats.org/drawingml/2006/main">
          <a:solidFill>
            <a:schemeClr val="bg1"/>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Recommended ROE Range</a:t>
          </a:r>
        </a:p>
      </cdr:txBody>
    </cdr:sp>
  </cdr:relSizeAnchor>
  <cdr:relSizeAnchor xmlns:cdr="http://schemas.openxmlformats.org/drawingml/2006/chartDrawing">
    <cdr:from>
      <cdr:x>0.53872</cdr:x>
      <cdr:y>0.36935</cdr:y>
    </cdr:from>
    <cdr:to>
      <cdr:x>0.76116</cdr:x>
      <cdr:y>0.37024</cdr:y>
    </cdr:to>
    <cdr:cxnSp macro="">
      <cdr:nvCxnSpPr>
        <cdr:cNvPr id="6" name="Straight Arrow Connector 5">
          <a:extLst xmlns:a="http://schemas.openxmlformats.org/drawingml/2006/main">
            <a:ext uri="{FF2B5EF4-FFF2-40B4-BE49-F238E27FC236}">
              <a16:creationId xmlns:a16="http://schemas.microsoft.com/office/drawing/2014/main" id="{6FC3A7B7-72CF-3FB3-1672-980361834ABB}"/>
            </a:ext>
          </a:extLst>
        </cdr:cNvPr>
        <cdr:cNvCxnSpPr/>
      </cdr:nvCxnSpPr>
      <cdr:spPr>
        <a:xfrm xmlns:a="http://schemas.openxmlformats.org/drawingml/2006/main" flipV="1">
          <a:off x="3498144" y="1717310"/>
          <a:ext cx="1444434" cy="4121"/>
        </a:xfrm>
        <a:prstGeom xmlns:a="http://schemas.openxmlformats.org/drawingml/2006/main" prst="straightConnector1">
          <a:avLst/>
        </a:prstGeom>
        <a:ln xmlns:a="http://schemas.openxmlformats.org/drawingml/2006/main">
          <a:solidFill>
            <a:schemeClr val="tx1"/>
          </a:solidFill>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0.76755</cdr:x>
      <cdr:y>0.68833</cdr:y>
    </cdr:from>
    <cdr:to>
      <cdr:x>0.96215</cdr:x>
      <cdr:y>0.74849</cdr:y>
    </cdr:to>
    <cdr:sp macro="" textlink="">
      <cdr:nvSpPr>
        <cdr:cNvPr id="13" name="TextBox 1">
          <a:extLst xmlns:a="http://schemas.openxmlformats.org/drawingml/2006/main">
            <a:ext uri="{FF2B5EF4-FFF2-40B4-BE49-F238E27FC236}">
              <a16:creationId xmlns:a16="http://schemas.microsoft.com/office/drawing/2014/main" id="{5BEB9929-E302-4329-99E6-31AC07649BE9}"/>
            </a:ext>
          </a:extLst>
        </cdr:cNvPr>
        <cdr:cNvSpPr txBox="1"/>
      </cdr:nvSpPr>
      <cdr:spPr>
        <a:xfrm xmlns:a="http://schemas.openxmlformats.org/drawingml/2006/main">
          <a:off x="4984044" y="3200400"/>
          <a:ext cx="1263650" cy="279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Expected Earnings</a:t>
          </a:r>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45157</xdr:colOff>
      <xdr:row>2</xdr:row>
      <xdr:rowOff>14609</xdr:rowOff>
    </xdr:from>
    <xdr:to>
      <xdr:col>12</xdr:col>
      <xdr:colOff>702984</xdr:colOff>
      <xdr:row>19</xdr:row>
      <xdr:rowOff>43847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160734</xdr:colOff>
      <xdr:row>4</xdr:row>
      <xdr:rowOff>40820</xdr:rowOff>
    </xdr:from>
    <xdr:to>
      <xdr:col>5</xdr:col>
      <xdr:colOff>707572</xdr:colOff>
      <xdr:row>23</xdr:row>
      <xdr:rowOff>85723</xdr:rowOff>
    </xdr:to>
    <xdr:graphicFrame macro="">
      <xdr:nvGraphicFramePr>
        <xdr:cNvPr id="2" name="Chart 1">
          <a:extLst>
            <a:ext uri="{FF2B5EF4-FFF2-40B4-BE49-F238E27FC236}">
              <a16:creationId xmlns:a16="http://schemas.microsoft.com/office/drawing/2014/main" id="{E7DA8C22-4B07-4368-97D8-103E3B2CD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xdr:colOff>
      <xdr:row>6</xdr:row>
      <xdr:rowOff>104775</xdr:rowOff>
    </xdr:from>
    <xdr:to>
      <xdr:col>2</xdr:col>
      <xdr:colOff>1437256</xdr:colOff>
      <xdr:row>8</xdr:row>
      <xdr:rowOff>29935</xdr:rowOff>
    </xdr:to>
    <xdr:sp macro="" textlink="">
      <xdr:nvSpPr>
        <xdr:cNvPr id="3" name="TextBox 1">
          <a:extLst>
            <a:ext uri="{FF2B5EF4-FFF2-40B4-BE49-F238E27FC236}">
              <a16:creationId xmlns:a16="http://schemas.microsoft.com/office/drawing/2014/main" id="{9F23AF93-C7CA-44E5-88AC-B220321C0EF1}"/>
            </a:ext>
          </a:extLst>
        </xdr:cNvPr>
        <xdr:cNvSpPr txBox="1"/>
      </xdr:nvSpPr>
      <xdr:spPr>
        <a:xfrm>
          <a:off x="1057275" y="1057275"/>
          <a:ext cx="1624581" cy="242660"/>
        </a:xfrm>
        <a:prstGeom prst="rect">
          <a:avLst/>
        </a:prstGeom>
        <a:solidFill>
          <a:schemeClr val="bg1"/>
        </a:solidFill>
        <a:ln>
          <a:solidFill>
            <a:sysClr val="windowText" lastClr="000000"/>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800" b="1"/>
            <a:t>Proxy Group Median = 49.78%</a:t>
          </a:r>
        </a:p>
      </xdr:txBody>
    </xdr:sp>
    <xdr:clientData/>
  </xdr:twoCellAnchor>
  <xdr:twoCellAnchor>
    <xdr:from>
      <xdr:col>2</xdr:col>
      <xdr:colOff>412750</xdr:colOff>
      <xdr:row>8</xdr:row>
      <xdr:rowOff>66675</xdr:rowOff>
    </xdr:from>
    <xdr:to>
      <xdr:col>2</xdr:col>
      <xdr:colOff>600076</xdr:colOff>
      <xdr:row>13</xdr:row>
      <xdr:rowOff>95250</xdr:rowOff>
    </xdr:to>
    <xdr:cxnSp macro="">
      <xdr:nvCxnSpPr>
        <xdr:cNvPr id="4" name="Straight Arrow Connector 3">
          <a:extLst>
            <a:ext uri="{FF2B5EF4-FFF2-40B4-BE49-F238E27FC236}">
              <a16:creationId xmlns:a16="http://schemas.microsoft.com/office/drawing/2014/main" id="{A612DCD8-0678-4265-B399-8595771F2FBB}"/>
            </a:ext>
          </a:extLst>
        </xdr:cNvPr>
        <xdr:cNvCxnSpPr/>
      </xdr:nvCxnSpPr>
      <xdr:spPr>
        <a:xfrm flipH="1">
          <a:off x="1657350" y="1336675"/>
          <a:ext cx="187326" cy="822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showGridLines="0" view="pageLayout" zoomScaleNormal="100" zoomScaleSheetLayoutView="85" workbookViewId="0">
      <selection activeCell="B32" sqref="B32"/>
    </sheetView>
  </sheetViews>
  <sheetFormatPr defaultColWidth="9" defaultRowHeight="12.75" x14ac:dyDescent="0.2"/>
  <cols>
    <col min="1" max="1" width="5.140625" style="13" customWidth="1"/>
    <col min="2" max="2" width="28.5703125" style="13" customWidth="1"/>
    <col min="3" max="3" width="18.28515625" style="13" customWidth="1"/>
    <col min="4" max="5" width="15.5703125" style="13" customWidth="1"/>
    <col min="6" max="6" width="15.85546875" style="13" customWidth="1"/>
    <col min="7" max="7" width="5.5703125" style="13" customWidth="1"/>
    <col min="8" max="8" width="9" style="13"/>
    <col min="9" max="9" width="12.42578125" style="13" bestFit="1" customWidth="1"/>
    <col min="10" max="11" width="9" style="13"/>
    <col min="12" max="12" width="17.85546875" style="13" bestFit="1" customWidth="1"/>
    <col min="13" max="15" width="9" style="13"/>
    <col min="16" max="16" width="12.7109375" style="13" bestFit="1" customWidth="1"/>
    <col min="17" max="16384" width="9" style="13"/>
  </cols>
  <sheetData>
    <row r="1" spans="2:10" s="2" customFormat="1" x14ac:dyDescent="0.2">
      <c r="B1" s="1"/>
      <c r="C1" s="1"/>
      <c r="D1" s="1"/>
      <c r="E1" s="1"/>
      <c r="F1" s="1"/>
    </row>
    <row r="2" spans="2:10" s="2" customFormat="1" ht="12.6" customHeight="1" x14ac:dyDescent="0.2">
      <c r="B2" s="349" t="s">
        <v>1536</v>
      </c>
      <c r="C2" s="349"/>
      <c r="D2" s="349"/>
      <c r="E2" s="349"/>
      <c r="F2" s="1"/>
    </row>
    <row r="3" spans="2:10" s="2" customFormat="1" ht="13.5" thickBot="1" x14ac:dyDescent="0.25">
      <c r="B3" s="1"/>
      <c r="C3" s="1"/>
      <c r="D3" s="1"/>
      <c r="E3" s="1"/>
      <c r="F3" s="1"/>
    </row>
    <row r="4" spans="2:10" s="4" customFormat="1" ht="15" customHeight="1" thickTop="1" x14ac:dyDescent="0.25">
      <c r="B4" s="350" t="s">
        <v>0</v>
      </c>
      <c r="C4" s="350"/>
      <c r="D4" s="350"/>
      <c r="E4" s="350"/>
      <c r="F4" s="3"/>
      <c r="H4" s="5"/>
      <c r="I4" s="5" t="s">
        <v>1</v>
      </c>
      <c r="J4" s="5" t="s">
        <v>2</v>
      </c>
    </row>
    <row r="5" spans="2:10" s="4" customFormat="1" ht="27.95" customHeight="1" x14ac:dyDescent="0.25">
      <c r="B5" s="310"/>
      <c r="C5" s="311" t="s">
        <v>3</v>
      </c>
      <c r="D5" s="311" t="s">
        <v>4</v>
      </c>
      <c r="E5" s="311" t="s">
        <v>5</v>
      </c>
      <c r="H5" s="6" t="s">
        <v>6</v>
      </c>
      <c r="I5" s="7">
        <f>C9</f>
        <v>8.1669841847228392E-2</v>
      </c>
      <c r="J5" s="8">
        <v>8</v>
      </c>
    </row>
    <row r="6" spans="2:10" s="4" customFormat="1" ht="15" customHeight="1" x14ac:dyDescent="0.25">
      <c r="B6" s="311" t="s">
        <v>7</v>
      </c>
      <c r="C6" s="312">
        <f>'Exh. No. AEB-6 CGDCF'!K25</f>
        <v>8.1117321909060347E-2</v>
      </c>
      <c r="D6" s="312">
        <f>'Exh. No. AEB-6 CGDCF'!L25</f>
        <v>9.4038897150267142E-2</v>
      </c>
      <c r="E6" s="312">
        <f>'Exh. No. AEB-6 CGDCF'!M25</f>
        <v>0.10390854202536653</v>
      </c>
      <c r="F6" s="9"/>
      <c r="H6" s="6"/>
      <c r="I6" s="9">
        <f>D9</f>
        <v>9.4595190135877846E-2</v>
      </c>
      <c r="J6" s="8">
        <v>8</v>
      </c>
    </row>
    <row r="7" spans="2:10" s="4" customFormat="1" ht="15" customHeight="1" x14ac:dyDescent="0.25">
      <c r="B7" s="311" t="s">
        <v>8</v>
      </c>
      <c r="C7" s="312">
        <f>'Exh. No. AEB-6 CGDCF'!K65</f>
        <v>8.246577532483261E-2</v>
      </c>
      <c r="D7" s="312">
        <f>'Exh. No. AEB-6 CGDCF'!L65</f>
        <v>9.5396269946187828E-2</v>
      </c>
      <c r="E7" s="312">
        <f>'Exh. No. AEB-6 CGDCF'!M65</f>
        <v>0.1052723930084245</v>
      </c>
      <c r="F7" s="9"/>
      <c r="H7" s="6"/>
      <c r="I7" s="7">
        <f>E9</f>
        <v>0.10446746591605</v>
      </c>
      <c r="J7" s="8">
        <v>8</v>
      </c>
    </row>
    <row r="8" spans="2:10" s="4" customFormat="1" ht="15" customHeight="1" x14ac:dyDescent="0.25">
      <c r="B8" s="311" t="s">
        <v>9</v>
      </c>
      <c r="C8" s="312">
        <f>'Exh. No. AEB-6 CGDCF'!K105</f>
        <v>8.1426428307792204E-2</v>
      </c>
      <c r="D8" s="312">
        <f>'Exh. No. AEB-6 CGDCF'!L105</f>
        <v>9.4350403311178582E-2</v>
      </c>
      <c r="E8" s="312">
        <f>'Exh. No. AEB-6 CGDCF'!M105</f>
        <v>0.10422146271435895</v>
      </c>
      <c r="F8" s="9"/>
      <c r="H8" s="6" t="s">
        <v>10</v>
      </c>
      <c r="I8" s="7">
        <f>C14</f>
        <v>8.0105054636730663E-2</v>
      </c>
      <c r="J8" s="8">
        <v>7</v>
      </c>
    </row>
    <row r="9" spans="2:10" s="4" customFormat="1" ht="15" customHeight="1" x14ac:dyDescent="0.25">
      <c r="B9" s="332" t="s">
        <v>11</v>
      </c>
      <c r="C9" s="333">
        <f>AVERAGE(C6:C8)</f>
        <v>8.1669841847228392E-2</v>
      </c>
      <c r="D9" s="333">
        <f>AVERAGE(D6:D8)</f>
        <v>9.4595190135877846E-2</v>
      </c>
      <c r="E9" s="333">
        <f>AVERAGE(E6:E8)</f>
        <v>0.10446746591605</v>
      </c>
      <c r="F9" s="3"/>
      <c r="H9" s="6"/>
      <c r="I9" s="7">
        <f>D14</f>
        <v>9.427236330133619E-2</v>
      </c>
      <c r="J9" s="8">
        <v>7</v>
      </c>
    </row>
    <row r="10" spans="2:10" s="4" customFormat="1" ht="13.15" customHeight="1" x14ac:dyDescent="0.25">
      <c r="B10" s="310"/>
      <c r="C10" s="311" t="s">
        <v>12</v>
      </c>
      <c r="D10" s="311" t="s">
        <v>13</v>
      </c>
      <c r="E10" s="311" t="s">
        <v>14</v>
      </c>
      <c r="H10" s="6"/>
      <c r="I10" s="7">
        <f>E14</f>
        <v>0.10164138211479216</v>
      </c>
      <c r="J10" s="8">
        <v>7</v>
      </c>
    </row>
    <row r="11" spans="2:10" s="4" customFormat="1" x14ac:dyDescent="0.25">
      <c r="B11" s="311" t="s">
        <v>7</v>
      </c>
      <c r="C11" s="312">
        <f>'Exh. No. AEB-6 CGDCF'!K26</f>
        <v>7.9849690404831822E-2</v>
      </c>
      <c r="D11" s="312">
        <f>'Exh. No. AEB-6 CGDCF'!L26</f>
        <v>9.3973008186998039E-2</v>
      </c>
      <c r="E11" s="312">
        <f>'Exh. No. AEB-6 CGDCF'!M26</f>
        <v>0.10125016303179207</v>
      </c>
      <c r="G11" s="10"/>
      <c r="H11" s="11" t="s">
        <v>15</v>
      </c>
      <c r="I11" s="7">
        <f>MIN(C17:E19)</f>
        <v>0.10333072145050487</v>
      </c>
      <c r="J11" s="8">
        <v>5</v>
      </c>
    </row>
    <row r="12" spans="2:10" s="4" customFormat="1" ht="15" customHeight="1" x14ac:dyDescent="0.25">
      <c r="B12" s="311" t="s">
        <v>8</v>
      </c>
      <c r="C12" s="312">
        <f>'Exh. No. AEB-6 CGDCF'!K66</f>
        <v>8.1111455550609585E-2</v>
      </c>
      <c r="D12" s="312">
        <f>'Exh. No. AEB-6 CGDCF'!L66</f>
        <v>9.5042065353950017E-2</v>
      </c>
      <c r="E12" s="312">
        <f>'Exh. No. AEB-6 CGDCF'!M66</f>
        <v>0.10240537852705442</v>
      </c>
      <c r="H12" s="11"/>
      <c r="I12" s="7">
        <f>MAX(C17:E19)</f>
        <v>0.11383836082232235</v>
      </c>
      <c r="J12" s="8">
        <v>5</v>
      </c>
    </row>
    <row r="13" spans="2:10" s="4" customFormat="1" ht="15" customHeight="1" x14ac:dyDescent="0.25">
      <c r="B13" s="311" t="s">
        <v>9</v>
      </c>
      <c r="C13" s="312">
        <f>'Exh. No. AEB-6 CGDCF'!K106</f>
        <v>7.9354017954750583E-2</v>
      </c>
      <c r="D13" s="312">
        <f>'Exh. No. AEB-6 CGDCF'!L106</f>
        <v>9.38020163630605E-2</v>
      </c>
      <c r="E13" s="312">
        <f>'Exh. No. AEB-6 CGDCF'!M106</f>
        <v>0.10126860478552996</v>
      </c>
      <c r="H13" s="11" t="s">
        <v>16</v>
      </c>
      <c r="I13" s="7">
        <f>MIN(C21:E23)</f>
        <v>0.1087387865942888</v>
      </c>
      <c r="J13" s="8">
        <v>4</v>
      </c>
    </row>
    <row r="14" spans="2:10" s="4" customFormat="1" ht="15" customHeight="1" x14ac:dyDescent="0.25">
      <c r="B14" s="313" t="s">
        <v>11</v>
      </c>
      <c r="C14" s="312">
        <f>AVERAGE(C11:C13)</f>
        <v>8.0105054636730663E-2</v>
      </c>
      <c r="D14" s="312">
        <f>AVERAGE(D11:D13)</f>
        <v>9.427236330133619E-2</v>
      </c>
      <c r="E14" s="312">
        <f>AVERAGE(E11:E13)</f>
        <v>0.10164138211479216</v>
      </c>
      <c r="H14" s="11"/>
      <c r="I14" s="7">
        <f>MAX(C21:E23)</f>
        <v>0.11661951612315188</v>
      </c>
      <c r="J14" s="8">
        <v>4</v>
      </c>
    </row>
    <row r="15" spans="2:10" s="4" customFormat="1" ht="15" customHeight="1" x14ac:dyDescent="0.25">
      <c r="B15" s="346" t="s">
        <v>17</v>
      </c>
      <c r="C15" s="346"/>
      <c r="D15" s="346"/>
      <c r="E15" s="346"/>
      <c r="H15" s="11" t="s">
        <v>18</v>
      </c>
      <c r="I15" s="7">
        <f>C26</f>
        <v>0.10232391779262304</v>
      </c>
      <c r="J15" s="8">
        <v>3</v>
      </c>
    </row>
    <row r="16" spans="2:10" s="4" customFormat="1" ht="45" customHeight="1" x14ac:dyDescent="0.25">
      <c r="B16" s="310"/>
      <c r="C16" s="311" t="s">
        <v>19</v>
      </c>
      <c r="D16" s="311" t="s">
        <v>20</v>
      </c>
      <c r="E16" s="311" t="s">
        <v>21</v>
      </c>
      <c r="H16" s="11"/>
      <c r="I16" s="7">
        <f>E26</f>
        <v>0.10315805832389577</v>
      </c>
      <c r="J16" s="8">
        <v>3</v>
      </c>
    </row>
    <row r="17" spans="1:12" s="4" customFormat="1" x14ac:dyDescent="0.25">
      <c r="B17" s="311" t="s">
        <v>22</v>
      </c>
      <c r="C17" s="314">
        <f>'Exh. No. AEB-7 CAPM'!H26</f>
        <v>0.1135911843517341</v>
      </c>
      <c r="D17" s="314">
        <f>'Exh. No. AEB-7 CAPM'!H62</f>
        <v>0.11373483141055762</v>
      </c>
      <c r="E17" s="314">
        <f>'Exh. No. AEB-7 CAPM'!H98</f>
        <v>0.11383836082232235</v>
      </c>
      <c r="H17" s="11" t="s">
        <v>1535</v>
      </c>
      <c r="I17" s="7">
        <f>C29</f>
        <v>0.11251216622771187</v>
      </c>
      <c r="J17" s="8">
        <v>2</v>
      </c>
    </row>
    <row r="18" spans="1:12" s="4" customFormat="1" ht="15.75" x14ac:dyDescent="0.25">
      <c r="B18" s="311" t="s">
        <v>23</v>
      </c>
      <c r="C18" s="314">
        <f>'Exh. No. AEB-7 CAPM'!H134</f>
        <v>0.10768856984173907</v>
      </c>
      <c r="D18" s="314">
        <f>'Exh. No. AEB-7 CAPM'!H170</f>
        <v>0.10790677795397244</v>
      </c>
      <c r="E18" s="314">
        <f>'Exh. No. AEB-7 CAPM'!H206</f>
        <v>0.10806404506188833</v>
      </c>
      <c r="I18" s="9">
        <f>E29</f>
        <v>0.11307080745908356</v>
      </c>
      <c r="J18" s="8">
        <v>2</v>
      </c>
      <c r="L18" s="317">
        <v>0</v>
      </c>
    </row>
    <row r="19" spans="1:12" s="4" customFormat="1" ht="15.75" x14ac:dyDescent="0.25">
      <c r="B19" s="311" t="s">
        <v>24</v>
      </c>
      <c r="C19" s="314">
        <f>'Exh. No. AEB-7 CAPM'!H242</f>
        <v>0.10333072145050487</v>
      </c>
      <c r="D19" s="314">
        <f>'Exh. No. AEB-7 CAPM'!H278</f>
        <v>0.10360397733285784</v>
      </c>
      <c r="E19" s="314">
        <f>'Exh. No. AEB-7 CAPM'!H314</f>
        <v>0.1038009185093284</v>
      </c>
      <c r="G19" s="6"/>
      <c r="H19" s="11" t="s">
        <v>1518</v>
      </c>
      <c r="I19" s="318">
        <v>9.9000000000000005E-2</v>
      </c>
      <c r="J19" s="8">
        <v>0</v>
      </c>
      <c r="L19" s="317">
        <v>9</v>
      </c>
    </row>
    <row r="20" spans="1:12" s="2" customFormat="1" ht="17.649999999999999" customHeight="1" x14ac:dyDescent="0.2">
      <c r="A20" s="4"/>
      <c r="B20" s="346" t="s">
        <v>25</v>
      </c>
      <c r="C20" s="346"/>
      <c r="D20" s="346"/>
      <c r="E20" s="346"/>
      <c r="F20" s="4"/>
      <c r="G20" s="6"/>
      <c r="H20" s="8"/>
      <c r="I20" s="318">
        <f>I19</f>
        <v>9.9000000000000005E-2</v>
      </c>
      <c r="J20" s="8">
        <v>9</v>
      </c>
      <c r="L20" s="317">
        <f>L18</f>
        <v>0</v>
      </c>
    </row>
    <row r="21" spans="1:12" s="2" customFormat="1" ht="14.25" customHeight="1" x14ac:dyDescent="0.2">
      <c r="B21" s="311" t="s">
        <v>22</v>
      </c>
      <c r="C21" s="314">
        <f>'Exh. No. AEB-7 CAPM'!I26</f>
        <v>0.11643413377021071</v>
      </c>
      <c r="D21" s="314">
        <f>'Exh. No. AEB-7 CAPM'!I62</f>
        <v>0.11654186906432837</v>
      </c>
      <c r="E21" s="314">
        <f>'Exh. No. AEB-7 CAPM'!I98</f>
        <v>0.11661951612315188</v>
      </c>
      <c r="F21" s="4"/>
      <c r="G21" s="6"/>
      <c r="H21" s="11" t="s">
        <v>1519</v>
      </c>
      <c r="I21" s="318">
        <v>0.11</v>
      </c>
      <c r="J21" s="8">
        <f>J19</f>
        <v>0</v>
      </c>
      <c r="L21" s="317">
        <v>9</v>
      </c>
    </row>
    <row r="22" spans="1:12" ht="15.75" x14ac:dyDescent="0.2">
      <c r="B22" s="311" t="s">
        <v>23</v>
      </c>
      <c r="C22" s="314">
        <f>'Exh. No. AEB-7 CAPM'!I134</f>
        <v>0.11200717288771442</v>
      </c>
      <c r="D22" s="314">
        <f>'Exh. No. AEB-7 CAPM'!I170</f>
        <v>0.11217082897188943</v>
      </c>
      <c r="E22" s="314">
        <f>'Exh. No. AEB-7 CAPM'!I206</f>
        <v>0.11228877930282638</v>
      </c>
      <c r="F22" s="4"/>
      <c r="G22" s="6"/>
      <c r="H22" s="8"/>
      <c r="I22" s="318">
        <f>I21</f>
        <v>0.11</v>
      </c>
      <c r="J22" s="8">
        <v>9</v>
      </c>
      <c r="L22" s="317">
        <v>2.8</v>
      </c>
    </row>
    <row r="23" spans="1:12" ht="12.75" customHeight="1" x14ac:dyDescent="0.2">
      <c r="B23" s="311" t="s">
        <v>24</v>
      </c>
      <c r="C23" s="314">
        <f>'Exh. No. AEB-7 CAPM'!I242</f>
        <v>0.1087387865942888</v>
      </c>
      <c r="D23" s="314">
        <f>'Exh. No. AEB-7 CAPM'!I278</f>
        <v>0.10894372850605352</v>
      </c>
      <c r="E23" s="314">
        <f>'Exh. No. AEB-7 CAPM'!I314</f>
        <v>0.10909143438840643</v>
      </c>
      <c r="F23" s="4"/>
      <c r="G23" s="6"/>
      <c r="H23" s="11" t="s">
        <v>1520</v>
      </c>
      <c r="I23" s="318">
        <v>0.10299999999999999</v>
      </c>
      <c r="J23" s="8">
        <v>5</v>
      </c>
    </row>
    <row r="24" spans="1:12" ht="12.95" customHeight="1" x14ac:dyDescent="0.2">
      <c r="B24" s="346" t="s">
        <v>26</v>
      </c>
      <c r="C24" s="346"/>
      <c r="D24" s="346"/>
      <c r="E24" s="346"/>
      <c r="F24" s="9"/>
      <c r="G24" s="12"/>
    </row>
    <row r="25" spans="1:12" ht="43.5" customHeight="1" x14ac:dyDescent="0.2">
      <c r="B25" s="310"/>
      <c r="C25" s="311" t="s">
        <v>19</v>
      </c>
      <c r="D25" s="311" t="s">
        <v>20</v>
      </c>
      <c r="E25" s="311" t="s">
        <v>21</v>
      </c>
      <c r="F25" s="14"/>
    </row>
    <row r="26" spans="1:12" x14ac:dyDescent="0.2">
      <c r="B26" s="315" t="s">
        <v>27</v>
      </c>
      <c r="C26" s="316">
        <f>'Exh. No. AEB-10 Risk Premium'!L47</f>
        <v>0.10232391779262304</v>
      </c>
      <c r="D26" s="316">
        <f>'Exh. No. AEB-10 Risk Premium'!L48</f>
        <v>0.10280868009090195</v>
      </c>
      <c r="E26" s="316">
        <f>'Exh. No. AEB-10 Risk Premium'!L49</f>
        <v>0.10315805832389577</v>
      </c>
      <c r="F26" s="15"/>
    </row>
    <row r="27" spans="1:12" x14ac:dyDescent="0.2">
      <c r="B27" s="346" t="s">
        <v>1535</v>
      </c>
      <c r="C27" s="346"/>
      <c r="D27" s="346"/>
      <c r="E27" s="346"/>
    </row>
    <row r="28" spans="1:12" x14ac:dyDescent="0.2">
      <c r="B28" s="310"/>
      <c r="C28" s="347" t="s">
        <v>4</v>
      </c>
      <c r="D28" s="347"/>
      <c r="E28" s="311" t="s">
        <v>13</v>
      </c>
    </row>
    <row r="29" spans="1:12" ht="12.6" customHeight="1" x14ac:dyDescent="0.2">
      <c r="B29" s="315" t="s">
        <v>1534</v>
      </c>
      <c r="C29" s="348">
        <f>'Exh. No AEB-11 Expected Earning'!M25</f>
        <v>0.11251216622771187</v>
      </c>
      <c r="D29" s="348"/>
      <c r="E29" s="316">
        <f>'Exh. No AEB-11 Expected Earning'!M26</f>
        <v>0.11307080745908356</v>
      </c>
    </row>
    <row r="30" spans="1:12" ht="12.6" customHeight="1" x14ac:dyDescent="0.2">
      <c r="B30" s="16"/>
      <c r="C30" s="16"/>
      <c r="D30" s="16"/>
      <c r="E30" s="16"/>
    </row>
    <row r="31" spans="1:12" ht="12.6" customHeight="1" x14ac:dyDescent="0.2">
      <c r="E31" s="16"/>
    </row>
    <row r="32" spans="1:12" x14ac:dyDescent="0.2">
      <c r="E32" s="2"/>
    </row>
    <row r="37" ht="12.75" customHeight="1" x14ac:dyDescent="0.2"/>
    <row r="52" spans="3:3" x14ac:dyDescent="0.2">
      <c r="C52" s="17"/>
    </row>
  </sheetData>
  <mergeCells count="8">
    <mergeCell ref="B27:E27"/>
    <mergeCell ref="C28:D28"/>
    <mergeCell ref="C29:D29"/>
    <mergeCell ref="B2:E2"/>
    <mergeCell ref="B4:E4"/>
    <mergeCell ref="B15:E15"/>
    <mergeCell ref="B20:E20"/>
    <mergeCell ref="B24:E24"/>
  </mergeCells>
  <printOptions horizontalCentered="1"/>
  <pageMargins left="0.7" right="0.7" top="1.25" bottom="0.75" header="0.3" footer="0.3"/>
  <pageSetup scale="63" orientation="portrait" useFirstPageNumber="1" r:id="rId1"/>
  <headerFooter>
    <oddHeader>&amp;LREFILED April 19, 2023</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74"/>
  <sheetViews>
    <sheetView view="pageLayout" zoomScaleNormal="100" zoomScaleSheetLayoutView="100" workbookViewId="0">
      <selection activeCell="A108" sqref="A108:L108"/>
    </sheetView>
  </sheetViews>
  <sheetFormatPr defaultColWidth="9" defaultRowHeight="12.75" x14ac:dyDescent="0.2"/>
  <cols>
    <col min="1" max="1" width="12.5703125" style="63" customWidth="1"/>
    <col min="2" max="2" width="5.28515625" style="63" bestFit="1" customWidth="1"/>
    <col min="3" max="3" width="35.5703125" style="63" customWidth="1"/>
    <col min="4" max="6" width="12.5703125" style="63" customWidth="1"/>
    <col min="7" max="16384" width="9" style="63"/>
  </cols>
  <sheetData>
    <row r="2" spans="1:6" x14ac:dyDescent="0.2">
      <c r="A2" s="199" t="s">
        <v>1531</v>
      </c>
      <c r="B2" s="199"/>
      <c r="C2" s="200"/>
      <c r="D2" s="200"/>
      <c r="E2" s="200"/>
      <c r="F2" s="200"/>
    </row>
    <row r="25" spans="2:11" x14ac:dyDescent="0.2">
      <c r="C25" s="201" t="s">
        <v>1532</v>
      </c>
      <c r="D25" s="200"/>
      <c r="E25" s="200"/>
    </row>
    <row r="26" spans="2:11" x14ac:dyDescent="0.2">
      <c r="H26" s="190"/>
      <c r="I26" s="190"/>
      <c r="J26" s="190"/>
      <c r="K26" s="190"/>
    </row>
    <row r="27" spans="2:11" x14ac:dyDescent="0.2">
      <c r="B27" s="202" t="s">
        <v>1347</v>
      </c>
      <c r="C27" s="202" t="s">
        <v>34</v>
      </c>
      <c r="D27" s="62"/>
      <c r="E27" s="202" t="s">
        <v>1533</v>
      </c>
      <c r="H27" s="190" t="s">
        <v>1360</v>
      </c>
      <c r="I27" s="190"/>
      <c r="J27" s="190"/>
      <c r="K27" s="190"/>
    </row>
    <row r="28" spans="2:11" x14ac:dyDescent="0.2">
      <c r="C28" s="184"/>
      <c r="H28" s="203" t="s">
        <v>1361</v>
      </c>
      <c r="I28" s="203" t="s">
        <v>13</v>
      </c>
      <c r="J28" s="190"/>
      <c r="K28" s="190"/>
    </row>
    <row r="29" spans="2:11" x14ac:dyDescent="0.2">
      <c r="B29" s="63">
        <v>1</v>
      </c>
      <c r="C29" s="176" t="str">
        <f>INDEX('Exh. No AEB-12 CapEx 1'!A:A,MATCH('Exh. No AEB-12 CapEx 2'!$B29,'Exh. No AEB-12 CapEx 1'!K:K,0)-3)</f>
        <v>ALLETE, Inc.</v>
      </c>
      <c r="D29" s="176" t="str">
        <f>INDEX('Exh. No AEB-12 CapEx 1'!C:C,MATCH('Exh. No AEB-12 CapEx 2'!$C29,'Exh. No AEB-12 CapEx 1'!A:A,0))</f>
        <v>ALE</v>
      </c>
      <c r="E29" s="204">
        <f>INDEX('Exh. No AEB-12 CapEx 1'!J:J,MATCH('Exh. No AEB-12 CapEx 2'!$D29,'Exh. No AEB-12 CapEx 1'!C:C,0)+3)</f>
        <v>0.39588686481303936</v>
      </c>
      <c r="H29" s="190">
        <v>0</v>
      </c>
      <c r="I29" s="205">
        <f>E48</f>
        <v>0.49778903903903904</v>
      </c>
      <c r="J29" s="190"/>
      <c r="K29" s="190"/>
    </row>
    <row r="30" spans="2:11" x14ac:dyDescent="0.2">
      <c r="B30" s="63">
        <v>2</v>
      </c>
      <c r="C30" s="176" t="str">
        <f>INDEX('Exh. No AEB-12 CapEx 1'!A:A,MATCH('Exh. No AEB-12 CapEx 2'!$B30,'Exh. No AEB-12 CapEx 1'!K:K,0)-3)</f>
        <v>NorthWestern Corporation</v>
      </c>
      <c r="D30" s="176" t="str">
        <f>INDEX('Exh. No AEB-12 CapEx 1'!C:C,MATCH('Exh. No AEB-12 CapEx 2'!$C30,'Exh. No AEB-12 CapEx 1'!A:A,0))</f>
        <v>NWE</v>
      </c>
      <c r="E30" s="204">
        <f>INDEX('Exh. No AEB-12 CapEx 1'!J:J,MATCH('Exh. No AEB-12 CapEx 2'!$D30,'Exh. No AEB-12 CapEx 1'!C:C,0)+3)</f>
        <v>0.40085257548845477</v>
      </c>
      <c r="H30" s="190">
        <v>10</v>
      </c>
      <c r="I30" s="205">
        <f>E48</f>
        <v>0.49778903903903904</v>
      </c>
      <c r="J30" s="190"/>
      <c r="K30" s="190"/>
    </row>
    <row r="31" spans="2:11" x14ac:dyDescent="0.2">
      <c r="B31" s="63">
        <v>3</v>
      </c>
      <c r="C31" s="176" t="str">
        <f>INDEX('Exh. No AEB-12 CapEx 1'!A:A,MATCH('Exh. No AEB-12 CapEx 2'!$B31,'Exh. No AEB-12 CapEx 1'!K:K,0)-3)</f>
        <v>Southern Company</v>
      </c>
      <c r="D31" s="176" t="str">
        <f>INDEX('Exh. No AEB-12 CapEx 1'!C:C,MATCH('Exh. No AEB-12 CapEx 2'!$C31,'Exh. No AEB-12 CapEx 1'!A:A,0))</f>
        <v>SO</v>
      </c>
      <c r="E31" s="204">
        <f>INDEX('Exh. No AEB-12 CapEx 1'!J:J,MATCH('Exh. No AEB-12 CapEx 2'!$D31,'Exh. No AEB-12 CapEx 1'!C:C,0)+3)</f>
        <v>0.42760641093011037</v>
      </c>
      <c r="H31" s="190"/>
      <c r="I31" s="190"/>
      <c r="J31" s="190"/>
      <c r="K31" s="190"/>
    </row>
    <row r="32" spans="2:11" x14ac:dyDescent="0.2">
      <c r="B32" s="63">
        <v>4</v>
      </c>
      <c r="C32" s="176" t="str">
        <f>INDEX('Exh. No AEB-12 CapEx 1'!A:A,MATCH('Exh. No AEB-12 CapEx 2'!$B32,'Exh. No AEB-12 CapEx 1'!K:K,0)-3)</f>
        <v>Avista Corporation</v>
      </c>
      <c r="D32" s="176" t="str">
        <f>INDEX('Exh. No AEB-12 CapEx 1'!C:C,MATCH('Exh. No AEB-12 CapEx 2'!$C32,'Exh. No AEB-12 CapEx 1'!A:A,0))</f>
        <v>AVA</v>
      </c>
      <c r="E32" s="204">
        <f>INDEX('Exh. No AEB-12 CapEx 1'!J:J,MATCH('Exh. No AEB-12 CapEx 2'!$D32,'Exh. No AEB-12 CapEx 1'!C:C,0)+3)</f>
        <v>0.45555963302752295</v>
      </c>
      <c r="H32" s="190"/>
      <c r="I32" s="190"/>
      <c r="J32" s="190"/>
      <c r="K32" s="190"/>
    </row>
    <row r="33" spans="2:11" x14ac:dyDescent="0.2">
      <c r="B33" s="63">
        <v>5</v>
      </c>
      <c r="C33" s="176" t="str">
        <f>INDEX('Exh. No AEB-12 CapEx 1'!A:A,MATCH('Exh. No AEB-12 CapEx 2'!$B33,'Exh. No AEB-12 CapEx 1'!K:K,0)-3)</f>
        <v>OGE Energy Corporation</v>
      </c>
      <c r="D33" s="176" t="str">
        <f>INDEX('Exh. No AEB-12 CapEx 1'!C:C,MATCH('Exh. No AEB-12 CapEx 2'!$C33,'Exh. No AEB-12 CapEx 1'!A:A,0))</f>
        <v>OGE</v>
      </c>
      <c r="E33" s="204">
        <f>INDEX('Exh. No AEB-12 CapEx 1'!J:J,MATCH('Exh. No AEB-12 CapEx 2'!$D33,'Exh. No AEB-12 CapEx 1'!C:C,0)+3)</f>
        <v>0.4596181730304495</v>
      </c>
      <c r="H33" s="190"/>
      <c r="I33" s="190"/>
      <c r="J33" s="190"/>
      <c r="K33" s="190"/>
    </row>
    <row r="34" spans="2:11" x14ac:dyDescent="0.2">
      <c r="B34" s="63">
        <v>6</v>
      </c>
      <c r="C34" s="176" t="str">
        <f>INDEX('Exh. No AEB-12 CapEx 1'!A:A,MATCH('Exh. No AEB-12 CapEx 2'!$B34,'Exh. No AEB-12 CapEx 1'!K:K,0)-3)</f>
        <v>Entergy Corporation</v>
      </c>
      <c r="D34" s="176" t="str">
        <f>INDEX('Exh. No AEB-12 CapEx 1'!C:C,MATCH('Exh. No AEB-12 CapEx 2'!$C34,'Exh. No AEB-12 CapEx 1'!A:A,0))</f>
        <v>ETR</v>
      </c>
      <c r="E34" s="204">
        <f>INDEX('Exh. No AEB-12 CapEx 1'!J:J,MATCH('Exh. No AEB-12 CapEx 2'!$D34,'Exh. No AEB-12 CapEx 1'!C:C,0)+3)</f>
        <v>0.47424714285714287</v>
      </c>
    </row>
    <row r="35" spans="2:11" x14ac:dyDescent="0.2">
      <c r="B35" s="63">
        <v>7</v>
      </c>
      <c r="C35" s="176" t="str">
        <f>INDEX('Exh. No AEB-12 CapEx 1'!A:A,MATCH('Exh. No AEB-12 CapEx 2'!$B35,'Exh. No AEB-12 CapEx 1'!K:K,0)-3)</f>
        <v>Alliant Energy Corporation</v>
      </c>
      <c r="D35" s="176" t="str">
        <f>INDEX('Exh. No AEB-12 CapEx 1'!C:C,MATCH('Exh. No AEB-12 CapEx 2'!$C35,'Exh. No AEB-12 CapEx 1'!A:A,0))</f>
        <v>LNT</v>
      </c>
      <c r="E35" s="204">
        <f>INDEX('Exh. No AEB-12 CapEx 1'!J:J,MATCH('Exh. No AEB-12 CapEx 2'!$D35,'Exh. No AEB-12 CapEx 1'!C:C,0)+3)</f>
        <v>0.48424453978159127</v>
      </c>
    </row>
    <row r="36" spans="2:11" x14ac:dyDescent="0.2">
      <c r="B36" s="63">
        <v>8</v>
      </c>
      <c r="C36" s="176" t="str">
        <f>INDEX('Exh. No AEB-12 CapEx 1'!A:A,MATCH('Exh. No AEB-12 CapEx 2'!$B36,'Exh. No AEB-12 CapEx 1'!K:K,0)-3)</f>
        <v xml:space="preserve">Evergy, Inc. </v>
      </c>
      <c r="D36" s="176" t="str">
        <f>INDEX('Exh. No AEB-12 CapEx 1'!C:C,MATCH('Exh. No AEB-12 CapEx 2'!$C36,'Exh. No AEB-12 CapEx 1'!A:A,0))</f>
        <v>EVRG</v>
      </c>
      <c r="E36" s="204">
        <f>INDEX('Exh. No AEB-12 CapEx 1'!J:J,MATCH('Exh. No AEB-12 CapEx 2'!$D36,'Exh. No AEB-12 CapEx 1'!C:C,0)+3)</f>
        <v>0.48966063348416289</v>
      </c>
      <c r="F36" s="178"/>
      <c r="G36" s="204"/>
    </row>
    <row r="37" spans="2:11" x14ac:dyDescent="0.2">
      <c r="B37" s="63">
        <v>9</v>
      </c>
      <c r="C37" s="176" t="str">
        <f>INDEX('Exh. No AEB-12 CapEx 1'!A:A,MATCH('Exh. No AEB-12 CapEx 2'!$B37,'Exh. No AEB-12 CapEx 1'!K:K,0)-3)</f>
        <v>Portland General Electric Company</v>
      </c>
      <c r="D37" s="176" t="str">
        <f>INDEX('Exh. No AEB-12 CapEx 1'!C:C,MATCH('Exh. No AEB-12 CapEx 2'!$C37,'Exh. No AEB-12 CapEx 1'!A:A,0))</f>
        <v>POR</v>
      </c>
      <c r="E37" s="204">
        <f>INDEX('Exh. No AEB-12 CapEx 1'!J:J,MATCH('Exh. No AEB-12 CapEx 2'!$D37,'Exh. No AEB-12 CapEx 1'!C:C,0)+3)</f>
        <v>0.49778903903903904</v>
      </c>
      <c r="F37" s="178"/>
      <c r="G37" s="204"/>
    </row>
    <row r="38" spans="2:11" x14ac:dyDescent="0.2">
      <c r="B38" s="63">
        <v>10</v>
      </c>
      <c r="C38" s="176" t="str">
        <f>INDEX('Exh. No AEB-12 CapEx 1'!A:A,MATCH('Exh. No AEB-12 CapEx 2'!$B38,'Exh. No AEB-12 CapEx 1'!K:K,0)-3)</f>
        <v>Xcel Energy Inc.</v>
      </c>
      <c r="D38" s="176" t="str">
        <f>INDEX('Exh. No AEB-12 CapEx 1'!C:C,MATCH('Exh. No AEB-12 CapEx 2'!$C38,'Exh. No AEB-12 CapEx 1'!A:A,0))</f>
        <v>XEL</v>
      </c>
      <c r="E38" s="204">
        <f>INDEX('Exh. No AEB-12 CapEx 1'!J:J,MATCH('Exh. No AEB-12 CapEx 2'!$D38,'Exh. No AEB-12 CapEx 1'!C:C,0)+3)</f>
        <v>0.52040435458786938</v>
      </c>
      <c r="F38" s="178"/>
      <c r="G38" s="204"/>
    </row>
    <row r="39" spans="2:11" x14ac:dyDescent="0.2">
      <c r="B39" s="63">
        <v>11</v>
      </c>
      <c r="C39" s="176" t="str">
        <f>INDEX('Exh. No AEB-12 CapEx 1'!A:A,MATCH('Exh. No AEB-12 CapEx 2'!$B39,'Exh. No AEB-12 CapEx 1'!K:K,0)-3)</f>
        <v>American Electric Power Company, Inc.</v>
      </c>
      <c r="D39" s="176" t="str">
        <f>INDEX('Exh. No AEB-12 CapEx 1'!C:C,MATCH('Exh. No AEB-12 CapEx 2'!$C39,'Exh. No AEB-12 CapEx 1'!A:A,0))</f>
        <v>AEP</v>
      </c>
      <c r="E39" s="204">
        <f>INDEX('Exh. No AEB-12 CapEx 1'!J:J,MATCH('Exh. No AEB-12 CapEx 2'!$D39,'Exh. No AEB-12 CapEx 1'!C:C,0)+3)</f>
        <v>0.53512384996461426</v>
      </c>
      <c r="F39" s="178"/>
      <c r="G39" s="204"/>
    </row>
    <row r="40" spans="2:11" x14ac:dyDescent="0.2">
      <c r="B40" s="63">
        <v>12</v>
      </c>
      <c r="C40" s="176" t="str">
        <f>INDEX('Exh. No AEB-12 CapEx 1'!A:A,MATCH('Exh. No AEB-12 CapEx 2'!$B40,'Exh. No AEB-12 CapEx 1'!K:K,0)-3)</f>
        <v>Duke Energy Corporation</v>
      </c>
      <c r="D40" s="176" t="str">
        <f>INDEX('Exh. No AEB-12 CapEx 1'!C:C,MATCH('Exh. No AEB-12 CapEx 2'!$C40,'Exh. No AEB-12 CapEx 1'!A:A,0))</f>
        <v>DUK</v>
      </c>
      <c r="E40" s="204">
        <f>INDEX('Exh. No AEB-12 CapEx 1'!J:J,MATCH('Exh. No AEB-12 CapEx 2'!$D40,'Exh. No AEB-12 CapEx 1'!C:C,0)+3)</f>
        <v>0.54778084519006154</v>
      </c>
      <c r="F40" s="178"/>
      <c r="G40" s="204"/>
    </row>
    <row r="41" spans="2:11" x14ac:dyDescent="0.2">
      <c r="B41" s="63">
        <v>13</v>
      </c>
      <c r="C41" s="176" t="str">
        <f>INDEX('Exh. No AEB-12 CapEx 1'!A:A,MATCH('Exh. No AEB-12 CapEx 2'!$B41,'Exh. No AEB-12 CapEx 1'!K:K,0)-3)</f>
        <v>IDACORP, Inc.</v>
      </c>
      <c r="D41" s="176" t="str">
        <f>INDEX('Exh. No AEB-12 CapEx 1'!C:C,MATCH('Exh. No AEB-12 CapEx 2'!$C41,'Exh. No AEB-12 CapEx 1'!A:A,0))</f>
        <v>IDA</v>
      </c>
      <c r="E41" s="204">
        <f>INDEX('Exh. No AEB-12 CapEx 1'!J:J,MATCH('Exh. No AEB-12 CapEx 2'!$D41,'Exh. No AEB-12 CapEx 1'!C:C,0)+3)</f>
        <v>0.55724285714285704</v>
      </c>
      <c r="F41" s="178"/>
      <c r="G41" s="204"/>
    </row>
    <row r="42" spans="2:11" x14ac:dyDescent="0.2">
      <c r="B42" s="63">
        <v>14</v>
      </c>
      <c r="C42" s="176" t="str">
        <f>INDEX('Exh. No AEB-12 CapEx 1'!A:A,MATCH('Exh. No AEB-12 CapEx 2'!$B42,'Exh. No AEB-12 CapEx 1'!K:K,0)-3)</f>
        <v>Ameren Corporation</v>
      </c>
      <c r="D42" s="176" t="str">
        <f>INDEX('Exh. No AEB-12 CapEx 1'!C:C,MATCH('Exh. No AEB-12 CapEx 2'!$C42,'Exh. No AEB-12 CapEx 1'!A:A,0))</f>
        <v>AEE</v>
      </c>
      <c r="E42" s="204">
        <f>INDEX('Exh. No AEB-12 CapEx 1'!J:J,MATCH('Exh. No AEB-12 CapEx 2'!$D42,'Exh. No AEB-12 CapEx 1'!C:C,0)+3)</f>
        <v>0.56892914331465172</v>
      </c>
      <c r="F42" s="178"/>
      <c r="G42" s="204"/>
    </row>
    <row r="43" spans="2:11" x14ac:dyDescent="0.2">
      <c r="B43" s="63">
        <v>15</v>
      </c>
      <c r="C43" s="176" t="str">
        <f>INDEX('Exh. No AEB-12 CapEx 1'!A:A,MATCH('Exh. No AEB-12 CapEx 2'!$B43,'Exh. No AEB-12 CapEx 1'!K:K,0)-3)</f>
        <v>Otter Tail Corporation</v>
      </c>
      <c r="D43" s="176" t="str">
        <f>INDEX('Exh. No AEB-12 CapEx 1'!C:C,MATCH('Exh. No AEB-12 CapEx 2'!$C43,'Exh. No AEB-12 CapEx 1'!A:A,0))</f>
        <v>OTTR</v>
      </c>
      <c r="E43" s="204">
        <f>INDEX('Exh. No AEB-12 CapEx 1'!J:J,MATCH('Exh. No AEB-12 CapEx 2'!$D43,'Exh. No AEB-12 CapEx 1'!C:C,0)+3)</f>
        <v>0.58843891402714932</v>
      </c>
      <c r="F43" s="178"/>
      <c r="G43" s="204"/>
    </row>
    <row r="44" spans="2:11" x14ac:dyDescent="0.2">
      <c r="B44" s="63">
        <v>16</v>
      </c>
      <c r="C44" s="334" t="str">
        <f>INDEX('Exh. No AEB-12 CapEx 1'!A:A,MATCH('Exh. No AEB-12 CapEx 2'!$B44,'Exh. No AEB-12 CapEx 1'!K:K,0)-3)</f>
        <v>CMS Energy Corporation</v>
      </c>
      <c r="D44" s="334" t="str">
        <f>INDEX('Exh. No AEB-12 CapEx 1'!C:C,MATCH('Exh. No AEB-12 CapEx 2'!$C44,'Exh. No AEB-12 CapEx 1'!A:A,0))</f>
        <v>CMS</v>
      </c>
      <c r="E44" s="337">
        <f>INDEX('Exh. No AEB-12 CapEx 1'!J:J,MATCH('Exh. No AEB-12 CapEx 2'!$D44,'Exh. No AEB-12 CapEx 1'!C:C,0)+3)</f>
        <v>0.61359095688748688</v>
      </c>
      <c r="F44" s="178"/>
      <c r="G44" s="204"/>
    </row>
    <row r="45" spans="2:11" x14ac:dyDescent="0.2">
      <c r="B45" s="63">
        <v>17</v>
      </c>
      <c r="C45" s="176" t="str">
        <f>INDEX('Exh. No AEB-12 CapEx 1'!A:A,MATCH('Exh. No AEB-12 CapEx 2'!$B45,'Exh. No AEB-12 CapEx 1'!K:K,0)-3)</f>
        <v>NextEra Energy, Inc.</v>
      </c>
      <c r="D45" s="176" t="str">
        <f>INDEX('Exh. No AEB-12 CapEx 1'!C:C,MATCH('Exh. No AEB-12 CapEx 2'!$C45,'Exh. No AEB-12 CapEx 1'!A:A,0))</f>
        <v>NEE</v>
      </c>
      <c r="E45" s="204">
        <f>INDEX('Exh. No AEB-12 CapEx 1'!J:J,MATCH('Exh. No AEB-12 CapEx 2'!$D45,'Exh. No AEB-12 CapEx 1'!C:C,0)+3)</f>
        <v>0.86896551724137927</v>
      </c>
      <c r="F45" s="178"/>
      <c r="G45" s="204"/>
    </row>
    <row r="46" spans="2:11" x14ac:dyDescent="0.2">
      <c r="B46" s="63">
        <v>18</v>
      </c>
      <c r="C46" s="176" t="str">
        <f>INDEX('Exh. No AEB-12 CapEx 1'!A:A,MATCH('Exh. No AEB-12 CapEx 2'!$B46,'Exh. No AEB-12 CapEx 1'!K:K,0)-3)</f>
        <v>PacifiCorp</v>
      </c>
      <c r="D46" s="176" t="str">
        <f>INDEX('Exh. No AEB-12 CapEx 1'!C:C,MATCH('Exh. No AEB-12 CapEx 2'!$C46,'Exh. No AEB-12 CapEx 1'!A:A,0))</f>
        <v>PacifiCorp</v>
      </c>
      <c r="E46" s="204">
        <f>INDEX('Exh. No AEB-12 CapEx 1'!J:J,MATCH('Exh. No AEB-12 CapEx 2'!$D46,'Exh. No AEB-12 CapEx 1'!C:C,0)+3)</f>
        <v>0.98855496864049885</v>
      </c>
      <c r="F46" s="178"/>
      <c r="G46" s="204"/>
    </row>
    <row r="47" spans="2:11" x14ac:dyDescent="0.2">
      <c r="D47" s="176"/>
      <c r="E47" s="176"/>
      <c r="F47" s="178"/>
      <c r="G47" s="204"/>
    </row>
    <row r="48" spans="2:11" x14ac:dyDescent="0.2">
      <c r="C48" s="206" t="s">
        <v>1355</v>
      </c>
      <c r="D48" s="207"/>
      <c r="E48" s="208">
        <f>MEDIAN(E29:E44,E46:E46)</f>
        <v>0.49778903903903904</v>
      </c>
      <c r="F48" s="178"/>
      <c r="G48" s="204"/>
    </row>
    <row r="49" spans="3:7" ht="13.5" thickBot="1" x14ac:dyDescent="0.25">
      <c r="C49" s="210" t="s">
        <v>1362</v>
      </c>
      <c r="D49" s="211"/>
      <c r="E49" s="338">
        <f>'Exh. No AEB-12 CapEx 1'!J106</f>
        <v>1.9858913939705523</v>
      </c>
      <c r="F49" s="178"/>
      <c r="G49" s="204"/>
    </row>
    <row r="50" spans="3:7" x14ac:dyDescent="0.2">
      <c r="D50" s="176"/>
      <c r="E50" s="212"/>
      <c r="F50" s="178"/>
      <c r="G50" s="204"/>
    </row>
    <row r="51" spans="3:7" x14ac:dyDescent="0.2">
      <c r="D51" s="176"/>
      <c r="E51" s="212"/>
      <c r="F51" s="178"/>
      <c r="G51" s="204"/>
    </row>
    <row r="52" spans="3:7" x14ac:dyDescent="0.2">
      <c r="C52" s="62" t="s">
        <v>88</v>
      </c>
      <c r="F52" s="178"/>
      <c r="G52" s="204"/>
    </row>
    <row r="53" spans="3:7" x14ac:dyDescent="0.2">
      <c r="C53" s="63" t="s">
        <v>1544</v>
      </c>
    </row>
    <row r="54" spans="3:7" x14ac:dyDescent="0.2">
      <c r="F54" s="209"/>
    </row>
    <row r="56" spans="3:7" x14ac:dyDescent="0.2">
      <c r="C56" s="176"/>
    </row>
    <row r="57" spans="3:7" x14ac:dyDescent="0.2">
      <c r="C57" s="176"/>
    </row>
    <row r="58" spans="3:7" x14ac:dyDescent="0.2">
      <c r="C58" s="176"/>
    </row>
    <row r="59" spans="3:7" x14ac:dyDescent="0.2">
      <c r="C59" s="176"/>
      <c r="D59" s="176"/>
      <c r="E59" s="176"/>
    </row>
    <row r="60" spans="3:7" x14ac:dyDescent="0.2">
      <c r="C60" s="176"/>
      <c r="D60" s="176"/>
      <c r="E60" s="176"/>
    </row>
    <row r="61" spans="3:7" x14ac:dyDescent="0.2">
      <c r="C61" s="176"/>
      <c r="D61" s="176"/>
      <c r="E61" s="176"/>
      <c r="F61" s="176"/>
      <c r="G61" s="176"/>
    </row>
    <row r="62" spans="3:7" x14ac:dyDescent="0.2">
      <c r="C62" s="176"/>
      <c r="D62" s="176"/>
      <c r="E62" s="176"/>
      <c r="F62" s="176"/>
      <c r="G62" s="176"/>
    </row>
    <row r="63" spans="3:7" x14ac:dyDescent="0.2">
      <c r="C63" s="176"/>
      <c r="D63" s="176"/>
      <c r="E63" s="176"/>
      <c r="F63" s="176"/>
      <c r="G63" s="176"/>
    </row>
    <row r="64" spans="3:7" x14ac:dyDescent="0.2">
      <c r="C64" s="176"/>
      <c r="D64" s="176"/>
      <c r="E64" s="176"/>
      <c r="F64" s="176"/>
      <c r="G64" s="176"/>
    </row>
    <row r="65" spans="4:7" x14ac:dyDescent="0.2">
      <c r="D65" s="176"/>
      <c r="E65" s="176"/>
      <c r="F65" s="176"/>
      <c r="G65" s="176"/>
    </row>
    <row r="66" spans="4:7" x14ac:dyDescent="0.2">
      <c r="D66" s="176"/>
      <c r="E66" s="176"/>
      <c r="F66" s="176"/>
      <c r="G66" s="176"/>
    </row>
    <row r="67" spans="4:7" x14ac:dyDescent="0.2">
      <c r="D67" s="176"/>
      <c r="E67" s="176"/>
      <c r="F67" s="176"/>
      <c r="G67" s="176"/>
    </row>
    <row r="68" spans="4:7" x14ac:dyDescent="0.2">
      <c r="D68" s="176"/>
      <c r="E68" s="176"/>
      <c r="F68" s="176"/>
      <c r="G68" s="176"/>
    </row>
    <row r="69" spans="4:7" x14ac:dyDescent="0.2">
      <c r="F69" s="176"/>
      <c r="G69" s="176"/>
    </row>
    <row r="70" spans="4:7" x14ac:dyDescent="0.2">
      <c r="F70" s="176"/>
      <c r="G70" s="176"/>
    </row>
    <row r="71" spans="4:7" x14ac:dyDescent="0.2">
      <c r="F71" s="176"/>
    </row>
    <row r="72" spans="4:7" x14ac:dyDescent="0.2">
      <c r="F72" s="176"/>
    </row>
    <row r="73" spans="4:7" x14ac:dyDescent="0.2">
      <c r="F73" s="176"/>
    </row>
    <row r="74" spans="4:7" x14ac:dyDescent="0.2">
      <c r="F74" s="176"/>
    </row>
  </sheetData>
  <printOptions horizontalCentered="1"/>
  <pageMargins left="0.7" right="0.7" top="1.25" bottom="0.75" header="0.3" footer="0.3"/>
  <pageSetup scale="85" firstPageNumber="3" orientation="portrait" useFirstPageNumber="1" r:id="rId1"/>
  <headerFooter>
    <oddHeader>&amp;LREFILED April 19, 2023</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2:AA171"/>
  <sheetViews>
    <sheetView view="pageLayout" zoomScaleNormal="80" zoomScaleSheetLayoutView="80" workbookViewId="0">
      <selection activeCell="AG7" sqref="AG7"/>
    </sheetView>
  </sheetViews>
  <sheetFormatPr defaultColWidth="9.140625" defaultRowHeight="15" customHeight="1" x14ac:dyDescent="0.2"/>
  <cols>
    <col min="1" max="1" width="34.28515625" style="255" customWidth="1"/>
    <col min="2" max="2" width="46.42578125" style="255" bestFit="1" customWidth="1"/>
    <col min="3" max="3" width="14.7109375" style="255" bestFit="1" customWidth="1"/>
    <col min="4" max="4" width="7.42578125" style="255" bestFit="1" customWidth="1"/>
    <col min="5" max="5" width="16.42578125" style="255" bestFit="1" customWidth="1"/>
    <col min="6" max="6" width="18.5703125" style="259" customWidth="1"/>
    <col min="7" max="8" width="14.85546875" style="255" bestFit="1" customWidth="1"/>
    <col min="9" max="9" width="6.140625" style="255" bestFit="1" customWidth="1"/>
    <col min="10" max="10" width="8.42578125" style="255" customWidth="1"/>
    <col min="11" max="11" width="8.28515625" style="255" customWidth="1"/>
    <col min="12" max="12" width="10.140625" style="255" customWidth="1"/>
    <col min="13" max="13" width="9" style="255" customWidth="1"/>
    <col min="14" max="14" width="10.140625" style="255" customWidth="1"/>
    <col min="15" max="15" width="10.42578125" style="255" customWidth="1"/>
    <col min="16" max="16" width="12.85546875" style="255" customWidth="1"/>
    <col min="17" max="17" width="4.42578125" style="255" customWidth="1"/>
    <col min="18" max="18" width="8.85546875" style="255" customWidth="1"/>
    <col min="19" max="19" width="9.140625" style="255" customWidth="1"/>
    <col min="20" max="20" width="14.5703125" style="255" customWidth="1"/>
    <col min="21" max="21" width="9.85546875" style="255" customWidth="1"/>
    <col min="22" max="22" width="12" style="255" customWidth="1"/>
    <col min="23" max="23" width="7.42578125" style="255" customWidth="1"/>
    <col min="24" max="24" width="12.42578125" style="255" customWidth="1"/>
    <col min="25" max="25" width="9.42578125" style="255" customWidth="1"/>
    <col min="26" max="26" width="7.5703125" style="255" customWidth="1"/>
    <col min="27" max="27" width="10.140625" style="255" customWidth="1"/>
    <col min="28" max="16384" width="9.140625" style="255"/>
  </cols>
  <sheetData>
    <row r="2" spans="1:27" ht="12.75" x14ac:dyDescent="0.2">
      <c r="A2" s="365" t="s">
        <v>1521</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row>
    <row r="3" spans="1:27" ht="12.75" x14ac:dyDescent="0.2">
      <c r="A3" s="365" t="s">
        <v>1363</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row>
    <row r="5" spans="1:27" ht="15" customHeight="1" thickBot="1" x14ac:dyDescent="0.25">
      <c r="E5" s="366" t="s">
        <v>28</v>
      </c>
      <c r="F5" s="366"/>
      <c r="G5" s="366" t="s">
        <v>29</v>
      </c>
      <c r="H5" s="366"/>
      <c r="I5" s="366" t="s">
        <v>30</v>
      </c>
      <c r="J5" s="366"/>
      <c r="K5" s="366" t="s">
        <v>31</v>
      </c>
      <c r="L5" s="366"/>
      <c r="M5" s="366" t="s">
        <v>32</v>
      </c>
      <c r="N5" s="366"/>
      <c r="O5" s="366" t="s">
        <v>33</v>
      </c>
      <c r="P5" s="366"/>
      <c r="Q5" s="256"/>
      <c r="R5" s="366" t="s">
        <v>93</v>
      </c>
      <c r="S5" s="366"/>
      <c r="T5" s="366" t="s">
        <v>94</v>
      </c>
      <c r="U5" s="366"/>
      <c r="V5" s="366" t="s">
        <v>95</v>
      </c>
      <c r="W5" s="366"/>
      <c r="X5" s="366" t="s">
        <v>96</v>
      </c>
      <c r="Y5" s="366"/>
      <c r="Z5" s="366" t="s">
        <v>97</v>
      </c>
      <c r="AA5" s="366"/>
    </row>
    <row r="6" spans="1:27" ht="13.35" customHeight="1" x14ac:dyDescent="0.2">
      <c r="A6" s="368" t="s">
        <v>1364</v>
      </c>
      <c r="B6" s="368" t="s">
        <v>1433</v>
      </c>
      <c r="C6" s="368" t="s">
        <v>1434</v>
      </c>
      <c r="D6" s="368" t="s">
        <v>1435</v>
      </c>
      <c r="E6" s="370" t="s">
        <v>1484</v>
      </c>
      <c r="F6" s="370"/>
      <c r="G6" s="368" t="s">
        <v>1365</v>
      </c>
      <c r="H6" s="368"/>
      <c r="I6" s="375" t="s">
        <v>1436</v>
      </c>
      <c r="J6" s="375"/>
      <c r="K6" s="375"/>
      <c r="L6" s="375"/>
      <c r="M6" s="375"/>
      <c r="N6" s="375"/>
      <c r="O6" s="375"/>
      <c r="P6" s="375"/>
      <c r="Q6" s="257"/>
      <c r="R6" s="376" t="s">
        <v>1408</v>
      </c>
      <c r="S6" s="376"/>
      <c r="T6" s="376"/>
      <c r="U6" s="376"/>
      <c r="V6" s="376"/>
      <c r="W6" s="376"/>
      <c r="X6" s="376"/>
      <c r="Y6" s="376"/>
      <c r="Z6" s="376"/>
      <c r="AA6" s="376"/>
    </row>
    <row r="7" spans="1:27" ht="37.5" customHeight="1" x14ac:dyDescent="0.2">
      <c r="A7" s="369"/>
      <c r="B7" s="369"/>
      <c r="C7" s="369"/>
      <c r="D7" s="369"/>
      <c r="E7" s="371"/>
      <c r="F7" s="371"/>
      <c r="G7" s="369"/>
      <c r="H7" s="369"/>
      <c r="I7" s="377" t="s">
        <v>1366</v>
      </c>
      <c r="J7" s="377"/>
      <c r="K7" s="378" t="s">
        <v>1437</v>
      </c>
      <c r="L7" s="378"/>
      <c r="M7" s="377" t="s">
        <v>1438</v>
      </c>
      <c r="N7" s="377"/>
      <c r="O7" s="377" t="s">
        <v>1436</v>
      </c>
      <c r="P7" s="377"/>
      <c r="Q7" s="258"/>
      <c r="R7" s="367" t="s">
        <v>1485</v>
      </c>
      <c r="S7" s="367"/>
      <c r="T7" s="367" t="s">
        <v>1486</v>
      </c>
      <c r="U7" s="367"/>
      <c r="V7" s="367" t="s">
        <v>1487</v>
      </c>
      <c r="W7" s="367"/>
      <c r="X7" s="367" t="s">
        <v>1488</v>
      </c>
      <c r="Y7" s="367"/>
      <c r="Z7" s="367" t="s">
        <v>1408</v>
      </c>
      <c r="AA7" s="367"/>
    </row>
    <row r="8" spans="1:27" ht="12.75" customHeight="1" x14ac:dyDescent="0.2">
      <c r="A8" s="45" t="s">
        <v>41</v>
      </c>
      <c r="B8" s="45" t="s">
        <v>1413</v>
      </c>
      <c r="C8" s="255" t="s">
        <v>1367</v>
      </c>
      <c r="D8" s="66" t="s">
        <v>1368</v>
      </c>
      <c r="E8" s="66"/>
      <c r="F8" s="242" t="s">
        <v>43</v>
      </c>
      <c r="G8" s="242"/>
      <c r="H8" s="243" t="s">
        <v>1369</v>
      </c>
      <c r="I8" s="244"/>
      <c r="J8" s="244" t="s">
        <v>45</v>
      </c>
      <c r="K8" s="26"/>
      <c r="L8" s="26" t="s">
        <v>45</v>
      </c>
      <c r="M8" s="26"/>
      <c r="N8" s="26" t="s">
        <v>45</v>
      </c>
      <c r="O8" s="26"/>
      <c r="P8" s="26" t="str">
        <f>IF(AND(J8="No",L8="No",N8="No"),"No","Yes")</f>
        <v>No</v>
      </c>
      <c r="Q8" s="26"/>
      <c r="R8" s="26"/>
      <c r="S8" s="244" t="s">
        <v>45</v>
      </c>
      <c r="T8" s="244"/>
      <c r="U8" s="244" t="s">
        <v>43</v>
      </c>
      <c r="V8" s="244"/>
      <c r="W8" s="244" t="s">
        <v>45</v>
      </c>
      <c r="X8" s="244"/>
      <c r="Y8" s="244" t="s">
        <v>45</v>
      </c>
      <c r="Z8" s="26"/>
      <c r="AA8" s="26" t="str">
        <f t="shared" ref="AA8:AA79" si="0">IF(AND(S8="No",U8="No",W8="No",Y8="No"),"No","Yes")</f>
        <v>Yes</v>
      </c>
    </row>
    <row r="9" spans="1:27" ht="12.75" x14ac:dyDescent="0.2">
      <c r="A9" s="45" t="s">
        <v>46</v>
      </c>
      <c r="B9" s="45" t="s">
        <v>1439</v>
      </c>
      <c r="C9" s="255" t="s">
        <v>1370</v>
      </c>
      <c r="D9" s="66" t="s">
        <v>1368</v>
      </c>
      <c r="E9" s="66"/>
      <c r="F9" s="242" t="s">
        <v>43</v>
      </c>
      <c r="G9" s="242"/>
      <c r="H9" s="243" t="s">
        <v>1371</v>
      </c>
      <c r="I9" s="244"/>
      <c r="J9" s="244" t="s">
        <v>45</v>
      </c>
      <c r="K9" s="26"/>
      <c r="L9" s="26" t="s">
        <v>45</v>
      </c>
      <c r="M9" s="26"/>
      <c r="N9" s="26" t="s">
        <v>45</v>
      </c>
      <c r="O9" s="26"/>
      <c r="P9" s="26" t="str">
        <f t="shared" ref="P9:P80" si="1">IF(AND(J9="No",L9="No",N9="No"),"No","Yes")</f>
        <v>No</v>
      </c>
      <c r="Q9" s="26"/>
      <c r="R9" s="26"/>
      <c r="S9" s="26" t="s">
        <v>45</v>
      </c>
      <c r="T9" s="26"/>
      <c r="U9" s="26" t="s">
        <v>43</v>
      </c>
      <c r="V9" s="26"/>
      <c r="W9" s="26" t="s">
        <v>45</v>
      </c>
      <c r="X9" s="26"/>
      <c r="Y9" s="26" t="s">
        <v>43</v>
      </c>
      <c r="Z9" s="26"/>
      <c r="AA9" s="26" t="str">
        <f t="shared" si="0"/>
        <v>Yes</v>
      </c>
    </row>
    <row r="10" spans="1:27" ht="12.75" x14ac:dyDescent="0.2">
      <c r="A10" s="45"/>
      <c r="B10" s="45" t="s">
        <v>1439</v>
      </c>
      <c r="C10" s="255" t="s">
        <v>1370</v>
      </c>
      <c r="D10" s="66" t="s">
        <v>1372</v>
      </c>
      <c r="E10" s="66"/>
      <c r="F10" s="242" t="s">
        <v>43</v>
      </c>
      <c r="G10" s="242"/>
      <c r="H10" s="243" t="s">
        <v>1371</v>
      </c>
      <c r="I10" s="244"/>
      <c r="J10" s="244" t="s">
        <v>45</v>
      </c>
      <c r="K10" s="26"/>
      <c r="L10" s="26" t="s">
        <v>45</v>
      </c>
      <c r="M10" s="26"/>
      <c r="N10" s="26" t="s">
        <v>45</v>
      </c>
      <c r="O10" s="26"/>
      <c r="P10" s="26" t="str">
        <f t="shared" si="1"/>
        <v>No</v>
      </c>
      <c r="Q10" s="26"/>
      <c r="R10" s="26"/>
      <c r="S10" s="26" t="s">
        <v>45</v>
      </c>
      <c r="T10" s="26"/>
      <c r="U10" s="26" t="s">
        <v>45</v>
      </c>
      <c r="V10" s="26"/>
      <c r="W10" s="26" t="s">
        <v>45</v>
      </c>
      <c r="X10" s="26"/>
      <c r="Y10" s="26" t="s">
        <v>45</v>
      </c>
      <c r="Z10" s="26"/>
      <c r="AA10" s="26" t="str">
        <f t="shared" si="0"/>
        <v>No</v>
      </c>
    </row>
    <row r="11" spans="1:27" ht="12.75" x14ac:dyDescent="0.2">
      <c r="A11" s="45"/>
      <c r="B11" s="45" t="s">
        <v>1440</v>
      </c>
      <c r="C11" s="255" t="s">
        <v>1373</v>
      </c>
      <c r="D11" s="66" t="s">
        <v>1368</v>
      </c>
      <c r="E11" s="66"/>
      <c r="F11" s="242" t="s">
        <v>43</v>
      </c>
      <c r="G11" s="242"/>
      <c r="H11" s="243" t="s">
        <v>1369</v>
      </c>
      <c r="I11" s="244"/>
      <c r="J11" s="244" t="s">
        <v>45</v>
      </c>
      <c r="K11" s="26"/>
      <c r="L11" s="26" t="s">
        <v>45</v>
      </c>
      <c r="M11" s="26"/>
      <c r="N11" s="26" t="s">
        <v>45</v>
      </c>
      <c r="O11" s="26"/>
      <c r="P11" s="26" t="str">
        <f t="shared" si="1"/>
        <v>No</v>
      </c>
      <c r="Q11" s="26"/>
      <c r="R11" s="26"/>
      <c r="S11" s="26" t="s">
        <v>45</v>
      </c>
      <c r="T11" s="26"/>
      <c r="U11" s="26" t="s">
        <v>45</v>
      </c>
      <c r="V11" s="26"/>
      <c r="W11" s="26" t="s">
        <v>45</v>
      </c>
      <c r="X11" s="26"/>
      <c r="Y11" s="26" t="s">
        <v>45</v>
      </c>
      <c r="Z11" s="26"/>
      <c r="AA11" s="26" t="str">
        <f t="shared" si="0"/>
        <v>No</v>
      </c>
    </row>
    <row r="12" spans="1:27" ht="12.75" x14ac:dyDescent="0.2">
      <c r="B12" s="255" t="s">
        <v>1440</v>
      </c>
      <c r="C12" s="255" t="s">
        <v>1373</v>
      </c>
      <c r="D12" s="66" t="s">
        <v>1372</v>
      </c>
      <c r="E12" s="66"/>
      <c r="F12" s="242" t="s">
        <v>43</v>
      </c>
      <c r="G12" s="242"/>
      <c r="H12" s="243" t="s">
        <v>1369</v>
      </c>
      <c r="I12" s="244"/>
      <c r="J12" s="244" t="s">
        <v>45</v>
      </c>
      <c r="K12" s="26"/>
      <c r="L12" s="26" t="s">
        <v>45</v>
      </c>
      <c r="M12" s="26"/>
      <c r="N12" s="26" t="s">
        <v>45</v>
      </c>
      <c r="O12" s="26"/>
      <c r="P12" s="26" t="str">
        <f t="shared" si="1"/>
        <v>No</v>
      </c>
      <c r="Q12" s="26"/>
      <c r="R12" s="26"/>
      <c r="S12" s="26" t="s">
        <v>45</v>
      </c>
      <c r="T12" s="26"/>
      <c r="U12" s="26" t="s">
        <v>45</v>
      </c>
      <c r="V12" s="26"/>
      <c r="W12" s="26" t="s">
        <v>45</v>
      </c>
      <c r="X12" s="26"/>
      <c r="Y12" s="26" t="s">
        <v>45</v>
      </c>
      <c r="Z12" s="26"/>
      <c r="AA12" s="26" t="str">
        <f t="shared" si="0"/>
        <v>No</v>
      </c>
    </row>
    <row r="13" spans="1:27" ht="12.75" x14ac:dyDescent="0.2">
      <c r="A13" s="18" t="s">
        <v>49</v>
      </c>
      <c r="B13" s="18" t="s">
        <v>1441</v>
      </c>
      <c r="C13" s="255" t="s">
        <v>1374</v>
      </c>
      <c r="D13" s="66" t="s">
        <v>1368</v>
      </c>
      <c r="E13" s="66"/>
      <c r="F13" s="247" t="s">
        <v>1375</v>
      </c>
      <c r="G13" s="242"/>
      <c r="H13" s="243" t="s">
        <v>1371</v>
      </c>
      <c r="I13" s="244"/>
      <c r="J13" s="244" t="s">
        <v>1376</v>
      </c>
      <c r="K13" s="26"/>
      <c r="L13" s="26" t="s">
        <v>43</v>
      </c>
      <c r="M13" s="26"/>
      <c r="N13" s="26" t="s">
        <v>45</v>
      </c>
      <c r="O13" s="26"/>
      <c r="P13" s="26" t="str">
        <f t="shared" si="1"/>
        <v>Yes</v>
      </c>
      <c r="Q13" s="26"/>
      <c r="R13" s="26"/>
      <c r="S13" s="26" t="s">
        <v>45</v>
      </c>
      <c r="T13" s="26"/>
      <c r="U13" s="26" t="s">
        <v>43</v>
      </c>
      <c r="V13" s="26"/>
      <c r="W13" s="26" t="s">
        <v>45</v>
      </c>
      <c r="X13" s="26"/>
      <c r="Y13" s="26" t="s">
        <v>43</v>
      </c>
      <c r="Z13" s="26"/>
      <c r="AA13" s="26" t="str">
        <f t="shared" si="0"/>
        <v>Yes</v>
      </c>
    </row>
    <row r="14" spans="1:27" ht="12.75" x14ac:dyDescent="0.2">
      <c r="B14" s="255" t="s">
        <v>1441</v>
      </c>
      <c r="C14" s="255" t="s">
        <v>1374</v>
      </c>
      <c r="D14" s="66" t="s">
        <v>1372</v>
      </c>
      <c r="E14" s="66"/>
      <c r="F14" s="247" t="s">
        <v>43</v>
      </c>
      <c r="G14" s="242"/>
      <c r="H14" s="243" t="s">
        <v>1369</v>
      </c>
      <c r="I14" s="244"/>
      <c r="J14" s="244" t="s">
        <v>1376</v>
      </c>
      <c r="K14" s="26"/>
      <c r="L14" s="26" t="s">
        <v>45</v>
      </c>
      <c r="M14" s="26"/>
      <c r="N14" s="26" t="s">
        <v>45</v>
      </c>
      <c r="O14" s="26"/>
      <c r="P14" s="26" t="str">
        <f t="shared" si="1"/>
        <v>Yes</v>
      </c>
      <c r="Q14" s="26"/>
      <c r="R14" s="26"/>
      <c r="S14" s="26" t="s">
        <v>45</v>
      </c>
      <c r="T14" s="26"/>
      <c r="U14" s="26" t="s">
        <v>45</v>
      </c>
      <c r="V14" s="26"/>
      <c r="W14" s="26" t="s">
        <v>43</v>
      </c>
      <c r="X14" s="26"/>
      <c r="Y14" s="26" t="s">
        <v>43</v>
      </c>
      <c r="Z14" s="26"/>
      <c r="AA14" s="26" t="str">
        <f t="shared" si="0"/>
        <v>Yes</v>
      </c>
    </row>
    <row r="15" spans="1:27" ht="12.75" x14ac:dyDescent="0.2">
      <c r="B15" s="255" t="s">
        <v>1442</v>
      </c>
      <c r="C15" s="255" t="s">
        <v>1377</v>
      </c>
      <c r="D15" s="66" t="s">
        <v>1368</v>
      </c>
      <c r="E15" s="66"/>
      <c r="F15" s="247" t="s">
        <v>1378</v>
      </c>
      <c r="G15" s="242"/>
      <c r="H15" s="243" t="s">
        <v>1371</v>
      </c>
      <c r="I15" s="244"/>
      <c r="J15" s="244" t="s">
        <v>1376</v>
      </c>
      <c r="K15" s="26"/>
      <c r="L15" s="26" t="s">
        <v>45</v>
      </c>
      <c r="M15" s="26"/>
      <c r="N15" s="26" t="s">
        <v>45</v>
      </c>
      <c r="O15" s="26"/>
      <c r="P15" s="26" t="str">
        <f t="shared" si="1"/>
        <v>Yes</v>
      </c>
      <c r="Q15" s="26"/>
      <c r="R15" s="26"/>
      <c r="S15" s="26" t="s">
        <v>45</v>
      </c>
      <c r="T15" s="26"/>
      <c r="U15" s="26" t="s">
        <v>43</v>
      </c>
      <c r="V15" s="26"/>
      <c r="W15" s="26" t="s">
        <v>43</v>
      </c>
      <c r="X15" s="26"/>
      <c r="Y15" s="26" t="s">
        <v>45</v>
      </c>
      <c r="Z15" s="26"/>
      <c r="AA15" s="26" t="str">
        <f t="shared" si="0"/>
        <v>Yes</v>
      </c>
    </row>
    <row r="16" spans="1:27" ht="12.75" x14ac:dyDescent="0.2">
      <c r="B16" s="255" t="s">
        <v>1442</v>
      </c>
      <c r="C16" s="255" t="s">
        <v>1377</v>
      </c>
      <c r="D16" s="66" t="s">
        <v>1372</v>
      </c>
      <c r="E16" s="66"/>
      <c r="F16" s="247" t="s">
        <v>43</v>
      </c>
      <c r="G16" s="242"/>
      <c r="H16" s="243" t="s">
        <v>1371</v>
      </c>
      <c r="I16" s="244"/>
      <c r="J16" s="244" t="s">
        <v>1376</v>
      </c>
      <c r="K16" s="26"/>
      <c r="L16" s="26" t="s">
        <v>45</v>
      </c>
      <c r="M16" s="26"/>
      <c r="N16" s="26" t="s">
        <v>45</v>
      </c>
      <c r="O16" s="26"/>
      <c r="P16" s="26" t="str">
        <f t="shared" si="1"/>
        <v>Yes</v>
      </c>
      <c r="Q16" s="26"/>
      <c r="R16" s="26"/>
      <c r="S16" s="26" t="s">
        <v>45</v>
      </c>
      <c r="T16" s="26"/>
      <c r="U16" s="26" t="s">
        <v>45</v>
      </c>
      <c r="V16" s="26"/>
      <c r="W16" s="26" t="s">
        <v>43</v>
      </c>
      <c r="X16" s="26"/>
      <c r="Y16" s="26" t="s">
        <v>45</v>
      </c>
      <c r="Z16" s="26"/>
      <c r="AA16" s="26" t="str">
        <f t="shared" si="0"/>
        <v>Yes</v>
      </c>
    </row>
    <row r="17" spans="1:27" ht="12.75" x14ac:dyDescent="0.2">
      <c r="A17" s="255" t="s">
        <v>52</v>
      </c>
      <c r="B17" s="255" t="s">
        <v>1443</v>
      </c>
      <c r="C17" s="255" t="s">
        <v>1379</v>
      </c>
      <c r="D17" s="66" t="s">
        <v>1368</v>
      </c>
      <c r="E17" s="66"/>
      <c r="F17" s="247" t="s">
        <v>43</v>
      </c>
      <c r="G17" s="242"/>
      <c r="H17" s="243" t="s">
        <v>1371</v>
      </c>
      <c r="I17" s="244"/>
      <c r="J17" s="244" t="s">
        <v>1376</v>
      </c>
      <c r="K17" s="26"/>
      <c r="L17" s="26" t="s">
        <v>43</v>
      </c>
      <c r="M17" s="26"/>
      <c r="N17" s="26" t="s">
        <v>45</v>
      </c>
      <c r="O17" s="26"/>
      <c r="P17" s="26" t="str">
        <f t="shared" si="1"/>
        <v>Yes</v>
      </c>
      <c r="Q17" s="26"/>
      <c r="R17" s="26"/>
      <c r="S17" s="26" t="s">
        <v>43</v>
      </c>
      <c r="T17" s="26"/>
      <c r="U17" s="26" t="s">
        <v>45</v>
      </c>
      <c r="V17" s="26"/>
      <c r="W17" s="26" t="s">
        <v>45</v>
      </c>
      <c r="X17" s="26"/>
      <c r="Y17" s="26" t="s">
        <v>43</v>
      </c>
      <c r="Z17" s="26"/>
      <c r="AA17" s="26" t="str">
        <f t="shared" si="0"/>
        <v>Yes</v>
      </c>
    </row>
    <row r="18" spans="1:27" ht="12.75" x14ac:dyDescent="0.2">
      <c r="B18" s="255" t="s">
        <v>1444</v>
      </c>
      <c r="C18" s="255" t="s">
        <v>1381</v>
      </c>
      <c r="D18" s="66" t="s">
        <v>1368</v>
      </c>
      <c r="E18" s="66"/>
      <c r="F18" s="247" t="s">
        <v>43</v>
      </c>
      <c r="G18" s="242"/>
      <c r="H18" s="243" t="s">
        <v>1369</v>
      </c>
      <c r="I18" s="244"/>
      <c r="J18" s="244" t="s">
        <v>1376</v>
      </c>
      <c r="K18" s="26"/>
      <c r="L18" s="26" t="s">
        <v>45</v>
      </c>
      <c r="M18" s="26"/>
      <c r="N18" s="26" t="s">
        <v>45</v>
      </c>
      <c r="O18" s="26"/>
      <c r="P18" s="26" t="str">
        <f t="shared" si="1"/>
        <v>Yes</v>
      </c>
      <c r="Q18" s="26"/>
      <c r="R18" s="26"/>
      <c r="S18" s="26" t="s">
        <v>45</v>
      </c>
      <c r="T18" s="26"/>
      <c r="U18" s="26" t="s">
        <v>43</v>
      </c>
      <c r="V18" s="26"/>
      <c r="W18" s="26" t="s">
        <v>43</v>
      </c>
      <c r="X18" s="26"/>
      <c r="Y18" s="26" t="s">
        <v>43</v>
      </c>
      <c r="Z18" s="26"/>
      <c r="AA18" s="26" t="str">
        <f t="shared" si="0"/>
        <v>Yes</v>
      </c>
    </row>
    <row r="19" spans="1:27" ht="12.75" x14ac:dyDescent="0.2">
      <c r="B19" s="255" t="s">
        <v>1445</v>
      </c>
      <c r="C19" s="255" t="s">
        <v>1382</v>
      </c>
      <c r="D19" s="66" t="s">
        <v>1368</v>
      </c>
      <c r="E19" s="66"/>
      <c r="F19" s="247" t="s">
        <v>43</v>
      </c>
      <c r="G19" s="242"/>
      <c r="H19" s="243" t="s">
        <v>1369</v>
      </c>
      <c r="I19" s="244"/>
      <c r="J19" s="244" t="s">
        <v>1376</v>
      </c>
      <c r="K19" s="26"/>
      <c r="L19" s="26" t="s">
        <v>45</v>
      </c>
      <c r="M19" s="26"/>
      <c r="N19" s="26" t="s">
        <v>45</v>
      </c>
      <c r="O19" s="26"/>
      <c r="P19" s="26" t="str">
        <f t="shared" si="1"/>
        <v>Yes</v>
      </c>
      <c r="Q19" s="26"/>
      <c r="R19" s="26"/>
      <c r="S19" s="26" t="s">
        <v>45</v>
      </c>
      <c r="T19" s="26"/>
      <c r="U19" s="26" t="s">
        <v>45</v>
      </c>
      <c r="V19" s="26"/>
      <c r="W19" s="26" t="s">
        <v>45</v>
      </c>
      <c r="X19" s="26"/>
      <c r="Y19" s="26" t="s">
        <v>43</v>
      </c>
      <c r="Z19" s="26"/>
      <c r="AA19" s="26" t="str">
        <f t="shared" si="0"/>
        <v>Yes</v>
      </c>
    </row>
    <row r="20" spans="1:27" ht="12.75" x14ac:dyDescent="0.2">
      <c r="B20" s="255" t="s">
        <v>1443</v>
      </c>
      <c r="C20" s="255" t="s">
        <v>1383</v>
      </c>
      <c r="D20" s="66" t="s">
        <v>1368</v>
      </c>
      <c r="E20" s="66"/>
      <c r="F20" s="242" t="s">
        <v>43</v>
      </c>
      <c r="G20" s="242"/>
      <c r="H20" s="243" t="s">
        <v>1371</v>
      </c>
      <c r="I20" s="244"/>
      <c r="J20" s="244" t="s">
        <v>1376</v>
      </c>
      <c r="K20" s="26"/>
      <c r="L20" s="26" t="s">
        <v>43</v>
      </c>
      <c r="M20" s="26"/>
      <c r="N20" s="26" t="s">
        <v>45</v>
      </c>
      <c r="O20" s="26"/>
      <c r="P20" s="26" t="str">
        <f t="shared" si="1"/>
        <v>Yes</v>
      </c>
      <c r="Q20" s="26"/>
      <c r="R20" s="26"/>
      <c r="S20" s="26" t="s">
        <v>45</v>
      </c>
      <c r="T20" s="26"/>
      <c r="U20" s="26" t="s">
        <v>45</v>
      </c>
      <c r="V20" s="26"/>
      <c r="W20" s="26" t="s">
        <v>45</v>
      </c>
      <c r="X20" s="26"/>
      <c r="Y20" s="26" t="s">
        <v>45</v>
      </c>
      <c r="Z20" s="26"/>
      <c r="AA20" s="26" t="str">
        <f t="shared" si="0"/>
        <v>No</v>
      </c>
    </row>
    <row r="21" spans="1:27" ht="12.75" x14ac:dyDescent="0.2">
      <c r="B21" s="255" t="s">
        <v>1444</v>
      </c>
      <c r="C21" s="255" t="s">
        <v>1384</v>
      </c>
      <c r="D21" s="66" t="s">
        <v>1368</v>
      </c>
      <c r="E21" s="66"/>
      <c r="F21" s="242" t="s">
        <v>43</v>
      </c>
      <c r="G21" s="242"/>
      <c r="H21" s="243" t="s">
        <v>1369</v>
      </c>
      <c r="I21" s="244"/>
      <c r="J21" s="244" t="s">
        <v>1376</v>
      </c>
      <c r="K21" s="26"/>
      <c r="L21" s="26" t="s">
        <v>45</v>
      </c>
      <c r="M21" s="26"/>
      <c r="N21" s="26" t="s">
        <v>45</v>
      </c>
      <c r="O21" s="26"/>
      <c r="P21" s="26" t="str">
        <f t="shared" si="1"/>
        <v>Yes</v>
      </c>
      <c r="Q21" s="26"/>
      <c r="R21" s="26"/>
      <c r="S21" s="26" t="s">
        <v>45</v>
      </c>
      <c r="T21" s="26"/>
      <c r="U21" s="26" t="s">
        <v>43</v>
      </c>
      <c r="V21" s="26"/>
      <c r="W21" s="26" t="s">
        <v>45</v>
      </c>
      <c r="X21" s="26"/>
      <c r="Y21" s="26" t="s">
        <v>45</v>
      </c>
      <c r="Z21" s="26"/>
      <c r="AA21" s="26" t="str">
        <f t="shared" si="0"/>
        <v>Yes</v>
      </c>
    </row>
    <row r="22" spans="1:27" ht="12.75" x14ac:dyDescent="0.2">
      <c r="B22" s="255" t="s">
        <v>1446</v>
      </c>
      <c r="C22" s="255" t="s">
        <v>1385</v>
      </c>
      <c r="D22" s="66" t="s">
        <v>1368</v>
      </c>
      <c r="E22" s="66"/>
      <c r="F22" s="247" t="s">
        <v>1375</v>
      </c>
      <c r="G22" s="242"/>
      <c r="H22" s="243" t="s">
        <v>1380</v>
      </c>
      <c r="I22" s="244"/>
      <c r="J22" s="244" t="s">
        <v>1376</v>
      </c>
      <c r="K22" s="26"/>
      <c r="L22" s="26" t="s">
        <v>45</v>
      </c>
      <c r="M22" s="26"/>
      <c r="N22" s="26" t="s">
        <v>45</v>
      </c>
      <c r="O22" s="26"/>
      <c r="P22" s="26" t="str">
        <f t="shared" si="1"/>
        <v>Yes</v>
      </c>
      <c r="Q22" s="26"/>
      <c r="R22" s="26"/>
      <c r="S22" s="26" t="s">
        <v>45</v>
      </c>
      <c r="T22" s="26"/>
      <c r="U22" s="26" t="s">
        <v>43</v>
      </c>
      <c r="V22" s="26"/>
      <c r="W22" s="26" t="s">
        <v>43</v>
      </c>
      <c r="X22" s="26"/>
      <c r="Y22" s="26" t="s">
        <v>45</v>
      </c>
      <c r="Z22" s="26"/>
      <c r="AA22" s="26" t="str">
        <f t="shared" si="0"/>
        <v>Yes</v>
      </c>
    </row>
    <row r="23" spans="1:27" ht="12.75" x14ac:dyDescent="0.2">
      <c r="B23" s="255" t="s">
        <v>1447</v>
      </c>
      <c r="C23" s="255" t="s">
        <v>1386</v>
      </c>
      <c r="D23" s="66" t="s">
        <v>1368</v>
      </c>
      <c r="E23" s="66"/>
      <c r="F23" s="247" t="s">
        <v>43</v>
      </c>
      <c r="G23" s="242"/>
      <c r="H23" s="243" t="s">
        <v>1371</v>
      </c>
      <c r="I23" s="244"/>
      <c r="J23" s="244" t="s">
        <v>1376</v>
      </c>
      <c r="K23" s="26"/>
      <c r="L23" s="26" t="s">
        <v>45</v>
      </c>
      <c r="M23" s="26"/>
      <c r="N23" s="26" t="s">
        <v>45</v>
      </c>
      <c r="O23" s="26"/>
      <c r="P23" s="26" t="str">
        <f t="shared" si="1"/>
        <v>Yes</v>
      </c>
      <c r="Q23" s="26"/>
      <c r="R23" s="26"/>
      <c r="S23" s="26" t="s">
        <v>45</v>
      </c>
      <c r="T23" s="26"/>
      <c r="U23" s="26" t="s">
        <v>43</v>
      </c>
      <c r="V23" s="26"/>
      <c r="W23" s="26" t="s">
        <v>43</v>
      </c>
      <c r="X23" s="26"/>
      <c r="Y23" s="26" t="s">
        <v>45</v>
      </c>
      <c r="Z23" s="26"/>
      <c r="AA23" s="26" t="str">
        <f t="shared" si="0"/>
        <v>Yes</v>
      </c>
    </row>
    <row r="24" spans="1:27" ht="12.75" x14ac:dyDescent="0.2">
      <c r="B24" s="255" t="s">
        <v>1448</v>
      </c>
      <c r="C24" s="255" t="s">
        <v>1387</v>
      </c>
      <c r="D24" s="66" t="s">
        <v>1368</v>
      </c>
      <c r="E24" s="66"/>
      <c r="F24" s="247" t="s">
        <v>43</v>
      </c>
      <c r="G24" s="242"/>
      <c r="H24" s="243" t="s">
        <v>1369</v>
      </c>
      <c r="I24" s="244"/>
      <c r="J24" s="244" t="s">
        <v>45</v>
      </c>
      <c r="K24" s="26"/>
      <c r="L24" s="26" t="s">
        <v>45</v>
      </c>
      <c r="M24" s="26"/>
      <c r="N24" s="26" t="s">
        <v>45</v>
      </c>
      <c r="O24" s="26"/>
      <c r="P24" s="26" t="str">
        <f t="shared" si="1"/>
        <v>No</v>
      </c>
      <c r="Q24" s="26"/>
      <c r="R24" s="26"/>
      <c r="S24" s="26" t="s">
        <v>45</v>
      </c>
      <c r="T24" s="26"/>
      <c r="U24" s="26" t="s">
        <v>45</v>
      </c>
      <c r="V24" s="26"/>
      <c r="W24" s="26" t="s">
        <v>45</v>
      </c>
      <c r="X24" s="26"/>
      <c r="Y24" s="26" t="s">
        <v>45</v>
      </c>
      <c r="Z24" s="26"/>
      <c r="AA24" s="26" t="str">
        <f t="shared" si="0"/>
        <v>No</v>
      </c>
    </row>
    <row r="25" spans="1:27" ht="12.75" x14ac:dyDescent="0.2">
      <c r="B25" s="255" t="s">
        <v>1449</v>
      </c>
      <c r="C25" s="255" t="s">
        <v>1388</v>
      </c>
      <c r="D25" s="66" t="s">
        <v>1368</v>
      </c>
      <c r="E25" s="66"/>
      <c r="F25" s="247" t="s">
        <v>1375</v>
      </c>
      <c r="G25" s="246"/>
      <c r="H25" s="243" t="s">
        <v>1371</v>
      </c>
      <c r="I25" s="244"/>
      <c r="J25" s="244" t="s">
        <v>45</v>
      </c>
      <c r="K25" s="26"/>
      <c r="L25" s="26" t="s">
        <v>45</v>
      </c>
      <c r="M25" s="26"/>
      <c r="N25" s="26" t="s">
        <v>45</v>
      </c>
      <c r="O25" s="26"/>
      <c r="P25" s="26" t="str">
        <f t="shared" si="1"/>
        <v>No</v>
      </c>
      <c r="Q25" s="26"/>
      <c r="R25" s="26"/>
      <c r="S25" s="26" t="s">
        <v>45</v>
      </c>
      <c r="T25" s="26"/>
      <c r="U25" s="26" t="s">
        <v>45</v>
      </c>
      <c r="V25" s="26"/>
      <c r="W25" s="26" t="s">
        <v>43</v>
      </c>
      <c r="X25" s="26"/>
      <c r="Y25" s="26" t="s">
        <v>45</v>
      </c>
      <c r="Z25" s="26"/>
      <c r="AA25" s="26" t="str">
        <f t="shared" si="0"/>
        <v>Yes</v>
      </c>
    </row>
    <row r="26" spans="1:27" ht="12.75" x14ac:dyDescent="0.2">
      <c r="B26" s="255" t="s">
        <v>1443</v>
      </c>
      <c r="C26" s="255" t="s">
        <v>1388</v>
      </c>
      <c r="D26" s="66" t="s">
        <v>1368</v>
      </c>
      <c r="E26" s="66"/>
      <c r="F26" s="247" t="s">
        <v>43</v>
      </c>
      <c r="G26" s="246"/>
      <c r="H26" s="243" t="s">
        <v>1371</v>
      </c>
      <c r="I26" s="244"/>
      <c r="J26" s="244" t="s">
        <v>45</v>
      </c>
      <c r="K26" s="26"/>
      <c r="L26" s="26" t="s">
        <v>45</v>
      </c>
      <c r="M26" s="26"/>
      <c r="N26" s="26" t="s">
        <v>45</v>
      </c>
      <c r="O26" s="26"/>
      <c r="P26" s="26" t="str">
        <f t="shared" si="1"/>
        <v>No</v>
      </c>
      <c r="Q26" s="26"/>
      <c r="R26" s="26"/>
      <c r="S26" s="26" t="s">
        <v>45</v>
      </c>
      <c r="T26" s="26"/>
      <c r="U26" s="26" t="s">
        <v>45</v>
      </c>
      <c r="V26" s="26"/>
      <c r="W26" s="26" t="s">
        <v>43</v>
      </c>
      <c r="X26" s="26"/>
      <c r="Y26" s="26" t="s">
        <v>45</v>
      </c>
      <c r="Z26" s="26"/>
      <c r="AA26" s="26" t="str">
        <f t="shared" si="0"/>
        <v>Yes</v>
      </c>
    </row>
    <row r="27" spans="1:27" ht="12.75" x14ac:dyDescent="0.2">
      <c r="B27" s="255" t="s">
        <v>1450</v>
      </c>
      <c r="C27" s="255" t="s">
        <v>1389</v>
      </c>
      <c r="D27" s="66" t="s">
        <v>1368</v>
      </c>
      <c r="E27" s="66"/>
      <c r="F27" s="247" t="s">
        <v>43</v>
      </c>
      <c r="G27" s="242"/>
      <c r="H27" s="243" t="s">
        <v>1371</v>
      </c>
      <c r="I27" s="244"/>
      <c r="J27" s="244" t="s">
        <v>45</v>
      </c>
      <c r="K27" s="26"/>
      <c r="L27" s="26" t="s">
        <v>45</v>
      </c>
      <c r="M27" s="26"/>
      <c r="N27" s="26" t="s">
        <v>45</v>
      </c>
      <c r="O27" s="26"/>
      <c r="P27" s="26" t="str">
        <f t="shared" si="1"/>
        <v>No</v>
      </c>
      <c r="Q27" s="26"/>
      <c r="R27" s="26"/>
      <c r="S27" s="26" t="s">
        <v>43</v>
      </c>
      <c r="T27" s="26"/>
      <c r="U27" s="26" t="s">
        <v>45</v>
      </c>
      <c r="V27" s="26"/>
      <c r="W27" s="26" t="s">
        <v>45</v>
      </c>
      <c r="X27" s="26"/>
      <c r="Y27" s="26" t="s">
        <v>43</v>
      </c>
      <c r="Z27" s="26"/>
      <c r="AA27" s="26" t="str">
        <f t="shared" si="0"/>
        <v>Yes</v>
      </c>
    </row>
    <row r="28" spans="1:27" ht="12.75" x14ac:dyDescent="0.2">
      <c r="B28" s="255" t="s">
        <v>1451</v>
      </c>
      <c r="C28" s="255" t="s">
        <v>1390</v>
      </c>
      <c r="D28" s="66" t="s">
        <v>1368</v>
      </c>
      <c r="E28" s="66"/>
      <c r="F28" s="247" t="s">
        <v>43</v>
      </c>
      <c r="G28" s="242"/>
      <c r="H28" s="243" t="s">
        <v>1371</v>
      </c>
      <c r="I28" s="244"/>
      <c r="J28" s="244" t="s">
        <v>45</v>
      </c>
      <c r="K28" s="26"/>
      <c r="L28" s="26" t="s">
        <v>45</v>
      </c>
      <c r="M28" s="26"/>
      <c r="N28" s="26" t="s">
        <v>45</v>
      </c>
      <c r="O28" s="26"/>
      <c r="P28" s="26" t="str">
        <f t="shared" si="1"/>
        <v>No</v>
      </c>
      <c r="Q28" s="26"/>
      <c r="R28" s="26"/>
      <c r="S28" s="26" t="s">
        <v>45</v>
      </c>
      <c r="T28" s="26"/>
      <c r="U28" s="26" t="s">
        <v>45</v>
      </c>
      <c r="V28" s="26"/>
      <c r="W28" s="26" t="s">
        <v>45</v>
      </c>
      <c r="X28" s="26"/>
      <c r="Y28" s="26" t="s">
        <v>43</v>
      </c>
      <c r="Z28" s="26"/>
      <c r="AA28" s="26" t="str">
        <f t="shared" si="0"/>
        <v>Yes</v>
      </c>
    </row>
    <row r="29" spans="1:27" ht="12.75" x14ac:dyDescent="0.2">
      <c r="A29" s="255" t="s">
        <v>55</v>
      </c>
      <c r="B29" s="255" t="s">
        <v>1537</v>
      </c>
      <c r="C29" s="255" t="s">
        <v>1539</v>
      </c>
      <c r="D29" s="66" t="s">
        <v>1368</v>
      </c>
      <c r="E29" s="66"/>
      <c r="F29" s="247" t="s">
        <v>43</v>
      </c>
      <c r="G29" s="242"/>
      <c r="H29" s="243" t="s">
        <v>1371</v>
      </c>
      <c r="I29" s="244"/>
      <c r="J29" s="244" t="s">
        <v>45</v>
      </c>
      <c r="K29" s="26"/>
      <c r="L29" s="26" t="s">
        <v>45</v>
      </c>
      <c r="M29" s="26"/>
      <c r="N29" s="26" t="s">
        <v>45</v>
      </c>
      <c r="O29" s="26"/>
      <c r="P29" s="26" t="str">
        <f t="shared" si="1"/>
        <v>No</v>
      </c>
      <c r="Q29" s="26"/>
      <c r="R29" s="26"/>
      <c r="S29" s="26" t="s">
        <v>45</v>
      </c>
      <c r="T29" s="26"/>
      <c r="U29" s="26" t="s">
        <v>45</v>
      </c>
      <c r="V29" s="26"/>
      <c r="W29" s="26" t="s">
        <v>45</v>
      </c>
      <c r="X29" s="26"/>
      <c r="Y29" s="26" t="s">
        <v>45</v>
      </c>
      <c r="Z29" s="26"/>
      <c r="AA29" s="26" t="str">
        <f t="shared" si="0"/>
        <v>No</v>
      </c>
    </row>
    <row r="30" spans="1:27" ht="12.75" x14ac:dyDescent="0.2">
      <c r="B30" s="255" t="s">
        <v>1538</v>
      </c>
      <c r="C30" s="255" t="s">
        <v>1391</v>
      </c>
      <c r="D30" s="66" t="s">
        <v>1368</v>
      </c>
      <c r="E30" s="66"/>
      <c r="F30" s="247" t="s">
        <v>1378</v>
      </c>
      <c r="G30" s="242"/>
      <c r="H30" s="243" t="s">
        <v>1371</v>
      </c>
      <c r="I30" s="244"/>
      <c r="J30" s="244" t="s">
        <v>1392</v>
      </c>
      <c r="K30" s="26"/>
      <c r="L30" s="26" t="s">
        <v>45</v>
      </c>
      <c r="M30" s="26"/>
      <c r="N30" s="26" t="s">
        <v>45</v>
      </c>
      <c r="O30" s="26"/>
      <c r="P30" s="26" t="str">
        <f t="shared" si="1"/>
        <v>Yes</v>
      </c>
      <c r="Q30" s="26"/>
      <c r="R30" s="26"/>
      <c r="S30" s="26" t="s">
        <v>45</v>
      </c>
      <c r="T30" s="26"/>
      <c r="U30" s="26" t="s">
        <v>45</v>
      </c>
      <c r="V30" s="26"/>
      <c r="W30" s="26" t="s">
        <v>45</v>
      </c>
      <c r="X30" s="26"/>
      <c r="Y30" s="26" t="s">
        <v>45</v>
      </c>
      <c r="Z30" s="26"/>
      <c r="AA30" s="26" t="str">
        <f t="shared" si="0"/>
        <v>No</v>
      </c>
    </row>
    <row r="31" spans="1:27" ht="12.75" x14ac:dyDescent="0.2">
      <c r="B31" s="255" t="s">
        <v>1538</v>
      </c>
      <c r="C31" s="255" t="s">
        <v>1391</v>
      </c>
      <c r="D31" s="66" t="s">
        <v>1372</v>
      </c>
      <c r="E31" s="66"/>
      <c r="F31" s="247" t="s">
        <v>43</v>
      </c>
      <c r="G31" s="242"/>
      <c r="H31" s="243" t="s">
        <v>1371</v>
      </c>
      <c r="I31" s="244"/>
      <c r="J31" s="244" t="s">
        <v>1392</v>
      </c>
      <c r="K31" s="26"/>
      <c r="L31" s="26" t="s">
        <v>45</v>
      </c>
      <c r="M31" s="26"/>
      <c r="N31" s="26" t="s">
        <v>45</v>
      </c>
      <c r="O31" s="26"/>
      <c r="P31" s="26" t="str">
        <f t="shared" si="1"/>
        <v>Yes</v>
      </c>
      <c r="Q31" s="26"/>
      <c r="R31" s="26"/>
      <c r="S31" s="26" t="s">
        <v>45</v>
      </c>
      <c r="T31" s="26"/>
      <c r="U31" s="26" t="s">
        <v>45</v>
      </c>
      <c r="V31" s="26"/>
      <c r="W31" s="26" t="s">
        <v>45</v>
      </c>
      <c r="X31" s="26"/>
      <c r="Y31" s="26" t="s">
        <v>45</v>
      </c>
      <c r="Z31" s="26"/>
      <c r="AA31" s="26" t="str">
        <f t="shared" si="0"/>
        <v>No</v>
      </c>
    </row>
    <row r="32" spans="1:27" ht="12.75" x14ac:dyDescent="0.2">
      <c r="B32" s="255" t="s">
        <v>1538</v>
      </c>
      <c r="C32" s="255" t="s">
        <v>1393</v>
      </c>
      <c r="D32" s="66" t="s">
        <v>1372</v>
      </c>
      <c r="E32" s="66"/>
      <c r="F32" s="247" t="s">
        <v>1378</v>
      </c>
      <c r="G32" s="242"/>
      <c r="H32" s="243" t="s">
        <v>1369</v>
      </c>
      <c r="I32" s="244"/>
      <c r="J32" s="244" t="s">
        <v>1376</v>
      </c>
      <c r="K32" s="26"/>
      <c r="L32" s="26" t="s">
        <v>45</v>
      </c>
      <c r="M32" s="26"/>
      <c r="N32" s="26" t="s">
        <v>45</v>
      </c>
      <c r="O32" s="26"/>
      <c r="P32" s="26" t="str">
        <f t="shared" si="1"/>
        <v>Yes</v>
      </c>
      <c r="Q32" s="26"/>
      <c r="R32" s="26"/>
      <c r="S32" s="26" t="s">
        <v>45</v>
      </c>
      <c r="T32" s="26"/>
      <c r="U32" s="26" t="s">
        <v>45</v>
      </c>
      <c r="V32" s="26"/>
      <c r="W32" s="26" t="s">
        <v>45</v>
      </c>
      <c r="X32" s="26"/>
      <c r="Y32" s="26" t="s">
        <v>45</v>
      </c>
      <c r="Z32" s="26"/>
      <c r="AA32" s="26" t="str">
        <f t="shared" si="0"/>
        <v>No</v>
      </c>
    </row>
    <row r="33" spans="1:27" ht="12.75" x14ac:dyDescent="0.2">
      <c r="B33" s="255" t="s">
        <v>1538</v>
      </c>
      <c r="C33" s="255" t="s">
        <v>1540</v>
      </c>
      <c r="D33" s="66" t="s">
        <v>1368</v>
      </c>
      <c r="E33" s="66"/>
      <c r="F33" s="247" t="s">
        <v>1378</v>
      </c>
      <c r="G33" s="242"/>
      <c r="H33" s="243" t="s">
        <v>1371</v>
      </c>
      <c r="I33" s="244"/>
      <c r="J33" s="244" t="s">
        <v>1392</v>
      </c>
      <c r="K33" s="26"/>
      <c r="L33" s="26" t="s">
        <v>45</v>
      </c>
      <c r="M33" s="26"/>
      <c r="N33" s="26" t="s">
        <v>45</v>
      </c>
      <c r="O33" s="26"/>
      <c r="P33" s="26" t="str">
        <f t="shared" si="1"/>
        <v>Yes</v>
      </c>
      <c r="Q33" s="26"/>
      <c r="R33" s="26"/>
      <c r="S33" s="26" t="s">
        <v>45</v>
      </c>
      <c r="T33" s="26"/>
      <c r="U33" s="26" t="s">
        <v>45</v>
      </c>
      <c r="V33" s="26"/>
      <c r="W33" s="26" t="s">
        <v>45</v>
      </c>
      <c r="X33" s="26"/>
      <c r="Y33" s="26" t="s">
        <v>45</v>
      </c>
      <c r="Z33" s="26"/>
      <c r="AA33" s="26" t="str">
        <f t="shared" si="0"/>
        <v>No</v>
      </c>
    </row>
    <row r="34" spans="1:27" ht="12.75" x14ac:dyDescent="0.2">
      <c r="B34" s="255" t="s">
        <v>1538</v>
      </c>
      <c r="C34" s="255" t="s">
        <v>1540</v>
      </c>
      <c r="D34" s="66" t="s">
        <v>1372</v>
      </c>
      <c r="E34" s="66"/>
      <c r="F34" s="247" t="s">
        <v>43</v>
      </c>
      <c r="G34" s="242"/>
      <c r="H34" s="243" t="s">
        <v>1371</v>
      </c>
      <c r="I34" s="244"/>
      <c r="J34" s="244" t="s">
        <v>1392</v>
      </c>
      <c r="K34" s="26"/>
      <c r="L34" s="26" t="s">
        <v>45</v>
      </c>
      <c r="M34" s="26"/>
      <c r="N34" s="26" t="s">
        <v>45</v>
      </c>
      <c r="O34" s="26"/>
      <c r="P34" s="26" t="str">
        <f t="shared" si="1"/>
        <v>Yes</v>
      </c>
      <c r="Q34" s="26"/>
      <c r="R34" s="26"/>
      <c r="S34" s="26" t="s">
        <v>45</v>
      </c>
      <c r="T34" s="26"/>
      <c r="U34" s="26" t="s">
        <v>45</v>
      </c>
      <c r="V34" s="26"/>
      <c r="W34" s="26" t="s">
        <v>45</v>
      </c>
      <c r="X34" s="26"/>
      <c r="Y34" s="26" t="s">
        <v>45</v>
      </c>
      <c r="Z34" s="26"/>
      <c r="AA34" s="26" t="str">
        <f t="shared" si="0"/>
        <v>No</v>
      </c>
    </row>
    <row r="35" spans="1:27" ht="12.75" x14ac:dyDescent="0.2">
      <c r="A35" s="255" t="s">
        <v>1505</v>
      </c>
      <c r="B35" s="255" t="s">
        <v>1506</v>
      </c>
      <c r="C35" s="255" t="s">
        <v>1384</v>
      </c>
      <c r="D35" s="66" t="s">
        <v>1368</v>
      </c>
      <c r="E35" s="66"/>
      <c r="F35" s="247" t="s">
        <v>43</v>
      </c>
      <c r="G35" s="242"/>
      <c r="H35" s="243" t="s">
        <v>1369</v>
      </c>
      <c r="I35" s="244"/>
      <c r="J35" s="244" t="s">
        <v>45</v>
      </c>
      <c r="K35" s="26"/>
      <c r="L35" s="26" t="s">
        <v>45</v>
      </c>
      <c r="M35" s="26"/>
      <c r="N35" s="26" t="s">
        <v>45</v>
      </c>
      <c r="O35" s="26"/>
      <c r="P35" s="26" t="str">
        <f t="shared" si="1"/>
        <v>No</v>
      </c>
      <c r="Q35" s="26"/>
      <c r="R35" s="26"/>
      <c r="S35" s="26" t="s">
        <v>43</v>
      </c>
      <c r="T35" s="26"/>
      <c r="U35" s="26" t="s">
        <v>43</v>
      </c>
      <c r="V35" s="26"/>
      <c r="W35" s="26" t="s">
        <v>45</v>
      </c>
      <c r="X35" s="26"/>
      <c r="Y35" s="26" t="s">
        <v>43</v>
      </c>
      <c r="Z35" s="26"/>
      <c r="AA35" s="26" t="str">
        <f t="shared" si="0"/>
        <v>Yes</v>
      </c>
    </row>
    <row r="36" spans="1:27" ht="12.75" x14ac:dyDescent="0.2">
      <c r="B36" s="255" t="s">
        <v>1506</v>
      </c>
      <c r="C36" s="255" t="s">
        <v>1384</v>
      </c>
      <c r="D36" s="66" t="s">
        <v>1372</v>
      </c>
      <c r="E36" s="66"/>
      <c r="F36" s="247" t="s">
        <v>43</v>
      </c>
      <c r="G36" s="242"/>
      <c r="H36" s="243" t="s">
        <v>1369</v>
      </c>
      <c r="I36" s="244"/>
      <c r="J36" s="244" t="s">
        <v>1376</v>
      </c>
      <c r="K36" s="26"/>
      <c r="L36" s="26" t="s">
        <v>45</v>
      </c>
      <c r="M36" s="26"/>
      <c r="N36" s="26" t="s">
        <v>45</v>
      </c>
      <c r="O36" s="26"/>
      <c r="P36" s="26" t="str">
        <f t="shared" si="1"/>
        <v>Yes</v>
      </c>
      <c r="Q36" s="26"/>
      <c r="R36" s="26"/>
      <c r="S36" s="26" t="s">
        <v>45</v>
      </c>
      <c r="T36" s="26"/>
      <c r="U36" s="26" t="s">
        <v>45</v>
      </c>
      <c r="V36" s="26"/>
      <c r="W36" s="26" t="s">
        <v>45</v>
      </c>
      <c r="X36" s="26"/>
      <c r="Y36" s="26" t="s">
        <v>43</v>
      </c>
      <c r="Z36" s="26"/>
      <c r="AA36" s="26" t="str">
        <f t="shared" si="0"/>
        <v>Yes</v>
      </c>
    </row>
    <row r="37" spans="1:27" ht="12.75" x14ac:dyDescent="0.2">
      <c r="A37" s="45" t="s">
        <v>60</v>
      </c>
      <c r="B37" s="45" t="s">
        <v>1452</v>
      </c>
      <c r="C37" s="255" t="s">
        <v>1396</v>
      </c>
      <c r="D37" s="66" t="s">
        <v>1368</v>
      </c>
      <c r="E37" s="66"/>
      <c r="F37" s="242" t="s">
        <v>43</v>
      </c>
      <c r="G37" s="242"/>
      <c r="H37" s="243" t="s">
        <v>1369</v>
      </c>
      <c r="I37" s="244"/>
      <c r="J37" s="244" t="s">
        <v>45</v>
      </c>
      <c r="K37" s="26"/>
      <c r="L37" s="26" t="s">
        <v>45</v>
      </c>
      <c r="M37" s="26"/>
      <c r="N37" s="26" t="s">
        <v>45</v>
      </c>
      <c r="O37" s="26"/>
      <c r="P37" s="26" t="str">
        <f t="shared" si="1"/>
        <v>No</v>
      </c>
      <c r="Q37" s="26"/>
      <c r="R37" s="26"/>
      <c r="S37" s="26" t="s">
        <v>43</v>
      </c>
      <c r="T37" s="26"/>
      <c r="U37" s="26" t="s">
        <v>43</v>
      </c>
      <c r="V37" s="26"/>
      <c r="W37" s="26" t="s">
        <v>45</v>
      </c>
      <c r="X37" s="26"/>
      <c r="Y37" s="26" t="s">
        <v>43</v>
      </c>
      <c r="Z37" s="26"/>
      <c r="AA37" s="26" t="str">
        <f t="shared" si="0"/>
        <v>Yes</v>
      </c>
    </row>
    <row r="38" spans="1:27" ht="12.75" x14ac:dyDescent="0.2">
      <c r="A38" s="45"/>
      <c r="B38" s="45" t="s">
        <v>1453</v>
      </c>
      <c r="C38" s="255" t="s">
        <v>1381</v>
      </c>
      <c r="D38" s="66" t="s">
        <v>1368</v>
      </c>
      <c r="E38" s="66"/>
      <c r="F38" s="242" t="s">
        <v>43</v>
      </c>
      <c r="G38" s="242"/>
      <c r="H38" s="243" t="s">
        <v>1371</v>
      </c>
      <c r="I38" s="244"/>
      <c r="J38" s="244" t="s">
        <v>1376</v>
      </c>
      <c r="K38" s="26"/>
      <c r="L38" s="26" t="s">
        <v>45</v>
      </c>
      <c r="M38" s="26"/>
      <c r="N38" s="26" t="s">
        <v>45</v>
      </c>
      <c r="O38" s="26"/>
      <c r="P38" s="26" t="str">
        <f t="shared" si="1"/>
        <v>Yes</v>
      </c>
      <c r="Q38" s="26"/>
      <c r="R38" s="26"/>
      <c r="S38" s="26" t="s">
        <v>45</v>
      </c>
      <c r="T38" s="26"/>
      <c r="U38" s="26" t="s">
        <v>43</v>
      </c>
      <c r="V38" s="26"/>
      <c r="W38" s="26" t="s">
        <v>43</v>
      </c>
      <c r="X38" s="26"/>
      <c r="Y38" s="26" t="s">
        <v>43</v>
      </c>
      <c r="Z38" s="26"/>
      <c r="AA38" s="26" t="str">
        <f t="shared" si="0"/>
        <v>Yes</v>
      </c>
    </row>
    <row r="39" spans="1:27" ht="12.75" x14ac:dyDescent="0.2">
      <c r="A39" s="45"/>
      <c r="B39" s="45" t="s">
        <v>1454</v>
      </c>
      <c r="C39" s="255" t="s">
        <v>1382</v>
      </c>
      <c r="D39" s="66" t="s">
        <v>1368</v>
      </c>
      <c r="E39" s="66"/>
      <c r="F39" s="242" t="s">
        <v>43</v>
      </c>
      <c r="G39" s="242"/>
      <c r="H39" s="243" t="s">
        <v>1369</v>
      </c>
      <c r="I39" s="244"/>
      <c r="J39" s="244" t="s">
        <v>1376</v>
      </c>
      <c r="K39" s="26"/>
      <c r="L39" s="26" t="s">
        <v>45</v>
      </c>
      <c r="M39" s="26"/>
      <c r="N39" s="26" t="s">
        <v>45</v>
      </c>
      <c r="O39" s="26"/>
      <c r="P39" s="26" t="str">
        <f t="shared" si="1"/>
        <v>Yes</v>
      </c>
      <c r="Q39" s="26"/>
      <c r="R39" s="26"/>
      <c r="S39" s="26" t="s">
        <v>45</v>
      </c>
      <c r="T39" s="26"/>
      <c r="U39" s="26" t="s">
        <v>45</v>
      </c>
      <c r="V39" s="26"/>
      <c r="W39" s="26" t="s">
        <v>45</v>
      </c>
      <c r="X39" s="26"/>
      <c r="Y39" s="26" t="s">
        <v>43</v>
      </c>
      <c r="Z39" s="26"/>
      <c r="AA39" s="26" t="str">
        <f t="shared" si="0"/>
        <v>Yes</v>
      </c>
    </row>
    <row r="40" spans="1:27" ht="12.75" x14ac:dyDescent="0.2">
      <c r="A40" s="45"/>
      <c r="B40" s="45" t="s">
        <v>1454</v>
      </c>
      <c r="C40" s="255" t="s">
        <v>1382</v>
      </c>
      <c r="D40" s="66" t="s">
        <v>1372</v>
      </c>
      <c r="E40" s="66"/>
      <c r="F40" s="242" t="s">
        <v>43</v>
      </c>
      <c r="G40" s="242"/>
      <c r="H40" s="243" t="s">
        <v>1369</v>
      </c>
      <c r="I40" s="244"/>
      <c r="J40" s="244" t="s">
        <v>1376</v>
      </c>
      <c r="K40" s="26"/>
      <c r="L40" s="26" t="s">
        <v>45</v>
      </c>
      <c r="M40" s="26"/>
      <c r="N40" s="26" t="s">
        <v>45</v>
      </c>
      <c r="O40" s="26"/>
      <c r="P40" s="26" t="str">
        <f t="shared" si="1"/>
        <v>Yes</v>
      </c>
      <c r="Q40" s="26"/>
      <c r="R40" s="26"/>
      <c r="S40" s="26" t="s">
        <v>45</v>
      </c>
      <c r="T40" s="26"/>
      <c r="U40" s="26" t="s">
        <v>45</v>
      </c>
      <c r="V40" s="26"/>
      <c r="W40" s="26" t="s">
        <v>43</v>
      </c>
      <c r="X40" s="26"/>
      <c r="Y40" s="26" t="s">
        <v>45</v>
      </c>
      <c r="Z40" s="26"/>
      <c r="AA40" s="26" t="str">
        <f t="shared" si="0"/>
        <v>Yes</v>
      </c>
    </row>
    <row r="41" spans="1:27" ht="12.75" x14ac:dyDescent="0.2">
      <c r="A41" s="45"/>
      <c r="B41" s="45" t="s">
        <v>1455</v>
      </c>
      <c r="C41" s="255" t="s">
        <v>1394</v>
      </c>
      <c r="D41" s="66" t="s">
        <v>1368</v>
      </c>
      <c r="E41" s="66"/>
      <c r="F41" s="242" t="s">
        <v>43</v>
      </c>
      <c r="G41" s="242"/>
      <c r="H41" s="243" t="s">
        <v>1371</v>
      </c>
      <c r="I41" s="244"/>
      <c r="J41" s="244" t="s">
        <v>45</v>
      </c>
      <c r="K41" s="26"/>
      <c r="L41" s="26" t="s">
        <v>45</v>
      </c>
      <c r="M41" s="26"/>
      <c r="N41" s="26" t="s">
        <v>45</v>
      </c>
      <c r="O41" s="26"/>
      <c r="P41" s="26" t="str">
        <f t="shared" si="1"/>
        <v>No</v>
      </c>
      <c r="Q41" s="26"/>
      <c r="R41" s="26"/>
      <c r="S41" s="26" t="s">
        <v>45</v>
      </c>
      <c r="T41" s="26"/>
      <c r="U41" s="26" t="s">
        <v>43</v>
      </c>
      <c r="V41" s="26"/>
      <c r="W41" s="26" t="s">
        <v>45</v>
      </c>
      <c r="X41" s="26"/>
      <c r="Y41" s="26" t="s">
        <v>43</v>
      </c>
      <c r="Z41" s="26"/>
      <c r="AA41" s="26" t="str">
        <f t="shared" si="0"/>
        <v>Yes</v>
      </c>
    </row>
    <row r="42" spans="1:27" ht="12.75" x14ac:dyDescent="0.2">
      <c r="A42" s="45"/>
      <c r="B42" s="45" t="s">
        <v>1456</v>
      </c>
      <c r="C42" s="255" t="s">
        <v>1394</v>
      </c>
      <c r="D42" s="66" t="s">
        <v>1372</v>
      </c>
      <c r="E42" s="66"/>
      <c r="F42" s="242" t="s">
        <v>43</v>
      </c>
      <c r="G42" s="242"/>
      <c r="H42" s="243" t="s">
        <v>1371</v>
      </c>
      <c r="I42" s="244"/>
      <c r="J42" s="244" t="s">
        <v>1392</v>
      </c>
      <c r="K42" s="26"/>
      <c r="L42" s="26" t="s">
        <v>45</v>
      </c>
      <c r="M42" s="26"/>
      <c r="N42" s="26" t="s">
        <v>45</v>
      </c>
      <c r="O42" s="26"/>
      <c r="P42" s="26" t="str">
        <f t="shared" si="1"/>
        <v>Yes</v>
      </c>
      <c r="Q42" s="26"/>
      <c r="R42" s="26"/>
      <c r="S42" s="26" t="s">
        <v>45</v>
      </c>
      <c r="T42" s="26"/>
      <c r="U42" s="26" t="s">
        <v>45</v>
      </c>
      <c r="V42" s="26"/>
      <c r="W42" s="26" t="s">
        <v>43</v>
      </c>
      <c r="X42" s="26"/>
      <c r="Y42" s="26" t="s">
        <v>45</v>
      </c>
      <c r="Z42" s="26"/>
      <c r="AA42" s="26" t="str">
        <f t="shared" si="0"/>
        <v>Yes</v>
      </c>
    </row>
    <row r="43" spans="1:27" ht="12.75" x14ac:dyDescent="0.2">
      <c r="A43" s="45"/>
      <c r="B43" s="45" t="s">
        <v>1457</v>
      </c>
      <c r="C43" s="255" t="s">
        <v>1385</v>
      </c>
      <c r="D43" s="66" t="s">
        <v>1368</v>
      </c>
      <c r="E43" s="66"/>
      <c r="F43" s="242" t="s">
        <v>1375</v>
      </c>
      <c r="G43" s="242"/>
      <c r="H43" s="243" t="s">
        <v>1380</v>
      </c>
      <c r="I43" s="244"/>
      <c r="J43" s="244" t="s">
        <v>1376</v>
      </c>
      <c r="K43" s="26"/>
      <c r="L43" s="26" t="s">
        <v>45</v>
      </c>
      <c r="M43" s="26"/>
      <c r="N43" s="26" t="s">
        <v>45</v>
      </c>
      <c r="O43" s="26"/>
      <c r="P43" s="26" t="str">
        <f t="shared" si="1"/>
        <v>Yes</v>
      </c>
      <c r="Q43" s="26"/>
      <c r="R43" s="26"/>
      <c r="S43" s="26" t="s">
        <v>45</v>
      </c>
      <c r="T43" s="26"/>
      <c r="U43" s="26" t="s">
        <v>43</v>
      </c>
      <c r="V43" s="26"/>
      <c r="W43" s="26" t="s">
        <v>43</v>
      </c>
      <c r="X43" s="26"/>
      <c r="Y43" s="26" t="s">
        <v>45</v>
      </c>
      <c r="Z43" s="26"/>
      <c r="AA43" s="26" t="str">
        <f t="shared" si="0"/>
        <v>Yes</v>
      </c>
    </row>
    <row r="44" spans="1:27" ht="12.75" x14ac:dyDescent="0.2">
      <c r="A44" s="45"/>
      <c r="B44" s="45" t="s">
        <v>1457</v>
      </c>
      <c r="C44" s="255" t="s">
        <v>1385</v>
      </c>
      <c r="D44" s="66" t="s">
        <v>1372</v>
      </c>
      <c r="E44" s="66"/>
      <c r="F44" s="242" t="s">
        <v>43</v>
      </c>
      <c r="G44" s="242"/>
      <c r="H44" s="243" t="s">
        <v>1380</v>
      </c>
      <c r="I44" s="244"/>
      <c r="J44" s="244" t="s">
        <v>45</v>
      </c>
      <c r="K44" s="26"/>
      <c r="L44" s="26" t="s">
        <v>45</v>
      </c>
      <c r="M44" s="26"/>
      <c r="N44" s="26" t="s">
        <v>43</v>
      </c>
      <c r="O44" s="26"/>
      <c r="P44" s="26" t="str">
        <f t="shared" si="1"/>
        <v>Yes</v>
      </c>
      <c r="Q44" s="26"/>
      <c r="R44" s="26"/>
      <c r="S44" s="26" t="s">
        <v>45</v>
      </c>
      <c r="T44" s="26"/>
      <c r="U44" s="26" t="s">
        <v>45</v>
      </c>
      <c r="V44" s="26"/>
      <c r="W44" s="26" t="s">
        <v>43</v>
      </c>
      <c r="X44" s="26"/>
      <c r="Y44" s="26" t="s">
        <v>43</v>
      </c>
      <c r="Z44" s="26"/>
      <c r="AA44" s="26" t="str">
        <f t="shared" si="0"/>
        <v>Yes</v>
      </c>
    </row>
    <row r="45" spans="1:27" ht="12.75" x14ac:dyDescent="0.2">
      <c r="A45" s="45"/>
      <c r="B45" s="45" t="s">
        <v>1455</v>
      </c>
      <c r="C45" s="255" t="s">
        <v>1395</v>
      </c>
      <c r="D45" s="66" t="s">
        <v>1368</v>
      </c>
      <c r="E45" s="66"/>
      <c r="F45" s="242" t="s">
        <v>43</v>
      </c>
      <c r="G45" s="242"/>
      <c r="H45" s="243" t="s">
        <v>1371</v>
      </c>
      <c r="I45" s="244"/>
      <c r="J45" s="244" t="s">
        <v>45</v>
      </c>
      <c r="K45" s="26"/>
      <c r="L45" s="26" t="s">
        <v>45</v>
      </c>
      <c r="M45" s="26"/>
      <c r="N45" s="26" t="s">
        <v>45</v>
      </c>
      <c r="O45" s="26"/>
      <c r="P45" s="26" t="str">
        <f t="shared" si="1"/>
        <v>No</v>
      </c>
      <c r="Q45" s="26"/>
      <c r="R45" s="26"/>
      <c r="S45" s="26" t="s">
        <v>45</v>
      </c>
      <c r="T45" s="26"/>
      <c r="U45" s="26" t="s">
        <v>43</v>
      </c>
      <c r="V45" s="26"/>
      <c r="W45" s="26" t="s">
        <v>45</v>
      </c>
      <c r="X45" s="26"/>
      <c r="Y45" s="26" t="s">
        <v>43</v>
      </c>
      <c r="Z45" s="26"/>
      <c r="AA45" s="26" t="str">
        <f t="shared" si="0"/>
        <v>Yes</v>
      </c>
    </row>
    <row r="46" spans="1:27" ht="12.75" x14ac:dyDescent="0.2">
      <c r="A46" s="45"/>
      <c r="B46" s="45" t="s">
        <v>1456</v>
      </c>
      <c r="C46" s="255" t="s">
        <v>1395</v>
      </c>
      <c r="D46" s="66" t="s">
        <v>1372</v>
      </c>
      <c r="E46" s="66"/>
      <c r="F46" s="242" t="s">
        <v>43</v>
      </c>
      <c r="G46" s="242"/>
      <c r="H46" s="243" t="s">
        <v>1371</v>
      </c>
      <c r="I46" s="244"/>
      <c r="J46" s="244" t="s">
        <v>1376</v>
      </c>
      <c r="K46" s="26"/>
      <c r="L46" s="26" t="s">
        <v>45</v>
      </c>
      <c r="M46" s="26"/>
      <c r="N46" s="26" t="s">
        <v>45</v>
      </c>
      <c r="O46" s="26"/>
      <c r="P46" s="26" t="str">
        <f t="shared" si="1"/>
        <v>Yes</v>
      </c>
      <c r="Q46" s="26"/>
      <c r="R46" s="26"/>
      <c r="S46" s="26" t="s">
        <v>45</v>
      </c>
      <c r="T46" s="26"/>
      <c r="U46" s="26" t="s">
        <v>45</v>
      </c>
      <c r="V46" s="26"/>
      <c r="W46" s="26" t="s">
        <v>45</v>
      </c>
      <c r="X46" s="26"/>
      <c r="Y46" s="26" t="s">
        <v>45</v>
      </c>
      <c r="Z46" s="26"/>
      <c r="AA46" s="26" t="str">
        <f t="shared" si="0"/>
        <v>No</v>
      </c>
    </row>
    <row r="47" spans="1:27" ht="12.75" x14ac:dyDescent="0.2">
      <c r="A47" s="45"/>
      <c r="B47" s="45" t="s">
        <v>1456</v>
      </c>
      <c r="C47" s="255" t="s">
        <v>1387</v>
      </c>
      <c r="D47" s="66" t="s">
        <v>1372</v>
      </c>
      <c r="E47" s="66"/>
      <c r="F47" s="242" t="s">
        <v>43</v>
      </c>
      <c r="G47" s="242"/>
      <c r="H47" s="243" t="s">
        <v>1369</v>
      </c>
      <c r="I47" s="244"/>
      <c r="J47" s="244" t="s">
        <v>1376</v>
      </c>
      <c r="K47" s="26"/>
      <c r="L47" s="26" t="s">
        <v>45</v>
      </c>
      <c r="M47" s="26"/>
      <c r="N47" s="26" t="s">
        <v>45</v>
      </c>
      <c r="O47" s="26"/>
      <c r="P47" s="26" t="str">
        <f t="shared" si="1"/>
        <v>Yes</v>
      </c>
      <c r="Q47" s="26"/>
      <c r="R47" s="26"/>
      <c r="S47" s="26" t="s">
        <v>45</v>
      </c>
      <c r="T47" s="26"/>
      <c r="U47" s="26" t="s">
        <v>45</v>
      </c>
      <c r="V47" s="26"/>
      <c r="W47" s="26" t="s">
        <v>43</v>
      </c>
      <c r="X47" s="26"/>
      <c r="Y47" s="26" t="s">
        <v>45</v>
      </c>
      <c r="Z47" s="26"/>
      <c r="AA47" s="26" t="str">
        <f t="shared" si="0"/>
        <v>Yes</v>
      </c>
    </row>
    <row r="48" spans="1:27" ht="12.75" x14ac:dyDescent="0.2">
      <c r="A48" s="45" t="s">
        <v>64</v>
      </c>
      <c r="B48" s="45" t="s">
        <v>1458</v>
      </c>
      <c r="C48" s="255" t="s">
        <v>1379</v>
      </c>
      <c r="D48" s="66" t="s">
        <v>1368</v>
      </c>
      <c r="E48" s="66"/>
      <c r="F48" s="247" t="s">
        <v>43</v>
      </c>
      <c r="G48" s="242"/>
      <c r="H48" s="243" t="s">
        <v>1369</v>
      </c>
      <c r="I48" s="244"/>
      <c r="J48" s="244" t="s">
        <v>1376</v>
      </c>
      <c r="K48" s="26"/>
      <c r="L48" s="26" t="s">
        <v>43</v>
      </c>
      <c r="M48" s="26"/>
      <c r="N48" s="26" t="s">
        <v>45</v>
      </c>
      <c r="O48" s="26"/>
      <c r="P48" s="26" t="str">
        <f t="shared" si="1"/>
        <v>Yes</v>
      </c>
      <c r="Q48" s="26"/>
      <c r="R48" s="26"/>
      <c r="S48" s="26" t="s">
        <v>43</v>
      </c>
      <c r="T48" s="26"/>
      <c r="U48" s="26" t="s">
        <v>43</v>
      </c>
      <c r="V48" s="26"/>
      <c r="W48" s="26" t="s">
        <v>43</v>
      </c>
      <c r="X48" s="26"/>
      <c r="Y48" s="26" t="s">
        <v>45</v>
      </c>
      <c r="Z48" s="26"/>
      <c r="AA48" s="26" t="str">
        <f t="shared" si="0"/>
        <v>Yes</v>
      </c>
    </row>
    <row r="49" spans="1:27" ht="12.75" x14ac:dyDescent="0.2">
      <c r="A49" s="45"/>
      <c r="B49" s="45" t="s">
        <v>1459</v>
      </c>
      <c r="C49" s="255" t="s">
        <v>1460</v>
      </c>
      <c r="D49" s="66" t="s">
        <v>1368</v>
      </c>
      <c r="E49" s="66"/>
      <c r="F49" s="247" t="s">
        <v>43</v>
      </c>
      <c r="G49" s="242"/>
      <c r="H49" s="243" t="s">
        <v>1380</v>
      </c>
      <c r="I49" s="244"/>
      <c r="J49" s="244" t="s">
        <v>45</v>
      </c>
      <c r="K49" s="26"/>
      <c r="L49" s="26" t="s">
        <v>43</v>
      </c>
      <c r="M49" s="26"/>
      <c r="N49" s="26" t="s">
        <v>45</v>
      </c>
      <c r="O49" s="26"/>
      <c r="P49" s="26" t="str">
        <f t="shared" si="1"/>
        <v>Yes</v>
      </c>
      <c r="Q49" s="26"/>
      <c r="R49" s="26"/>
      <c r="S49" s="26" t="s">
        <v>45</v>
      </c>
      <c r="T49" s="26"/>
      <c r="U49" s="26" t="s">
        <v>43</v>
      </c>
      <c r="V49" s="26"/>
      <c r="W49" s="26" t="s">
        <v>45</v>
      </c>
      <c r="X49" s="26"/>
      <c r="Y49" s="26" t="s">
        <v>43</v>
      </c>
      <c r="Z49" s="26"/>
      <c r="AA49" s="26" t="str">
        <f t="shared" si="0"/>
        <v>Yes</v>
      </c>
    </row>
    <row r="50" spans="1:27" ht="12.75" x14ac:dyDescent="0.2">
      <c r="A50" s="45"/>
      <c r="B50" s="45" t="s">
        <v>1459</v>
      </c>
      <c r="C50" s="255" t="s">
        <v>1460</v>
      </c>
      <c r="D50" s="66" t="s">
        <v>1372</v>
      </c>
      <c r="E50" s="66"/>
      <c r="F50" s="247" t="s">
        <v>43</v>
      </c>
      <c r="G50" s="242"/>
      <c r="H50" s="243" t="s">
        <v>1380</v>
      </c>
      <c r="I50" s="244"/>
      <c r="J50" s="244" t="s">
        <v>45</v>
      </c>
      <c r="K50" s="26"/>
      <c r="L50" s="26" t="s">
        <v>43</v>
      </c>
      <c r="M50" s="26"/>
      <c r="N50" s="26" t="s">
        <v>45</v>
      </c>
      <c r="O50" s="26"/>
      <c r="P50" s="26" t="str">
        <f t="shared" si="1"/>
        <v>Yes</v>
      </c>
      <c r="Q50" s="26"/>
      <c r="R50" s="26"/>
      <c r="S50" s="26" t="s">
        <v>45</v>
      </c>
      <c r="T50" s="26"/>
      <c r="U50" s="26" t="s">
        <v>45</v>
      </c>
      <c r="V50" s="26"/>
      <c r="W50" s="26" t="s">
        <v>45</v>
      </c>
      <c r="X50" s="26"/>
      <c r="Y50" s="26" t="s">
        <v>45</v>
      </c>
      <c r="Z50" s="26"/>
      <c r="AA50" s="26" t="str">
        <f t="shared" si="0"/>
        <v>No</v>
      </c>
    </row>
    <row r="51" spans="1:27" ht="12.75" x14ac:dyDescent="0.2">
      <c r="A51" s="45"/>
      <c r="B51" s="45" t="s">
        <v>1461</v>
      </c>
      <c r="C51" s="255" t="s">
        <v>1383</v>
      </c>
      <c r="D51" s="66" t="s">
        <v>1368</v>
      </c>
      <c r="E51" s="66"/>
      <c r="F51" s="247" t="s">
        <v>43</v>
      </c>
      <c r="G51" s="242"/>
      <c r="H51" s="243" t="s">
        <v>1371</v>
      </c>
      <c r="I51" s="244"/>
      <c r="J51" s="244" t="s">
        <v>1376</v>
      </c>
      <c r="K51" s="26"/>
      <c r="L51" s="26" t="s">
        <v>43</v>
      </c>
      <c r="M51" s="26"/>
      <c r="N51" s="26" t="s">
        <v>45</v>
      </c>
      <c r="O51" s="26"/>
      <c r="P51" s="26" t="str">
        <f t="shared" si="1"/>
        <v>Yes</v>
      </c>
      <c r="Q51" s="26"/>
      <c r="R51" s="26"/>
      <c r="S51" s="26" t="s">
        <v>45</v>
      </c>
      <c r="T51" s="26"/>
      <c r="U51" s="26" t="s">
        <v>45</v>
      </c>
      <c r="V51" s="26"/>
      <c r="W51" s="26" t="s">
        <v>45</v>
      </c>
      <c r="X51" s="26"/>
      <c r="Y51" s="26" t="s">
        <v>43</v>
      </c>
      <c r="Z51" s="26"/>
      <c r="AA51" s="26" t="str">
        <f t="shared" si="0"/>
        <v>Yes</v>
      </c>
    </row>
    <row r="52" spans="1:27" ht="12.75" x14ac:dyDescent="0.2">
      <c r="A52" s="45"/>
      <c r="B52" s="45" t="s">
        <v>1461</v>
      </c>
      <c r="C52" s="255" t="s">
        <v>1383</v>
      </c>
      <c r="D52" s="66" t="s">
        <v>1372</v>
      </c>
      <c r="E52" s="66"/>
      <c r="F52" s="247" t="s">
        <v>43</v>
      </c>
      <c r="G52" s="242"/>
      <c r="H52" s="243" t="s">
        <v>1371</v>
      </c>
      <c r="I52" s="244"/>
      <c r="J52" s="244" t="s">
        <v>45</v>
      </c>
      <c r="K52" s="26"/>
      <c r="L52" s="26" t="s">
        <v>43</v>
      </c>
      <c r="M52" s="26"/>
      <c r="N52" s="26" t="s">
        <v>45</v>
      </c>
      <c r="O52" s="26"/>
      <c r="P52" s="26" t="str">
        <f t="shared" si="1"/>
        <v>Yes</v>
      </c>
      <c r="Q52" s="26"/>
      <c r="R52" s="26"/>
      <c r="S52" s="26" t="s">
        <v>45</v>
      </c>
      <c r="T52" s="26"/>
      <c r="U52" s="26" t="s">
        <v>45</v>
      </c>
      <c r="V52" s="26"/>
      <c r="W52" s="26" t="s">
        <v>43</v>
      </c>
      <c r="X52" s="26"/>
      <c r="Y52" s="26" t="s">
        <v>45</v>
      </c>
      <c r="Z52" s="26"/>
      <c r="AA52" s="26" t="str">
        <f t="shared" si="0"/>
        <v>Yes</v>
      </c>
    </row>
    <row r="53" spans="1:27" ht="12.75" x14ac:dyDescent="0.2">
      <c r="A53" s="45"/>
      <c r="B53" s="45" t="s">
        <v>1462</v>
      </c>
      <c r="C53" s="255" t="s">
        <v>1397</v>
      </c>
      <c r="D53" s="66" t="s">
        <v>1368</v>
      </c>
      <c r="E53" s="66"/>
      <c r="F53" s="247" t="s">
        <v>43</v>
      </c>
      <c r="G53" s="242"/>
      <c r="H53" s="243" t="s">
        <v>1369</v>
      </c>
      <c r="I53" s="244"/>
      <c r="J53" s="244" t="s">
        <v>1376</v>
      </c>
      <c r="K53" s="26"/>
      <c r="L53" s="26" t="s">
        <v>43</v>
      </c>
      <c r="M53" s="26"/>
      <c r="N53" s="26" t="s">
        <v>45</v>
      </c>
      <c r="O53" s="26"/>
      <c r="P53" s="26" t="str">
        <f t="shared" si="1"/>
        <v>Yes</v>
      </c>
      <c r="Q53" s="26"/>
      <c r="R53" s="26"/>
      <c r="S53" s="26" t="s">
        <v>45</v>
      </c>
      <c r="T53" s="26"/>
      <c r="U53" s="26" t="s">
        <v>45</v>
      </c>
      <c r="V53" s="26"/>
      <c r="W53" s="26" t="s">
        <v>45</v>
      </c>
      <c r="X53" s="26"/>
      <c r="Y53" s="26" t="s">
        <v>45</v>
      </c>
      <c r="Z53" s="26"/>
      <c r="AA53" s="26" t="str">
        <f t="shared" si="0"/>
        <v>No</v>
      </c>
    </row>
    <row r="54" spans="1:27" ht="12.75" x14ac:dyDescent="0.2">
      <c r="A54" s="45"/>
      <c r="B54" s="45" t="s">
        <v>1463</v>
      </c>
      <c r="C54" s="255" t="s">
        <v>1388</v>
      </c>
      <c r="D54" s="66" t="s">
        <v>1368</v>
      </c>
      <c r="E54" s="66"/>
      <c r="F54" s="247" t="s">
        <v>43</v>
      </c>
      <c r="G54" s="242"/>
      <c r="H54" s="243" t="s">
        <v>1371</v>
      </c>
      <c r="I54" s="244"/>
      <c r="J54" s="244" t="s">
        <v>45</v>
      </c>
      <c r="K54" s="26"/>
      <c r="L54" s="26" t="s">
        <v>45</v>
      </c>
      <c r="M54" s="26"/>
      <c r="N54" s="26" t="s">
        <v>45</v>
      </c>
      <c r="O54" s="26"/>
      <c r="P54" s="26" t="str">
        <f t="shared" si="1"/>
        <v>No</v>
      </c>
      <c r="Q54" s="26"/>
      <c r="R54" s="26"/>
      <c r="S54" s="26" t="s">
        <v>43</v>
      </c>
      <c r="T54" s="26"/>
      <c r="U54" s="26" t="s">
        <v>45</v>
      </c>
      <c r="V54" s="26"/>
      <c r="W54" s="26" t="s">
        <v>43</v>
      </c>
      <c r="X54" s="26"/>
      <c r="Y54" s="26" t="s">
        <v>45</v>
      </c>
      <c r="Z54" s="26"/>
      <c r="AA54" s="26" t="str">
        <f t="shared" si="0"/>
        <v>Yes</v>
      </c>
    </row>
    <row r="55" spans="1:27" ht="12.75" x14ac:dyDescent="0.2">
      <c r="A55" s="45" t="s">
        <v>1398</v>
      </c>
      <c r="B55" s="45" t="s">
        <v>1464</v>
      </c>
      <c r="C55" s="255" t="s">
        <v>1399</v>
      </c>
      <c r="D55" s="66" t="s">
        <v>1368</v>
      </c>
      <c r="E55" s="66"/>
      <c r="F55" s="247" t="s">
        <v>43</v>
      </c>
      <c r="G55" s="247"/>
      <c r="H55" s="243" t="s">
        <v>1371</v>
      </c>
      <c r="I55" s="244"/>
      <c r="J55" s="244" t="s">
        <v>1376</v>
      </c>
      <c r="K55" s="26"/>
      <c r="L55" s="26" t="s">
        <v>45</v>
      </c>
      <c r="M55" s="26"/>
      <c r="N55" s="26" t="s">
        <v>45</v>
      </c>
      <c r="O55" s="26"/>
      <c r="P55" s="26" t="str">
        <f t="shared" si="1"/>
        <v>Yes</v>
      </c>
      <c r="Q55" s="26"/>
      <c r="R55" s="26"/>
      <c r="S55" s="26" t="s">
        <v>45</v>
      </c>
      <c r="T55" s="26"/>
      <c r="U55" s="26" t="s">
        <v>43</v>
      </c>
      <c r="V55" s="26"/>
      <c r="W55" s="26" t="s">
        <v>45</v>
      </c>
      <c r="X55" s="26"/>
      <c r="Y55" s="26" t="s">
        <v>43</v>
      </c>
      <c r="Z55" s="26"/>
      <c r="AA55" s="26" t="str">
        <f t="shared" si="0"/>
        <v>Yes</v>
      </c>
    </row>
    <row r="56" spans="1:27" ht="12.75" x14ac:dyDescent="0.2">
      <c r="A56" s="45"/>
      <c r="B56" s="45" t="s">
        <v>1465</v>
      </c>
      <c r="C56" s="255" t="s">
        <v>1399</v>
      </c>
      <c r="D56" s="66" t="s">
        <v>1368</v>
      </c>
      <c r="E56" s="66"/>
      <c r="F56" s="247" t="s">
        <v>43</v>
      </c>
      <c r="G56" s="247"/>
      <c r="H56" s="243" t="s">
        <v>1371</v>
      </c>
      <c r="I56" s="244"/>
      <c r="J56" s="244" t="s">
        <v>45</v>
      </c>
      <c r="K56" s="26"/>
      <c r="L56" s="26" t="s">
        <v>45</v>
      </c>
      <c r="M56" s="26"/>
      <c r="N56" s="26" t="s">
        <v>45</v>
      </c>
      <c r="O56" s="26"/>
      <c r="P56" s="26" t="str">
        <f t="shared" si="1"/>
        <v>No</v>
      </c>
      <c r="Q56" s="26"/>
      <c r="R56" s="26"/>
      <c r="S56" s="26" t="s">
        <v>45</v>
      </c>
      <c r="T56" s="26"/>
      <c r="U56" s="26" t="s">
        <v>45</v>
      </c>
      <c r="V56" s="26"/>
      <c r="W56" s="26" t="s">
        <v>43</v>
      </c>
      <c r="X56" s="26"/>
      <c r="Y56" s="26" t="s">
        <v>45</v>
      </c>
      <c r="Z56" s="26"/>
      <c r="AA56" s="26" t="str">
        <f t="shared" si="0"/>
        <v>Yes</v>
      </c>
    </row>
    <row r="57" spans="1:27" ht="12.75" x14ac:dyDescent="0.2">
      <c r="A57" s="45"/>
      <c r="B57" s="45" t="s">
        <v>1466</v>
      </c>
      <c r="C57" s="255" t="s">
        <v>1377</v>
      </c>
      <c r="D57" s="66" t="s">
        <v>1368</v>
      </c>
      <c r="E57" s="66"/>
      <c r="F57" s="242" t="s">
        <v>1378</v>
      </c>
      <c r="G57" s="246"/>
      <c r="H57" s="243" t="s">
        <v>1371</v>
      </c>
      <c r="I57" s="244"/>
      <c r="J57" s="244" t="s">
        <v>1376</v>
      </c>
      <c r="K57" s="26"/>
      <c r="L57" s="26" t="s">
        <v>45</v>
      </c>
      <c r="M57" s="26"/>
      <c r="N57" s="26" t="s">
        <v>45</v>
      </c>
      <c r="O57" s="26"/>
      <c r="P57" s="26" t="str">
        <f t="shared" si="1"/>
        <v>Yes</v>
      </c>
      <c r="Q57" s="26"/>
      <c r="R57" s="26"/>
      <c r="S57" s="26" t="s">
        <v>45</v>
      </c>
      <c r="T57" s="26"/>
      <c r="U57" s="26" t="s">
        <v>45</v>
      </c>
      <c r="V57" s="26"/>
      <c r="W57" s="26" t="s">
        <v>43</v>
      </c>
      <c r="X57" s="26"/>
      <c r="Y57" s="26" t="s">
        <v>45</v>
      </c>
      <c r="Z57" s="26"/>
      <c r="AA57" s="26" t="str">
        <f t="shared" si="0"/>
        <v>Yes</v>
      </c>
    </row>
    <row r="58" spans="1:27" ht="12.75" x14ac:dyDescent="0.2">
      <c r="A58" s="45"/>
      <c r="B58" s="45" t="s">
        <v>1467</v>
      </c>
      <c r="C58" s="255" t="s">
        <v>1377</v>
      </c>
      <c r="D58" s="66" t="s">
        <v>1368</v>
      </c>
      <c r="E58" s="66"/>
      <c r="F58" s="242" t="s">
        <v>1378</v>
      </c>
      <c r="G58" s="246"/>
      <c r="H58" s="243" t="s">
        <v>1371</v>
      </c>
      <c r="I58" s="244"/>
      <c r="J58" s="244" t="s">
        <v>1376</v>
      </c>
      <c r="K58" s="26"/>
      <c r="L58" s="26" t="s">
        <v>45</v>
      </c>
      <c r="M58" s="26"/>
      <c r="N58" s="26" t="s">
        <v>45</v>
      </c>
      <c r="O58" s="26"/>
      <c r="P58" s="26" t="str">
        <f t="shared" si="1"/>
        <v>Yes</v>
      </c>
      <c r="Q58" s="26"/>
      <c r="R58" s="26"/>
      <c r="S58" s="26" t="s">
        <v>45</v>
      </c>
      <c r="T58" s="26"/>
      <c r="U58" s="26" t="s">
        <v>43</v>
      </c>
      <c r="V58" s="26"/>
      <c r="W58" s="26" t="s">
        <v>43</v>
      </c>
      <c r="X58" s="26"/>
      <c r="Y58" s="26" t="s">
        <v>45</v>
      </c>
      <c r="Z58" s="26"/>
      <c r="AA58" s="26" t="str">
        <f t="shared" si="0"/>
        <v>Yes</v>
      </c>
    </row>
    <row r="59" spans="1:27" ht="12.75" x14ac:dyDescent="0.2">
      <c r="A59" s="45" t="s">
        <v>69</v>
      </c>
      <c r="B59" s="45" t="s">
        <v>1414</v>
      </c>
      <c r="C59" s="255" t="s">
        <v>1391</v>
      </c>
      <c r="D59" s="255" t="s">
        <v>1368</v>
      </c>
      <c r="F59" s="242" t="s">
        <v>1378</v>
      </c>
      <c r="G59" s="246"/>
      <c r="H59" s="243" t="s">
        <v>1380</v>
      </c>
      <c r="I59" s="244"/>
      <c r="J59" s="244" t="s">
        <v>1392</v>
      </c>
      <c r="K59" s="26"/>
      <c r="L59" s="26" t="s">
        <v>45</v>
      </c>
      <c r="M59" s="26"/>
      <c r="N59" s="26" t="s">
        <v>45</v>
      </c>
      <c r="O59" s="26"/>
      <c r="P59" s="26" t="str">
        <f t="shared" si="1"/>
        <v>Yes</v>
      </c>
      <c r="Q59" s="26"/>
      <c r="R59" s="26"/>
      <c r="S59" s="26" t="s">
        <v>45</v>
      </c>
      <c r="T59" s="26"/>
      <c r="U59" s="26" t="s">
        <v>45</v>
      </c>
      <c r="V59" s="26"/>
      <c r="W59" s="26" t="s">
        <v>45</v>
      </c>
      <c r="X59" s="26"/>
      <c r="Y59" s="26" t="s">
        <v>45</v>
      </c>
      <c r="Z59" s="26"/>
      <c r="AA59" s="26" t="str">
        <f t="shared" si="0"/>
        <v>No</v>
      </c>
    </row>
    <row r="60" spans="1:27" ht="12.75" x14ac:dyDescent="0.2">
      <c r="A60" s="45"/>
      <c r="B60" s="45" t="s">
        <v>1414</v>
      </c>
      <c r="C60" s="255" t="s">
        <v>1393</v>
      </c>
      <c r="D60" s="255" t="s">
        <v>1368</v>
      </c>
      <c r="F60" s="242" t="s">
        <v>1378</v>
      </c>
      <c r="G60" s="246"/>
      <c r="H60" s="243" t="s">
        <v>1380</v>
      </c>
      <c r="I60" s="244"/>
      <c r="J60" s="244" t="s">
        <v>45</v>
      </c>
      <c r="K60" s="26"/>
      <c r="L60" s="26" t="s">
        <v>45</v>
      </c>
      <c r="M60" s="26"/>
      <c r="N60" s="26" t="s">
        <v>45</v>
      </c>
      <c r="O60" s="26"/>
      <c r="P60" s="26" t="str">
        <f t="shared" si="1"/>
        <v>No</v>
      </c>
      <c r="Q60" s="26"/>
      <c r="R60" s="26"/>
      <c r="S60" s="26" t="s">
        <v>45</v>
      </c>
      <c r="T60" s="26"/>
      <c r="U60" s="26" t="s">
        <v>45</v>
      </c>
      <c r="V60" s="26"/>
      <c r="W60" s="26" t="s">
        <v>45</v>
      </c>
      <c r="X60" s="26"/>
      <c r="Y60" s="26" t="s">
        <v>45</v>
      </c>
      <c r="Z60" s="26"/>
      <c r="AA60" s="26" t="str">
        <f t="shared" si="0"/>
        <v>No</v>
      </c>
    </row>
    <row r="61" spans="1:27" ht="12.75" x14ac:dyDescent="0.2">
      <c r="A61" s="45" t="s">
        <v>71</v>
      </c>
      <c r="B61" s="45" t="s">
        <v>1468</v>
      </c>
      <c r="C61" s="255" t="s">
        <v>1396</v>
      </c>
      <c r="D61" s="255" t="s">
        <v>1368</v>
      </c>
      <c r="F61" s="242" t="s">
        <v>43</v>
      </c>
      <c r="G61" s="242"/>
      <c r="H61" s="243" t="s">
        <v>1369</v>
      </c>
      <c r="I61" s="244"/>
      <c r="J61" s="244" t="s">
        <v>45</v>
      </c>
      <c r="K61" s="26"/>
      <c r="L61" s="26" t="s">
        <v>45</v>
      </c>
      <c r="M61" s="26"/>
      <c r="N61" s="26" t="s">
        <v>45</v>
      </c>
      <c r="O61" s="26"/>
      <c r="P61" s="26" t="str">
        <f t="shared" si="1"/>
        <v>No</v>
      </c>
      <c r="Q61" s="26"/>
      <c r="R61" s="26"/>
      <c r="S61" s="26" t="s">
        <v>43</v>
      </c>
      <c r="T61" s="26"/>
      <c r="U61" s="26" t="s">
        <v>43</v>
      </c>
      <c r="V61" s="26"/>
      <c r="W61" s="26" t="s">
        <v>45</v>
      </c>
      <c r="X61" s="26"/>
      <c r="Y61" s="26" t="s">
        <v>43</v>
      </c>
      <c r="Z61" s="26"/>
      <c r="AA61" s="26" t="str">
        <f t="shared" si="0"/>
        <v>Yes</v>
      </c>
    </row>
    <row r="62" spans="1:27" ht="12.75" x14ac:dyDescent="0.2">
      <c r="A62" s="45"/>
      <c r="B62" s="45" t="s">
        <v>1469</v>
      </c>
      <c r="C62" s="255" t="s">
        <v>1396</v>
      </c>
      <c r="D62" s="255" t="s">
        <v>1372</v>
      </c>
      <c r="F62" s="242" t="s">
        <v>43</v>
      </c>
      <c r="G62" s="242"/>
      <c r="H62" s="243" t="s">
        <v>1369</v>
      </c>
      <c r="I62" s="244"/>
      <c r="J62" s="244" t="s">
        <v>45</v>
      </c>
      <c r="K62" s="26"/>
      <c r="L62" s="26" t="s">
        <v>45</v>
      </c>
      <c r="M62" s="26"/>
      <c r="N62" s="26" t="s">
        <v>45</v>
      </c>
      <c r="O62" s="26"/>
      <c r="P62" s="26" t="str">
        <f t="shared" si="1"/>
        <v>No</v>
      </c>
      <c r="Q62" s="26"/>
      <c r="R62" s="26"/>
      <c r="S62" s="26" t="s">
        <v>45</v>
      </c>
      <c r="T62" s="26"/>
      <c r="U62" s="26" t="s">
        <v>45</v>
      </c>
      <c r="V62" s="26"/>
      <c r="W62" s="26" t="s">
        <v>43</v>
      </c>
      <c r="X62" s="26"/>
      <c r="Y62" s="26" t="s">
        <v>43</v>
      </c>
      <c r="Z62" s="26"/>
      <c r="AA62" s="26" t="str">
        <f t="shared" si="0"/>
        <v>Yes</v>
      </c>
    </row>
    <row r="63" spans="1:27" ht="12" customHeight="1" x14ac:dyDescent="0.2">
      <c r="A63" s="45"/>
      <c r="B63" s="45" t="s">
        <v>1470</v>
      </c>
      <c r="C63" s="255" t="s">
        <v>1388</v>
      </c>
      <c r="D63" s="255" t="s">
        <v>1368</v>
      </c>
      <c r="F63" s="242" t="s">
        <v>1375</v>
      </c>
      <c r="G63" s="242"/>
      <c r="H63" s="243" t="s">
        <v>1371</v>
      </c>
      <c r="I63" s="244"/>
      <c r="J63" s="244" t="s">
        <v>45</v>
      </c>
      <c r="K63" s="26"/>
      <c r="L63" s="26" t="s">
        <v>45</v>
      </c>
      <c r="M63" s="26"/>
      <c r="N63" s="26" t="s">
        <v>45</v>
      </c>
      <c r="O63" s="26"/>
      <c r="P63" s="26" t="str">
        <f t="shared" si="1"/>
        <v>No</v>
      </c>
      <c r="Q63" s="26"/>
      <c r="R63" s="26"/>
      <c r="S63" s="26" t="s">
        <v>45</v>
      </c>
      <c r="T63" s="26"/>
      <c r="U63" s="26" t="s">
        <v>45</v>
      </c>
      <c r="V63" s="26"/>
      <c r="W63" s="26" t="s">
        <v>43</v>
      </c>
      <c r="X63" s="26"/>
      <c r="Y63" s="26" t="s">
        <v>45</v>
      </c>
      <c r="Z63" s="26"/>
      <c r="AA63" s="26" t="str">
        <f t="shared" si="0"/>
        <v>Yes</v>
      </c>
    </row>
    <row r="64" spans="1:27" ht="12.75" x14ac:dyDescent="0.2">
      <c r="A64" s="45" t="s">
        <v>74</v>
      </c>
      <c r="B64" s="45" t="s">
        <v>74</v>
      </c>
      <c r="C64" s="255" t="s">
        <v>1400</v>
      </c>
      <c r="D64" s="255" t="s">
        <v>1368</v>
      </c>
      <c r="F64" s="246" t="s">
        <v>1378</v>
      </c>
      <c r="G64" s="246"/>
      <c r="H64" s="243" t="s">
        <v>1371</v>
      </c>
      <c r="I64" s="244"/>
      <c r="J64" s="244" t="s">
        <v>45</v>
      </c>
      <c r="K64" s="26"/>
      <c r="L64" s="26" t="s">
        <v>45</v>
      </c>
      <c r="M64" s="26"/>
      <c r="N64" s="26" t="s">
        <v>45</v>
      </c>
      <c r="O64" s="26"/>
      <c r="P64" s="26" t="str">
        <f t="shared" si="1"/>
        <v>No</v>
      </c>
      <c r="Q64" s="26"/>
      <c r="R64" s="26"/>
      <c r="S64" s="26" t="s">
        <v>45</v>
      </c>
      <c r="T64" s="26"/>
      <c r="U64" s="26" t="s">
        <v>45</v>
      </c>
      <c r="V64" s="26"/>
      <c r="W64" s="26" t="s">
        <v>45</v>
      </c>
      <c r="X64" s="26"/>
      <c r="Y64" s="26" t="s">
        <v>45</v>
      </c>
      <c r="Z64" s="26"/>
      <c r="AA64" s="26" t="str">
        <f t="shared" si="0"/>
        <v>No</v>
      </c>
    </row>
    <row r="65" spans="1:27" ht="12.75" x14ac:dyDescent="0.2">
      <c r="A65" s="45"/>
      <c r="B65" s="45" t="s">
        <v>74</v>
      </c>
      <c r="C65" s="255" t="s">
        <v>1400</v>
      </c>
      <c r="D65" s="255" t="s">
        <v>1372</v>
      </c>
      <c r="F65" s="242" t="s">
        <v>43</v>
      </c>
      <c r="G65" s="242"/>
      <c r="H65" s="243" t="s">
        <v>1371</v>
      </c>
      <c r="I65" s="244"/>
      <c r="J65" s="244" t="s">
        <v>45</v>
      </c>
      <c r="K65" s="26"/>
      <c r="L65" s="26" t="s">
        <v>45</v>
      </c>
      <c r="M65" s="26"/>
      <c r="N65" s="26" t="s">
        <v>45</v>
      </c>
      <c r="O65" s="26"/>
      <c r="P65" s="26" t="str">
        <f t="shared" si="1"/>
        <v>No</v>
      </c>
      <c r="Q65" s="26"/>
      <c r="R65" s="26"/>
      <c r="S65" s="26" t="s">
        <v>45</v>
      </c>
      <c r="T65" s="26"/>
      <c r="U65" s="26" t="s">
        <v>45</v>
      </c>
      <c r="V65" s="26"/>
      <c r="W65" s="26" t="s">
        <v>45</v>
      </c>
      <c r="X65" s="26"/>
      <c r="Y65" s="26" t="s">
        <v>45</v>
      </c>
      <c r="Z65" s="26"/>
      <c r="AA65" s="26" t="str">
        <f t="shared" si="0"/>
        <v>No</v>
      </c>
    </row>
    <row r="66" spans="1:27" ht="12.75" x14ac:dyDescent="0.2">
      <c r="A66" s="45"/>
      <c r="B66" s="45" t="s">
        <v>74</v>
      </c>
      <c r="C66" s="255" t="s">
        <v>1401</v>
      </c>
      <c r="D66" s="255" t="s">
        <v>1372</v>
      </c>
      <c r="F66" s="242" t="s">
        <v>43</v>
      </c>
      <c r="G66" s="242"/>
      <c r="H66" s="243" t="s">
        <v>1371</v>
      </c>
      <c r="I66" s="244"/>
      <c r="J66" s="244" t="s">
        <v>45</v>
      </c>
      <c r="K66" s="26"/>
      <c r="L66" s="26" t="s">
        <v>45</v>
      </c>
      <c r="M66" s="26"/>
      <c r="N66" s="26" t="s">
        <v>45</v>
      </c>
      <c r="O66" s="26"/>
      <c r="P66" s="26" t="str">
        <f t="shared" si="1"/>
        <v>No</v>
      </c>
      <c r="Q66" s="26"/>
      <c r="R66" s="26"/>
      <c r="S66" s="26" t="s">
        <v>45</v>
      </c>
      <c r="T66" s="26"/>
      <c r="U66" s="26" t="s">
        <v>45</v>
      </c>
      <c r="V66" s="26"/>
      <c r="W66" s="26" t="s">
        <v>45</v>
      </c>
      <c r="X66" s="26"/>
      <c r="Y66" s="26" t="s">
        <v>45</v>
      </c>
      <c r="Z66" s="26"/>
      <c r="AA66" s="26" t="str">
        <f t="shared" si="0"/>
        <v>No</v>
      </c>
    </row>
    <row r="67" spans="1:27" ht="12.75" x14ac:dyDescent="0.2">
      <c r="A67" s="45"/>
      <c r="B67" s="45" t="s">
        <v>74</v>
      </c>
      <c r="C67" s="255" t="s">
        <v>1402</v>
      </c>
      <c r="D67" s="255" t="s">
        <v>1368</v>
      </c>
      <c r="F67" s="242" t="s">
        <v>43</v>
      </c>
      <c r="G67" s="242"/>
      <c r="H67" s="243" t="s">
        <v>1371</v>
      </c>
      <c r="I67" s="244"/>
      <c r="J67" s="244" t="s">
        <v>45</v>
      </c>
      <c r="K67" s="26"/>
      <c r="L67" s="26" t="s">
        <v>45</v>
      </c>
      <c r="M67" s="26"/>
      <c r="N67" s="26" t="s">
        <v>45</v>
      </c>
      <c r="O67" s="26"/>
      <c r="P67" s="26" t="str">
        <f t="shared" si="1"/>
        <v>No</v>
      </c>
      <c r="Q67" s="26"/>
      <c r="R67" s="26"/>
      <c r="S67" s="26" t="s">
        <v>45</v>
      </c>
      <c r="T67" s="26"/>
      <c r="U67" s="26" t="s">
        <v>45</v>
      </c>
      <c r="V67" s="26"/>
      <c r="W67" s="26" t="s">
        <v>45</v>
      </c>
      <c r="X67" s="26"/>
      <c r="Y67" s="26" t="s">
        <v>45</v>
      </c>
      <c r="Z67" s="26"/>
      <c r="AA67" s="26" t="str">
        <f t="shared" si="0"/>
        <v>No</v>
      </c>
    </row>
    <row r="68" spans="1:27" ht="12.75" x14ac:dyDescent="0.2">
      <c r="A68" s="45"/>
      <c r="B68" s="45" t="s">
        <v>74</v>
      </c>
      <c r="C68" s="255" t="s">
        <v>1402</v>
      </c>
      <c r="D68" s="255" t="s">
        <v>1372</v>
      </c>
      <c r="F68" s="246" t="s">
        <v>43</v>
      </c>
      <c r="G68" s="246"/>
      <c r="H68" s="243" t="s">
        <v>1371</v>
      </c>
      <c r="I68" s="244"/>
      <c r="J68" s="244" t="s">
        <v>45</v>
      </c>
      <c r="K68" s="26"/>
      <c r="L68" s="26" t="s">
        <v>45</v>
      </c>
      <c r="M68" s="26"/>
      <c r="N68" s="26" t="s">
        <v>45</v>
      </c>
      <c r="O68" s="26"/>
      <c r="P68" s="26" t="str">
        <f t="shared" si="1"/>
        <v>No</v>
      </c>
      <c r="Q68" s="26"/>
      <c r="R68" s="26"/>
      <c r="S68" s="26" t="s">
        <v>45</v>
      </c>
      <c r="T68" s="26"/>
      <c r="U68" s="26" t="s">
        <v>45</v>
      </c>
      <c r="V68" s="26"/>
      <c r="W68" s="26" t="s">
        <v>45</v>
      </c>
      <c r="X68" s="26"/>
      <c r="Y68" s="26" t="s">
        <v>45</v>
      </c>
      <c r="Z68" s="26"/>
      <c r="AA68" s="26" t="str">
        <f t="shared" si="0"/>
        <v>No</v>
      </c>
    </row>
    <row r="69" spans="1:27" s="239" customFormat="1" ht="12.75" x14ac:dyDescent="0.2">
      <c r="A69" s="240" t="s">
        <v>76</v>
      </c>
      <c r="B69" s="240" t="s">
        <v>1489</v>
      </c>
      <c r="C69" s="239" t="s">
        <v>1379</v>
      </c>
      <c r="D69" s="241" t="s">
        <v>1368</v>
      </c>
      <c r="E69" s="241"/>
      <c r="F69" s="247" t="s">
        <v>43</v>
      </c>
      <c r="G69" s="246"/>
      <c r="H69" s="243" t="s">
        <v>1371</v>
      </c>
      <c r="I69" s="244"/>
      <c r="J69" s="244" t="s">
        <v>1376</v>
      </c>
      <c r="K69" s="244"/>
      <c r="L69" s="244" t="s">
        <v>43</v>
      </c>
      <c r="M69" s="244"/>
      <c r="N69" s="244" t="s">
        <v>45</v>
      </c>
      <c r="O69" s="244"/>
      <c r="P69" s="244" t="str">
        <f t="shared" si="1"/>
        <v>Yes</v>
      </c>
      <c r="Q69" s="244"/>
      <c r="R69" s="244"/>
      <c r="S69" s="244" t="s">
        <v>43</v>
      </c>
      <c r="T69" s="244"/>
      <c r="U69" s="244" t="s">
        <v>43</v>
      </c>
      <c r="V69" s="244"/>
      <c r="W69" s="244" t="s">
        <v>43</v>
      </c>
      <c r="X69" s="244"/>
      <c r="Y69" s="244" t="s">
        <v>45</v>
      </c>
      <c r="Z69" s="244"/>
      <c r="AA69" s="26" t="str">
        <f t="shared" si="0"/>
        <v>Yes</v>
      </c>
    </row>
    <row r="70" spans="1:27" s="239" customFormat="1" ht="12.75" x14ac:dyDescent="0.2">
      <c r="A70" s="240"/>
      <c r="B70" s="240" t="s">
        <v>1490</v>
      </c>
      <c r="C70" s="239" t="s">
        <v>1386</v>
      </c>
      <c r="D70" s="241" t="s">
        <v>1368</v>
      </c>
      <c r="E70" s="241"/>
      <c r="F70" s="247" t="s">
        <v>43</v>
      </c>
      <c r="G70" s="246"/>
      <c r="H70" s="243" t="s">
        <v>1371</v>
      </c>
      <c r="I70" s="244"/>
      <c r="J70" s="244" t="s">
        <v>1376</v>
      </c>
      <c r="K70" s="244"/>
      <c r="L70" s="244" t="s">
        <v>45</v>
      </c>
      <c r="M70" s="244"/>
      <c r="N70" s="244" t="s">
        <v>45</v>
      </c>
      <c r="O70" s="244"/>
      <c r="P70" s="244" t="str">
        <f t="shared" si="1"/>
        <v>Yes</v>
      </c>
      <c r="Q70" s="244"/>
      <c r="R70" s="244"/>
      <c r="S70" s="244" t="s">
        <v>45</v>
      </c>
      <c r="T70" s="244"/>
      <c r="U70" s="244" t="s">
        <v>45</v>
      </c>
      <c r="V70" s="244"/>
      <c r="W70" s="244" t="s">
        <v>43</v>
      </c>
      <c r="X70" s="244"/>
      <c r="Y70" s="244" t="s">
        <v>43</v>
      </c>
      <c r="Z70" s="244"/>
      <c r="AA70" s="26" t="str">
        <f t="shared" si="0"/>
        <v>Yes</v>
      </c>
    </row>
    <row r="71" spans="1:27" ht="12.75" x14ac:dyDescent="0.2">
      <c r="A71" s="255" t="s">
        <v>78</v>
      </c>
      <c r="B71" s="255" t="s">
        <v>1491</v>
      </c>
      <c r="C71" s="255" t="s">
        <v>1367</v>
      </c>
      <c r="D71" s="66" t="s">
        <v>1368</v>
      </c>
      <c r="E71" s="66"/>
      <c r="F71" s="247" t="s">
        <v>43</v>
      </c>
      <c r="G71" s="246"/>
      <c r="H71" s="243" t="s">
        <v>1369</v>
      </c>
      <c r="I71" s="244"/>
      <c r="J71" s="244" t="s">
        <v>45</v>
      </c>
      <c r="K71" s="26"/>
      <c r="L71" s="26" t="s">
        <v>45</v>
      </c>
      <c r="M71" s="26"/>
      <c r="N71" s="26" t="s">
        <v>45</v>
      </c>
      <c r="O71" s="26"/>
      <c r="P71" s="26" t="str">
        <f t="shared" si="1"/>
        <v>No</v>
      </c>
      <c r="Q71" s="26"/>
      <c r="R71" s="26"/>
      <c r="S71" s="26" t="s">
        <v>45</v>
      </c>
      <c r="T71" s="26"/>
      <c r="U71" s="26" t="s">
        <v>43</v>
      </c>
      <c r="V71" s="26"/>
      <c r="W71" s="26" t="s">
        <v>45</v>
      </c>
      <c r="X71" s="26"/>
      <c r="Y71" s="26" t="s">
        <v>43</v>
      </c>
      <c r="Z71" s="26"/>
      <c r="AA71" s="26" t="str">
        <f t="shared" si="0"/>
        <v>Yes</v>
      </c>
    </row>
    <row r="72" spans="1:27" ht="12.75" x14ac:dyDescent="0.2">
      <c r="B72" s="255" t="s">
        <v>1491</v>
      </c>
      <c r="C72" s="255" t="s">
        <v>1407</v>
      </c>
      <c r="D72" s="66" t="s">
        <v>1368</v>
      </c>
      <c r="E72" s="66"/>
      <c r="F72" s="242" t="s">
        <v>43</v>
      </c>
      <c r="G72" s="246"/>
      <c r="H72" s="243" t="s">
        <v>1369</v>
      </c>
      <c r="I72" s="244"/>
      <c r="J72" s="244" t="s">
        <v>45</v>
      </c>
      <c r="K72" s="26"/>
      <c r="L72" s="26" t="s">
        <v>45</v>
      </c>
      <c r="M72" s="26"/>
      <c r="N72" s="26" t="s">
        <v>45</v>
      </c>
      <c r="O72" s="26"/>
      <c r="P72" s="26" t="str">
        <f t="shared" si="1"/>
        <v>No</v>
      </c>
      <c r="Q72" s="26"/>
      <c r="R72" s="26"/>
      <c r="S72" s="26" t="s">
        <v>43</v>
      </c>
      <c r="T72" s="26"/>
      <c r="U72" s="26" t="s">
        <v>43</v>
      </c>
      <c r="V72" s="26"/>
      <c r="W72" s="26" t="s">
        <v>43</v>
      </c>
      <c r="X72" s="26"/>
      <c r="Y72" s="26" t="s">
        <v>43</v>
      </c>
      <c r="Z72" s="26"/>
      <c r="AA72" s="26" t="str">
        <f t="shared" si="0"/>
        <v>Yes</v>
      </c>
    </row>
    <row r="73" spans="1:27" ht="12.75" x14ac:dyDescent="0.2">
      <c r="B73" s="255" t="s">
        <v>1491</v>
      </c>
      <c r="C73" s="255" t="s">
        <v>1402</v>
      </c>
      <c r="D73" s="66" t="s">
        <v>1368</v>
      </c>
      <c r="E73" s="66"/>
      <c r="F73" s="242" t="s">
        <v>43</v>
      </c>
      <c r="G73" s="246"/>
      <c r="H73" s="243" t="s">
        <v>1371</v>
      </c>
      <c r="I73" s="244"/>
      <c r="J73" s="244" t="s">
        <v>45</v>
      </c>
      <c r="K73" s="26"/>
      <c r="L73" s="26" t="s">
        <v>45</v>
      </c>
      <c r="M73" s="26"/>
      <c r="N73" s="26" t="s">
        <v>45</v>
      </c>
      <c r="O73" s="26"/>
      <c r="P73" s="26" t="str">
        <f t="shared" si="1"/>
        <v>No</v>
      </c>
      <c r="Q73" s="26"/>
      <c r="R73" s="26"/>
      <c r="S73" s="26" t="s">
        <v>43</v>
      </c>
      <c r="T73" s="26"/>
      <c r="U73" s="26" t="s">
        <v>45</v>
      </c>
      <c r="V73" s="26"/>
      <c r="W73" s="26" t="s">
        <v>43</v>
      </c>
      <c r="X73" s="26"/>
      <c r="Y73" s="26" t="s">
        <v>43</v>
      </c>
      <c r="Z73" s="26"/>
      <c r="AA73" s="26" t="str">
        <f t="shared" si="0"/>
        <v>Yes</v>
      </c>
    </row>
    <row r="74" spans="1:27" ht="12.75" x14ac:dyDescent="0.2">
      <c r="A74" s="255" t="s">
        <v>80</v>
      </c>
      <c r="B74" s="255" t="s">
        <v>1471</v>
      </c>
      <c r="C74" s="255" t="s">
        <v>1393</v>
      </c>
      <c r="D74" s="66" t="s">
        <v>1368</v>
      </c>
      <c r="E74" s="66"/>
      <c r="F74" s="242" t="s">
        <v>1378</v>
      </c>
      <c r="G74" s="246"/>
      <c r="H74" s="243" t="s">
        <v>1369</v>
      </c>
      <c r="I74" s="244"/>
      <c r="J74" s="244" t="s">
        <v>45</v>
      </c>
      <c r="K74" s="26"/>
      <c r="L74" s="26" t="s">
        <v>45</v>
      </c>
      <c r="M74" s="26"/>
      <c r="N74" s="26" t="s">
        <v>45</v>
      </c>
      <c r="O74" s="26"/>
      <c r="P74" s="26" t="str">
        <f t="shared" si="1"/>
        <v>No</v>
      </c>
      <c r="Q74" s="26"/>
      <c r="R74" s="26"/>
      <c r="S74" s="26" t="s">
        <v>43</v>
      </c>
      <c r="T74" s="26"/>
      <c r="U74" s="26" t="s">
        <v>43</v>
      </c>
      <c r="V74" s="26"/>
      <c r="W74" s="26" t="s">
        <v>45</v>
      </c>
      <c r="X74" s="26"/>
      <c r="Y74" s="26" t="s">
        <v>43</v>
      </c>
      <c r="Z74" s="26"/>
      <c r="AA74" s="26" t="str">
        <f t="shared" si="0"/>
        <v>Yes</v>
      </c>
    </row>
    <row r="75" spans="1:27" ht="12.75" x14ac:dyDescent="0.2">
      <c r="A75" s="255" t="s">
        <v>83</v>
      </c>
      <c r="B75" s="255" t="s">
        <v>1477</v>
      </c>
      <c r="C75" s="255" t="s">
        <v>1404</v>
      </c>
      <c r="D75" s="66" t="s">
        <v>1368</v>
      </c>
      <c r="E75" s="66"/>
      <c r="F75" s="242" t="s">
        <v>43</v>
      </c>
      <c r="G75" s="242"/>
      <c r="H75" s="243" t="s">
        <v>1369</v>
      </c>
      <c r="I75" s="244"/>
      <c r="J75" s="244" t="s">
        <v>45</v>
      </c>
      <c r="K75" s="26"/>
      <c r="L75" s="26" t="s">
        <v>43</v>
      </c>
      <c r="M75" s="26"/>
      <c r="N75" s="26" t="s">
        <v>45</v>
      </c>
      <c r="O75" s="26"/>
      <c r="P75" s="26" t="str">
        <f t="shared" si="1"/>
        <v>Yes</v>
      </c>
      <c r="Q75" s="26"/>
      <c r="R75" s="26"/>
      <c r="S75" s="26" t="s">
        <v>43</v>
      </c>
      <c r="T75" s="26"/>
      <c r="U75" s="26" t="s">
        <v>43</v>
      </c>
      <c r="V75" s="26"/>
      <c r="W75" s="26" t="s">
        <v>45</v>
      </c>
      <c r="X75" s="26"/>
      <c r="Y75" s="26" t="s">
        <v>43</v>
      </c>
      <c r="Z75" s="26"/>
      <c r="AA75" s="26" t="str">
        <f t="shared" si="0"/>
        <v>Yes</v>
      </c>
    </row>
    <row r="76" spans="1:27" ht="12.75" x14ac:dyDescent="0.2">
      <c r="B76" s="255" t="s">
        <v>1482</v>
      </c>
      <c r="C76" s="255" t="s">
        <v>1405</v>
      </c>
      <c r="D76" s="66" t="s">
        <v>1368</v>
      </c>
      <c r="E76" s="66"/>
      <c r="F76" s="242" t="s">
        <v>43</v>
      </c>
      <c r="G76" s="242"/>
      <c r="H76" s="243" t="s">
        <v>1369</v>
      </c>
      <c r="I76" s="244"/>
      <c r="J76" s="244" t="s">
        <v>45</v>
      </c>
      <c r="K76" s="26"/>
      <c r="L76" s="26" t="s">
        <v>43</v>
      </c>
      <c r="M76" s="26"/>
      <c r="N76" s="26" t="s">
        <v>45</v>
      </c>
      <c r="O76" s="26"/>
      <c r="P76" s="26" t="str">
        <f t="shared" si="1"/>
        <v>Yes</v>
      </c>
      <c r="Q76" s="26"/>
      <c r="R76" s="26"/>
      <c r="S76" s="26" t="s">
        <v>43</v>
      </c>
      <c r="T76" s="26"/>
      <c r="U76" s="26" t="s">
        <v>45</v>
      </c>
      <c r="V76" s="26"/>
      <c r="W76" s="26" t="s">
        <v>45</v>
      </c>
      <c r="X76" s="26"/>
      <c r="Y76" s="26" t="s">
        <v>43</v>
      </c>
      <c r="Z76" s="26"/>
      <c r="AA76" s="26" t="str">
        <f t="shared" si="0"/>
        <v>Yes</v>
      </c>
    </row>
    <row r="77" spans="1:27" ht="12.75" x14ac:dyDescent="0.2">
      <c r="B77" s="255" t="s">
        <v>1483</v>
      </c>
      <c r="C77" s="255" t="s">
        <v>1405</v>
      </c>
      <c r="D77" s="66" t="s">
        <v>1372</v>
      </c>
      <c r="E77" s="66"/>
      <c r="F77" s="242" t="s">
        <v>1375</v>
      </c>
      <c r="G77" s="242"/>
      <c r="H77" s="243" t="s">
        <v>1369</v>
      </c>
      <c r="I77" s="244"/>
      <c r="J77" s="244" t="s">
        <v>45</v>
      </c>
      <c r="K77" s="26"/>
      <c r="L77" s="26" t="s">
        <v>43</v>
      </c>
      <c r="M77" s="26"/>
      <c r="N77" s="26" t="s">
        <v>43</v>
      </c>
      <c r="O77" s="26"/>
      <c r="P77" s="26" t="str">
        <f t="shared" si="1"/>
        <v>Yes</v>
      </c>
      <c r="Q77" s="26"/>
      <c r="R77" s="26"/>
      <c r="S77" s="26" t="s">
        <v>45</v>
      </c>
      <c r="T77" s="26"/>
      <c r="U77" s="26" t="s">
        <v>45</v>
      </c>
      <c r="V77" s="26"/>
      <c r="W77" s="26" t="s">
        <v>43</v>
      </c>
      <c r="X77" s="26"/>
      <c r="Y77" s="26" t="s">
        <v>43</v>
      </c>
      <c r="Z77" s="26"/>
      <c r="AA77" s="26" t="str">
        <f t="shared" si="0"/>
        <v>Yes</v>
      </c>
    </row>
    <row r="78" spans="1:27" ht="12.75" x14ac:dyDescent="0.2">
      <c r="B78" s="255" t="s">
        <v>1478</v>
      </c>
      <c r="C78" s="255" t="s">
        <v>1374</v>
      </c>
      <c r="D78" s="66" t="s">
        <v>1372</v>
      </c>
      <c r="E78" s="66"/>
      <c r="F78" s="242" t="s">
        <v>43</v>
      </c>
      <c r="G78" s="242"/>
      <c r="H78" s="243" t="s">
        <v>1369</v>
      </c>
      <c r="I78" s="244"/>
      <c r="J78" s="244" t="s">
        <v>1376</v>
      </c>
      <c r="K78" s="26"/>
      <c r="L78" s="26" t="s">
        <v>45</v>
      </c>
      <c r="M78" s="26"/>
      <c r="N78" s="26" t="s">
        <v>45</v>
      </c>
      <c r="O78" s="26"/>
      <c r="P78" s="26" t="str">
        <f t="shared" si="1"/>
        <v>Yes</v>
      </c>
      <c r="Q78" s="26"/>
      <c r="R78" s="26"/>
      <c r="S78" s="26" t="s">
        <v>45</v>
      </c>
      <c r="T78" s="26"/>
      <c r="U78" s="26" t="s">
        <v>45</v>
      </c>
      <c r="V78" s="26"/>
      <c r="W78" s="26" t="s">
        <v>43</v>
      </c>
      <c r="X78" s="26"/>
      <c r="Y78" s="26" t="s">
        <v>43</v>
      </c>
      <c r="Z78" s="26"/>
      <c r="AA78" s="26" t="str">
        <f t="shared" si="0"/>
        <v>Yes</v>
      </c>
    </row>
    <row r="79" spans="1:27" ht="12.75" x14ac:dyDescent="0.2">
      <c r="B79" s="255" t="s">
        <v>1479</v>
      </c>
      <c r="C79" s="255" t="s">
        <v>1397</v>
      </c>
      <c r="D79" s="66" t="s">
        <v>1368</v>
      </c>
      <c r="E79" s="66"/>
      <c r="F79" s="242" t="s">
        <v>43</v>
      </c>
      <c r="G79" s="242"/>
      <c r="H79" s="243" t="s">
        <v>1369</v>
      </c>
      <c r="I79" s="244"/>
      <c r="J79" s="244" t="s">
        <v>1376</v>
      </c>
      <c r="K79" s="26"/>
      <c r="L79" s="26" t="s">
        <v>43</v>
      </c>
      <c r="M79" s="26"/>
      <c r="N79" s="26" t="s">
        <v>45</v>
      </c>
      <c r="O79" s="26"/>
      <c r="P79" s="26" t="str">
        <f t="shared" si="1"/>
        <v>Yes</v>
      </c>
      <c r="Q79" s="26"/>
      <c r="R79" s="26"/>
      <c r="S79" s="26" t="s">
        <v>45</v>
      </c>
      <c r="T79" s="26"/>
      <c r="U79" s="26" t="s">
        <v>45</v>
      </c>
      <c r="V79" s="26"/>
      <c r="W79" s="26" t="s">
        <v>45</v>
      </c>
      <c r="X79" s="26"/>
      <c r="Y79" s="26" t="s">
        <v>43</v>
      </c>
      <c r="Z79" s="26"/>
      <c r="AA79" s="26" t="str">
        <f t="shared" si="0"/>
        <v>Yes</v>
      </c>
    </row>
    <row r="80" spans="1:27" ht="12.75" x14ac:dyDescent="0.2">
      <c r="B80" s="255" t="s">
        <v>1480</v>
      </c>
      <c r="C80" s="255" t="s">
        <v>1387</v>
      </c>
      <c r="D80" s="66" t="s">
        <v>1372</v>
      </c>
      <c r="E80" s="66"/>
      <c r="F80" s="242" t="s">
        <v>43</v>
      </c>
      <c r="G80" s="242"/>
      <c r="H80" s="243" t="s">
        <v>1369</v>
      </c>
      <c r="I80" s="244"/>
      <c r="J80" s="244" t="s">
        <v>1392</v>
      </c>
      <c r="K80" s="26"/>
      <c r="L80" s="26" t="s">
        <v>43</v>
      </c>
      <c r="M80" s="26"/>
      <c r="N80" s="26" t="s">
        <v>45</v>
      </c>
      <c r="O80" s="26"/>
      <c r="P80" s="26" t="str">
        <f t="shared" si="1"/>
        <v>Yes</v>
      </c>
      <c r="Q80" s="26"/>
      <c r="R80" s="26"/>
      <c r="S80" s="26" t="s">
        <v>45</v>
      </c>
      <c r="T80" s="26"/>
      <c r="U80" s="26" t="s">
        <v>45</v>
      </c>
      <c r="V80" s="26"/>
      <c r="W80" s="26" t="s">
        <v>45</v>
      </c>
      <c r="X80" s="26"/>
      <c r="Y80" s="26" t="s">
        <v>45</v>
      </c>
      <c r="Z80" s="26"/>
      <c r="AA80" s="26" t="str">
        <f t="shared" ref="AA80:AA92" si="2">IF(AND(S80="No",U80="No",W80="No",Y80="No"),"No","Yes")</f>
        <v>No</v>
      </c>
    </row>
    <row r="81" spans="1:27" ht="12.75" x14ac:dyDescent="0.2">
      <c r="B81" s="255" t="s">
        <v>1481</v>
      </c>
      <c r="C81" s="255" t="s">
        <v>1389</v>
      </c>
      <c r="D81" s="66" t="s">
        <v>1372</v>
      </c>
      <c r="E81" s="66"/>
      <c r="F81" s="242" t="s">
        <v>43</v>
      </c>
      <c r="G81" s="242"/>
      <c r="H81" s="243" t="s">
        <v>1371</v>
      </c>
      <c r="I81" s="244"/>
      <c r="J81" s="244" t="s">
        <v>1376</v>
      </c>
      <c r="K81" s="26"/>
      <c r="L81" s="26" t="s">
        <v>45</v>
      </c>
      <c r="M81" s="26"/>
      <c r="N81" s="26" t="s">
        <v>45</v>
      </c>
      <c r="O81" s="26"/>
      <c r="P81" s="26" t="str">
        <f t="shared" ref="P81:P92" si="3">IF(AND(J81="No",L81="No",N81="No"),"No","Yes")</f>
        <v>Yes</v>
      </c>
      <c r="Q81" s="26"/>
      <c r="R81" s="26"/>
      <c r="S81" s="26" t="s">
        <v>45</v>
      </c>
      <c r="T81" s="26"/>
      <c r="U81" s="26" t="s">
        <v>45</v>
      </c>
      <c r="V81" s="26"/>
      <c r="W81" s="26" t="s">
        <v>43</v>
      </c>
      <c r="X81" s="26"/>
      <c r="Y81" s="26" t="s">
        <v>45</v>
      </c>
      <c r="Z81" s="26"/>
      <c r="AA81" s="26" t="str">
        <f t="shared" si="2"/>
        <v>Yes</v>
      </c>
    </row>
    <row r="82" spans="1:27" ht="12.75" x14ac:dyDescent="0.2">
      <c r="A82" s="255" t="s">
        <v>86</v>
      </c>
      <c r="B82" s="255" t="s">
        <v>1472</v>
      </c>
      <c r="C82" s="255" t="s">
        <v>1406</v>
      </c>
      <c r="D82" s="66" t="s">
        <v>1368</v>
      </c>
      <c r="E82" s="66"/>
      <c r="F82" s="242" t="s">
        <v>43</v>
      </c>
      <c r="G82" s="242"/>
      <c r="H82" s="243" t="s">
        <v>1371</v>
      </c>
      <c r="I82" s="244"/>
      <c r="J82" s="244" t="s">
        <v>1376</v>
      </c>
      <c r="K82" s="26"/>
      <c r="L82" s="26" t="s">
        <v>45</v>
      </c>
      <c r="M82" s="26"/>
      <c r="N82" s="26" t="s">
        <v>45</v>
      </c>
      <c r="O82" s="26"/>
      <c r="P82" s="26" t="str">
        <f t="shared" si="3"/>
        <v>Yes</v>
      </c>
      <c r="Q82" s="26"/>
      <c r="R82" s="26"/>
      <c r="S82" s="26" t="s">
        <v>45</v>
      </c>
      <c r="T82" s="26"/>
      <c r="U82" s="26" t="s">
        <v>43</v>
      </c>
      <c r="V82" s="26"/>
      <c r="W82" s="26" t="s">
        <v>45</v>
      </c>
      <c r="X82" s="26"/>
      <c r="Y82" s="26" t="s">
        <v>45</v>
      </c>
      <c r="Z82" s="26"/>
      <c r="AA82" s="26" t="str">
        <f t="shared" si="2"/>
        <v>Yes</v>
      </c>
    </row>
    <row r="83" spans="1:27" ht="12.75" x14ac:dyDescent="0.2">
      <c r="B83" s="255" t="s">
        <v>1472</v>
      </c>
      <c r="C83" s="255" t="s">
        <v>1406</v>
      </c>
      <c r="D83" s="66" t="s">
        <v>1372</v>
      </c>
      <c r="E83" s="66"/>
      <c r="F83" s="242" t="s">
        <v>43</v>
      </c>
      <c r="G83" s="242"/>
      <c r="H83" s="243" t="s">
        <v>1371</v>
      </c>
      <c r="I83" s="244"/>
      <c r="J83" s="244" t="s">
        <v>1376</v>
      </c>
      <c r="K83" s="26"/>
      <c r="L83" s="26" t="s">
        <v>45</v>
      </c>
      <c r="M83" s="26"/>
      <c r="N83" s="26" t="s">
        <v>45</v>
      </c>
      <c r="O83" s="26"/>
      <c r="P83" s="26" t="str">
        <f t="shared" si="3"/>
        <v>Yes</v>
      </c>
      <c r="Q83" s="26"/>
      <c r="R83" s="26"/>
      <c r="S83" s="26" t="s">
        <v>45</v>
      </c>
      <c r="T83" s="26"/>
      <c r="U83" s="26" t="s">
        <v>45</v>
      </c>
      <c r="V83" s="26"/>
      <c r="W83" s="26" t="s">
        <v>43</v>
      </c>
      <c r="X83" s="26"/>
      <c r="Y83" s="26" t="s">
        <v>45</v>
      </c>
      <c r="Z83" s="26"/>
      <c r="AA83" s="26" t="str">
        <f t="shared" si="2"/>
        <v>Yes</v>
      </c>
    </row>
    <row r="84" spans="1:27" ht="12.75" x14ac:dyDescent="0.2">
      <c r="B84" s="255" t="s">
        <v>1473</v>
      </c>
      <c r="C84" s="255" t="s">
        <v>1367</v>
      </c>
      <c r="D84" s="66" t="s">
        <v>1368</v>
      </c>
      <c r="E84" s="66"/>
      <c r="F84" s="242" t="s">
        <v>43</v>
      </c>
      <c r="G84" s="242"/>
      <c r="H84" s="243" t="s">
        <v>1369</v>
      </c>
      <c r="I84" s="244"/>
      <c r="J84" s="244" t="s">
        <v>1376</v>
      </c>
      <c r="K84" s="26"/>
      <c r="L84" s="26" t="s">
        <v>43</v>
      </c>
      <c r="M84" s="26"/>
      <c r="N84" s="26" t="s">
        <v>45</v>
      </c>
      <c r="O84" s="26"/>
      <c r="P84" s="26" t="str">
        <f t="shared" si="3"/>
        <v>Yes</v>
      </c>
      <c r="Q84" s="26"/>
      <c r="R84" s="26"/>
      <c r="S84" s="26" t="s">
        <v>45</v>
      </c>
      <c r="T84" s="26"/>
      <c r="U84" s="26" t="s">
        <v>43</v>
      </c>
      <c r="V84" s="26"/>
      <c r="W84" s="26" t="s">
        <v>45</v>
      </c>
      <c r="X84" s="26"/>
      <c r="Y84" s="26" t="s">
        <v>43</v>
      </c>
      <c r="Z84" s="26"/>
      <c r="AA84" s="26" t="str">
        <f t="shared" si="2"/>
        <v>Yes</v>
      </c>
    </row>
    <row r="85" spans="1:27" ht="12.75" x14ac:dyDescent="0.2">
      <c r="B85" s="255" t="s">
        <v>1473</v>
      </c>
      <c r="C85" s="255" t="s">
        <v>1367</v>
      </c>
      <c r="D85" s="66" t="s">
        <v>1372</v>
      </c>
      <c r="E85" s="66"/>
      <c r="F85" s="242" t="s">
        <v>43</v>
      </c>
      <c r="G85" s="242"/>
      <c r="H85" s="243" t="s">
        <v>1369</v>
      </c>
      <c r="I85" s="244"/>
      <c r="J85" s="244" t="s">
        <v>45</v>
      </c>
      <c r="K85" s="26"/>
      <c r="L85" s="26" t="s">
        <v>45</v>
      </c>
      <c r="M85" s="26"/>
      <c r="N85" s="26" t="s">
        <v>45</v>
      </c>
      <c r="O85" s="26"/>
      <c r="P85" s="26" t="str">
        <f t="shared" si="3"/>
        <v>No</v>
      </c>
      <c r="Q85" s="26"/>
      <c r="R85" s="26"/>
      <c r="S85" s="26" t="s">
        <v>45</v>
      </c>
      <c r="T85" s="26"/>
      <c r="U85" s="26" t="s">
        <v>45</v>
      </c>
      <c r="V85" s="26"/>
      <c r="W85" s="26" t="s">
        <v>43</v>
      </c>
      <c r="X85" s="26"/>
      <c r="Y85" s="26" t="s">
        <v>45</v>
      </c>
      <c r="Z85" s="26"/>
      <c r="AA85" s="26" t="str">
        <f t="shared" si="2"/>
        <v>Yes</v>
      </c>
    </row>
    <row r="86" spans="1:27" ht="12.75" x14ac:dyDescent="0.2">
      <c r="B86" s="255" t="s">
        <v>1474</v>
      </c>
      <c r="C86" s="255" t="s">
        <v>1403</v>
      </c>
      <c r="D86" s="66" t="s">
        <v>1368</v>
      </c>
      <c r="E86" s="66"/>
      <c r="F86" s="242" t="s">
        <v>43</v>
      </c>
      <c r="G86" s="242"/>
      <c r="H86" s="243" t="s">
        <v>1371</v>
      </c>
      <c r="I86" s="244"/>
      <c r="J86" s="244" t="s">
        <v>45</v>
      </c>
      <c r="K86" s="26"/>
      <c r="L86" s="26" t="s">
        <v>45</v>
      </c>
      <c r="M86" s="26"/>
      <c r="N86" s="26" t="s">
        <v>45</v>
      </c>
      <c r="O86" s="26"/>
      <c r="P86" s="26" t="str">
        <f t="shared" si="3"/>
        <v>No</v>
      </c>
      <c r="Q86" s="26"/>
      <c r="R86" s="26"/>
      <c r="S86" s="26" t="s">
        <v>45</v>
      </c>
      <c r="T86" s="26"/>
      <c r="U86" s="26" t="s">
        <v>43</v>
      </c>
      <c r="V86" s="26"/>
      <c r="W86" s="26" t="s">
        <v>45</v>
      </c>
      <c r="X86" s="26"/>
      <c r="Y86" s="26" t="s">
        <v>45</v>
      </c>
      <c r="Z86" s="26"/>
      <c r="AA86" s="26" t="str">
        <f t="shared" si="2"/>
        <v>Yes</v>
      </c>
    </row>
    <row r="87" spans="1:27" ht="12.75" x14ac:dyDescent="0.2">
      <c r="B87" s="255" t="s">
        <v>1473</v>
      </c>
      <c r="C87" s="255" t="s">
        <v>1407</v>
      </c>
      <c r="D87" s="66" t="s">
        <v>1368</v>
      </c>
      <c r="E87" s="66"/>
      <c r="F87" s="242" t="s">
        <v>43</v>
      </c>
      <c r="G87" s="242"/>
      <c r="H87" s="243" t="s">
        <v>1369</v>
      </c>
      <c r="I87" s="244"/>
      <c r="J87" s="244" t="s">
        <v>45</v>
      </c>
      <c r="K87" s="26"/>
      <c r="L87" s="26" t="s">
        <v>45</v>
      </c>
      <c r="M87" s="26"/>
      <c r="N87" s="26" t="s">
        <v>45</v>
      </c>
      <c r="O87" s="26"/>
      <c r="P87" s="26" t="str">
        <f t="shared" si="3"/>
        <v>No</v>
      </c>
      <c r="Q87" s="26"/>
      <c r="R87" s="26"/>
      <c r="S87" s="26" t="s">
        <v>45</v>
      </c>
      <c r="T87" s="26"/>
      <c r="U87" s="26" t="s">
        <v>43</v>
      </c>
      <c r="V87" s="26"/>
      <c r="W87" s="26" t="s">
        <v>43</v>
      </c>
      <c r="X87" s="26"/>
      <c r="Y87" s="26" t="s">
        <v>45</v>
      </c>
      <c r="Z87" s="26"/>
      <c r="AA87" s="26" t="str">
        <f t="shared" si="2"/>
        <v>Yes</v>
      </c>
    </row>
    <row r="88" spans="1:27" ht="12.75" x14ac:dyDescent="0.2">
      <c r="B88" s="255" t="s">
        <v>1473</v>
      </c>
      <c r="C88" s="255" t="s">
        <v>1407</v>
      </c>
      <c r="D88" s="66" t="s">
        <v>1372</v>
      </c>
      <c r="E88" s="66"/>
      <c r="F88" s="242" t="s">
        <v>43</v>
      </c>
      <c r="G88" s="242"/>
      <c r="H88" s="243" t="s">
        <v>1369</v>
      </c>
      <c r="I88" s="244"/>
      <c r="J88" s="244" t="s">
        <v>45</v>
      </c>
      <c r="K88" s="26"/>
      <c r="L88" s="26" t="s">
        <v>45</v>
      </c>
      <c r="M88" s="26"/>
      <c r="N88" s="26" t="s">
        <v>43</v>
      </c>
      <c r="O88" s="26"/>
      <c r="P88" s="26" t="str">
        <f t="shared" si="3"/>
        <v>Yes</v>
      </c>
      <c r="Q88" s="26"/>
      <c r="R88" s="26"/>
      <c r="S88" s="26" t="s">
        <v>45</v>
      </c>
      <c r="T88" s="26"/>
      <c r="U88" s="26" t="s">
        <v>45</v>
      </c>
      <c r="V88" s="26"/>
      <c r="W88" s="26" t="s">
        <v>45</v>
      </c>
      <c r="X88" s="26"/>
      <c r="Y88" s="26" t="s">
        <v>45</v>
      </c>
      <c r="Z88" s="26"/>
      <c r="AA88" s="26" t="str">
        <f t="shared" si="2"/>
        <v>No</v>
      </c>
    </row>
    <row r="89" spans="1:27" ht="12.75" x14ac:dyDescent="0.2">
      <c r="B89" s="255" t="s">
        <v>1473</v>
      </c>
      <c r="C89" s="255" t="s">
        <v>1402</v>
      </c>
      <c r="D89" s="66" t="s">
        <v>1368</v>
      </c>
      <c r="E89" s="66"/>
      <c r="F89" s="242" t="s">
        <v>43</v>
      </c>
      <c r="G89" s="242"/>
      <c r="H89" s="243" t="s">
        <v>1371</v>
      </c>
      <c r="I89" s="244"/>
      <c r="J89" s="244" t="s">
        <v>1376</v>
      </c>
      <c r="K89" s="26"/>
      <c r="L89" s="26" t="s">
        <v>45</v>
      </c>
      <c r="M89" s="26"/>
      <c r="N89" s="26" t="s">
        <v>45</v>
      </c>
      <c r="O89" s="26"/>
      <c r="P89" s="26" t="str">
        <f t="shared" si="3"/>
        <v>Yes</v>
      </c>
      <c r="Q89" s="26"/>
      <c r="R89" s="26"/>
      <c r="S89" s="26" t="s">
        <v>43</v>
      </c>
      <c r="T89" s="26"/>
      <c r="U89" s="26" t="s">
        <v>45</v>
      </c>
      <c r="V89" s="26"/>
      <c r="W89" s="26" t="s">
        <v>43</v>
      </c>
      <c r="X89" s="26"/>
      <c r="Y89" s="26" t="s">
        <v>43</v>
      </c>
      <c r="Z89" s="26"/>
      <c r="AA89" s="26" t="str">
        <f t="shared" si="2"/>
        <v>Yes</v>
      </c>
    </row>
    <row r="90" spans="1:27" ht="12.75" x14ac:dyDescent="0.2">
      <c r="B90" s="255" t="s">
        <v>1475</v>
      </c>
      <c r="C90" s="255" t="s">
        <v>1388</v>
      </c>
      <c r="D90" s="66" t="s">
        <v>1368</v>
      </c>
      <c r="E90" s="66"/>
      <c r="F90" s="242" t="s">
        <v>43</v>
      </c>
      <c r="G90" s="242"/>
      <c r="H90" s="243" t="s">
        <v>1371</v>
      </c>
      <c r="I90" s="244"/>
      <c r="J90" s="244" t="s">
        <v>45</v>
      </c>
      <c r="K90" s="26"/>
      <c r="L90" s="26" t="s">
        <v>45</v>
      </c>
      <c r="M90" s="26"/>
      <c r="N90" s="26" t="s">
        <v>45</v>
      </c>
      <c r="O90" s="26"/>
      <c r="P90" s="26" t="str">
        <f t="shared" si="3"/>
        <v>No</v>
      </c>
      <c r="Q90" s="26"/>
      <c r="R90" s="26"/>
      <c r="S90" s="26" t="s">
        <v>45</v>
      </c>
      <c r="T90" s="26"/>
      <c r="U90" s="26" t="s">
        <v>45</v>
      </c>
      <c r="V90" s="26"/>
      <c r="W90" s="26" t="s">
        <v>45</v>
      </c>
      <c r="X90" s="26"/>
      <c r="Y90" s="26" t="s">
        <v>45</v>
      </c>
      <c r="Z90" s="26"/>
      <c r="AA90" s="26" t="str">
        <f t="shared" si="2"/>
        <v>No</v>
      </c>
    </row>
    <row r="91" spans="1:27" ht="12.75" x14ac:dyDescent="0.2">
      <c r="B91" s="255" t="s">
        <v>1476</v>
      </c>
      <c r="C91" s="255" t="s">
        <v>1373</v>
      </c>
      <c r="D91" s="66" t="s">
        <v>1368</v>
      </c>
      <c r="E91" s="66"/>
      <c r="F91" s="242" t="s">
        <v>43</v>
      </c>
      <c r="G91" s="242"/>
      <c r="H91" s="243" t="s">
        <v>1369</v>
      </c>
      <c r="I91" s="244"/>
      <c r="J91" s="244" t="s">
        <v>45</v>
      </c>
      <c r="K91" s="26"/>
      <c r="L91" s="26" t="s">
        <v>45</v>
      </c>
      <c r="M91" s="26"/>
      <c r="N91" s="26" t="s">
        <v>45</v>
      </c>
      <c r="O91" s="26"/>
      <c r="P91" s="26" t="str">
        <f t="shared" si="3"/>
        <v>No</v>
      </c>
      <c r="Q91" s="26"/>
      <c r="R91" s="26"/>
      <c r="S91" s="26" t="s">
        <v>45</v>
      </c>
      <c r="T91" s="26"/>
      <c r="U91" s="26" t="s">
        <v>45</v>
      </c>
      <c r="V91" s="26"/>
      <c r="W91" s="26" t="s">
        <v>45</v>
      </c>
      <c r="X91" s="26"/>
      <c r="Y91" s="26" t="s">
        <v>45</v>
      </c>
      <c r="Z91" s="26"/>
      <c r="AA91" s="26" t="str">
        <f t="shared" si="2"/>
        <v>No</v>
      </c>
    </row>
    <row r="92" spans="1:27" ht="12.75" x14ac:dyDescent="0.2">
      <c r="B92" s="255" t="s">
        <v>1476</v>
      </c>
      <c r="C92" s="255" t="s">
        <v>1373</v>
      </c>
      <c r="D92" s="66" t="s">
        <v>1372</v>
      </c>
      <c r="E92" s="66"/>
      <c r="F92" s="242" t="s">
        <v>43</v>
      </c>
      <c r="G92" s="242"/>
      <c r="H92" s="243" t="s">
        <v>1369</v>
      </c>
      <c r="I92" s="244"/>
      <c r="J92" s="244" t="s">
        <v>45</v>
      </c>
      <c r="K92" s="26"/>
      <c r="L92" s="26" t="s">
        <v>45</v>
      </c>
      <c r="M92" s="26"/>
      <c r="N92" s="26" t="s">
        <v>45</v>
      </c>
      <c r="O92" s="26"/>
      <c r="P92" s="26" t="str">
        <f t="shared" si="3"/>
        <v>No</v>
      </c>
      <c r="Q92" s="26"/>
      <c r="R92" s="26"/>
      <c r="S92" s="26" t="s">
        <v>45</v>
      </c>
      <c r="T92" s="26"/>
      <c r="U92" s="26" t="s">
        <v>45</v>
      </c>
      <c r="V92" s="26"/>
      <c r="W92" s="26" t="s">
        <v>45</v>
      </c>
      <c r="X92" s="26"/>
      <c r="Y92" s="26" t="s">
        <v>45</v>
      </c>
      <c r="Z92" s="26"/>
      <c r="AA92" s="26" t="str">
        <f t="shared" si="2"/>
        <v>No</v>
      </c>
    </row>
    <row r="93" spans="1:27" ht="12.75" x14ac:dyDescent="0.2">
      <c r="D93" s="66"/>
      <c r="E93" s="66"/>
      <c r="F93" s="213"/>
      <c r="G93" s="66"/>
      <c r="H93" s="259"/>
      <c r="I93" s="26"/>
      <c r="J93" s="26"/>
      <c r="K93" s="26"/>
      <c r="L93" s="26"/>
      <c r="M93" s="26"/>
      <c r="N93" s="26"/>
      <c r="O93" s="26"/>
      <c r="P93" s="26"/>
      <c r="Q93" s="26"/>
      <c r="R93" s="26"/>
      <c r="S93" s="26"/>
      <c r="T93" s="26"/>
      <c r="U93" s="26"/>
      <c r="V93" s="26"/>
      <c r="W93" s="26"/>
      <c r="X93" s="26"/>
      <c r="Y93" s="26"/>
      <c r="Z93" s="26"/>
      <c r="AA93" s="26"/>
    </row>
    <row r="94" spans="1:27" ht="24.6" customHeight="1" x14ac:dyDescent="0.2">
      <c r="A94" s="260"/>
      <c r="B94" s="260"/>
      <c r="C94" s="260"/>
      <c r="D94" s="261"/>
      <c r="E94" s="262"/>
      <c r="F94" s="263"/>
      <c r="G94" s="262"/>
      <c r="H94" s="264"/>
      <c r="I94" s="326"/>
      <c r="J94" s="326"/>
      <c r="K94" s="326"/>
      <c r="L94" s="326"/>
      <c r="M94" s="326"/>
      <c r="N94" s="326"/>
      <c r="O94" s="374" t="s">
        <v>1436</v>
      </c>
      <c r="P94" s="374"/>
      <c r="Q94" s="265"/>
      <c r="R94" s="326"/>
      <c r="S94" s="326"/>
      <c r="T94" s="327"/>
      <c r="U94" s="327"/>
      <c r="V94" s="326"/>
      <c r="W94" s="326"/>
      <c r="X94" s="326"/>
      <c r="Y94" s="326"/>
      <c r="Z94" s="372" t="s">
        <v>1411</v>
      </c>
      <c r="AA94" s="372"/>
    </row>
    <row r="95" spans="1:27" ht="12.75" x14ac:dyDescent="0.2">
      <c r="D95" s="66"/>
      <c r="E95" s="66"/>
      <c r="F95" s="213"/>
      <c r="G95" s="66"/>
      <c r="H95" s="259"/>
      <c r="I95" s="26"/>
      <c r="J95" s="26"/>
      <c r="K95" s="26"/>
      <c r="L95" s="26"/>
      <c r="M95" s="26"/>
      <c r="N95" s="26"/>
      <c r="O95" s="26"/>
      <c r="P95" s="26"/>
      <c r="Q95" s="26"/>
      <c r="R95" s="26"/>
      <c r="S95" s="26"/>
      <c r="T95" s="26"/>
      <c r="U95" s="26"/>
      <c r="V95" s="26"/>
      <c r="W95" s="26"/>
      <c r="X95" s="26"/>
      <c r="Y95" s="26"/>
      <c r="Z95" s="26"/>
      <c r="AA95" s="26"/>
    </row>
    <row r="96" spans="1:27" ht="12.75" x14ac:dyDescent="0.2">
      <c r="A96" s="266" t="s">
        <v>1409</v>
      </c>
      <c r="B96" s="266"/>
      <c r="D96" s="248"/>
      <c r="E96" s="267" t="s">
        <v>43</v>
      </c>
      <c r="F96" s="249">
        <f>COUNTIF($F$8:$F$92,E96)</f>
        <v>69</v>
      </c>
      <c r="G96" s="266" t="s">
        <v>1369</v>
      </c>
      <c r="H96" s="268">
        <f>COUNTIF($H$8:$H$92,"Fully Forecast")</f>
        <v>34</v>
      </c>
      <c r="I96" s="268"/>
      <c r="J96" s="268"/>
      <c r="K96" s="268"/>
      <c r="L96" s="268"/>
      <c r="M96" s="268"/>
      <c r="N96" s="268"/>
      <c r="O96" s="268" t="s">
        <v>43</v>
      </c>
      <c r="P96" s="268">
        <f>COUNTIF($P$8:$P$92,"Yes")</f>
        <v>49</v>
      </c>
      <c r="Q96" s="268"/>
      <c r="R96" s="268"/>
      <c r="S96" s="268"/>
      <c r="T96" s="268"/>
      <c r="U96" s="268"/>
      <c r="V96" s="268"/>
      <c r="W96" s="268"/>
      <c r="X96" s="268"/>
      <c r="Y96" s="268"/>
      <c r="Z96" s="268" t="s">
        <v>43</v>
      </c>
      <c r="AA96" s="268">
        <f>COUNTIF($AA$8:$AA$92,"Yes")</f>
        <v>59</v>
      </c>
    </row>
    <row r="97" spans="1:27" ht="12.75" x14ac:dyDescent="0.2">
      <c r="A97" s="266"/>
      <c r="B97" s="266"/>
      <c r="D97" s="248"/>
      <c r="E97" s="267" t="s">
        <v>45</v>
      </c>
      <c r="F97" s="249">
        <f>COUNTIF($F$8:$F$92,E97)</f>
        <v>0</v>
      </c>
      <c r="G97" s="266" t="s">
        <v>1380</v>
      </c>
      <c r="H97" s="268">
        <f>COUNTIF($H$8:$H$92,"Partially Forecast")</f>
        <v>7</v>
      </c>
      <c r="I97" s="268"/>
      <c r="J97" s="268"/>
      <c r="K97" s="268"/>
      <c r="L97" s="268"/>
      <c r="M97" s="268"/>
      <c r="N97" s="268"/>
      <c r="O97" s="268" t="s">
        <v>45</v>
      </c>
      <c r="P97" s="268">
        <f>COUNTIF($P$8:$P$92,"No")</f>
        <v>36</v>
      </c>
      <c r="Q97" s="268"/>
      <c r="R97" s="268"/>
      <c r="S97" s="268"/>
      <c r="T97" s="268"/>
      <c r="U97" s="268"/>
      <c r="V97" s="268"/>
      <c r="W97" s="268"/>
      <c r="X97" s="268"/>
      <c r="Y97" s="268"/>
      <c r="Z97" s="268" t="s">
        <v>45</v>
      </c>
      <c r="AA97" s="268">
        <f>COUNTIF($AA$8:$AA$92,"No")</f>
        <v>26</v>
      </c>
    </row>
    <row r="98" spans="1:27" ht="12.75" x14ac:dyDescent="0.2">
      <c r="A98" s="269"/>
      <c r="B98" s="269"/>
      <c r="D98" s="250"/>
      <c r="E98" s="214" t="s">
        <v>1378</v>
      </c>
      <c r="F98" s="249">
        <f>COUNTIF($F$8:$F$92,E98)</f>
        <v>10</v>
      </c>
      <c r="G98" s="270" t="s">
        <v>1371</v>
      </c>
      <c r="H98" s="268">
        <f>COUNTIF($H$8:$H$92,"Historical")</f>
        <v>44</v>
      </c>
      <c r="I98" s="268"/>
      <c r="J98" s="268"/>
      <c r="K98" s="268"/>
      <c r="L98" s="268"/>
      <c r="M98" s="268"/>
      <c r="N98" s="268"/>
      <c r="O98" s="268"/>
      <c r="P98" s="268"/>
      <c r="Q98" s="268"/>
      <c r="R98" s="268"/>
      <c r="S98" s="268"/>
      <c r="T98" s="268"/>
      <c r="U98" s="268"/>
      <c r="V98" s="268"/>
      <c r="W98" s="268"/>
      <c r="X98" s="268"/>
      <c r="Y98" s="268"/>
      <c r="Z98" s="268"/>
      <c r="AA98" s="266"/>
    </row>
    <row r="99" spans="1:27" ht="12.75" x14ac:dyDescent="0.2">
      <c r="A99" s="269"/>
      <c r="B99" s="269"/>
      <c r="D99" s="250"/>
      <c r="E99" s="271" t="s">
        <v>1375</v>
      </c>
      <c r="F99" s="249">
        <f>COUNTIF($F$8:$F$92,E99)</f>
        <v>6</v>
      </c>
      <c r="G99" s="270"/>
      <c r="H99" s="268"/>
      <c r="I99" s="268"/>
      <c r="J99" s="268"/>
      <c r="K99" s="268"/>
      <c r="L99" s="268"/>
      <c r="M99" s="268"/>
      <c r="N99" s="268"/>
      <c r="O99" s="268"/>
      <c r="P99" s="268"/>
      <c r="Q99" s="268"/>
      <c r="R99" s="268"/>
      <c r="S99" s="268"/>
      <c r="T99" s="268"/>
      <c r="U99" s="268"/>
      <c r="V99" s="268"/>
      <c r="W99" s="268"/>
      <c r="X99" s="268"/>
      <c r="Y99" s="268"/>
      <c r="Z99" s="268"/>
      <c r="AA99" s="266"/>
    </row>
    <row r="100" spans="1:27" ht="12.75" x14ac:dyDescent="0.2">
      <c r="A100" s="272"/>
      <c r="B100" s="272"/>
      <c r="D100" s="270"/>
      <c r="E100" s="270"/>
      <c r="F100" s="273"/>
      <c r="G100" s="249"/>
      <c r="H100" s="268"/>
      <c r="I100" s="268"/>
      <c r="J100" s="268"/>
      <c r="K100" s="268"/>
      <c r="L100" s="268"/>
      <c r="M100" s="268"/>
      <c r="N100" s="268"/>
      <c r="O100" s="268"/>
      <c r="P100" s="268"/>
      <c r="Q100" s="268"/>
      <c r="R100" s="268"/>
      <c r="S100" s="268"/>
      <c r="T100" s="268"/>
      <c r="U100" s="268"/>
      <c r="V100" s="268"/>
      <c r="W100" s="268"/>
      <c r="X100" s="268"/>
      <c r="Y100" s="268"/>
      <c r="Z100" s="268"/>
      <c r="AA100" s="266"/>
    </row>
    <row r="101" spans="1:27" ht="12.75" x14ac:dyDescent="0.2">
      <c r="E101" s="274" t="s">
        <v>1492</v>
      </c>
      <c r="F101" s="251">
        <f>(F96+F99)/(F96+F97+F98+F99)</f>
        <v>0.88235294117647056</v>
      </c>
      <c r="G101" s="270" t="s">
        <v>1410</v>
      </c>
      <c r="H101" s="275">
        <f>(H96+H97)/(H96+H97+H98)</f>
        <v>0.4823529411764706</v>
      </c>
      <c r="I101" s="268"/>
      <c r="J101" s="275"/>
      <c r="K101" s="275"/>
      <c r="L101" s="275"/>
      <c r="M101" s="275"/>
      <c r="N101" s="275"/>
      <c r="O101" s="275" t="s">
        <v>1493</v>
      </c>
      <c r="P101" s="275">
        <f>P96/(P96+P97)</f>
        <v>0.57647058823529407</v>
      </c>
      <c r="Q101" s="275"/>
      <c r="R101" s="275"/>
      <c r="S101" s="275"/>
      <c r="T101" s="275"/>
      <c r="U101" s="275"/>
      <c r="V101" s="275"/>
      <c r="W101" s="275"/>
      <c r="X101" s="275"/>
      <c r="Y101" s="275"/>
      <c r="Z101" s="268" t="s">
        <v>1411</v>
      </c>
      <c r="AA101" s="275">
        <f>AA96/(AA96+AA97)</f>
        <v>0.69411764705882351</v>
      </c>
    </row>
    <row r="102" spans="1:27" ht="12.75" x14ac:dyDescent="0.2">
      <c r="A102" s="276"/>
      <c r="B102" s="276"/>
      <c r="C102" s="276"/>
      <c r="D102" s="277"/>
      <c r="E102" s="277"/>
      <c r="F102" s="278"/>
      <c r="G102" s="277"/>
      <c r="H102" s="279"/>
      <c r="I102" s="252"/>
      <c r="J102" s="252"/>
      <c r="K102" s="252"/>
      <c r="L102" s="252"/>
      <c r="M102" s="252"/>
      <c r="N102" s="252"/>
      <c r="O102" s="252"/>
      <c r="P102" s="252"/>
      <c r="Q102" s="252"/>
      <c r="R102" s="252"/>
      <c r="S102" s="252"/>
      <c r="T102" s="252"/>
      <c r="U102" s="252"/>
      <c r="V102" s="252"/>
      <c r="W102" s="252"/>
      <c r="X102" s="252"/>
      <c r="Y102" s="252"/>
      <c r="Z102" s="252"/>
      <c r="AA102" s="252"/>
    </row>
    <row r="103" spans="1:27" ht="13.5" thickBot="1" x14ac:dyDescent="0.25">
      <c r="A103" s="253" t="s">
        <v>1522</v>
      </c>
      <c r="B103" s="253"/>
      <c r="C103" s="253"/>
      <c r="D103" s="254"/>
      <c r="E103" s="254"/>
      <c r="F103" s="328" t="s">
        <v>1378</v>
      </c>
      <c r="G103" s="329"/>
      <c r="H103" s="330" t="s">
        <v>1371</v>
      </c>
      <c r="I103" s="331"/>
      <c r="J103" s="331" t="s">
        <v>1392</v>
      </c>
      <c r="K103" s="331"/>
      <c r="L103" s="331" t="s">
        <v>45</v>
      </c>
      <c r="M103" s="331"/>
      <c r="N103" s="331" t="s">
        <v>45</v>
      </c>
      <c r="O103" s="331"/>
      <c r="P103" s="331" t="str">
        <f>IF(AND(J103="No",L103="No",N103="No"),"No","Yes")</f>
        <v>Yes</v>
      </c>
      <c r="Q103" s="324"/>
      <c r="R103" s="324"/>
      <c r="S103" s="331" t="s">
        <v>45</v>
      </c>
      <c r="T103" s="331"/>
      <c r="U103" s="331" t="s">
        <v>45</v>
      </c>
      <c r="V103" s="331"/>
      <c r="W103" s="331" t="s">
        <v>45</v>
      </c>
      <c r="X103" s="331"/>
      <c r="Y103" s="331" t="s">
        <v>45</v>
      </c>
      <c r="Z103" s="331"/>
      <c r="AA103" s="331" t="str">
        <f>IF(AND(S103="No",U103="No",W103="No",Y103="No"),"No","Yes")</f>
        <v>No</v>
      </c>
    </row>
    <row r="104" spans="1:27" ht="12.75" x14ac:dyDescent="0.2"/>
    <row r="106" spans="1:27" ht="12.75" x14ac:dyDescent="0.2">
      <c r="A106" s="280" t="s">
        <v>88</v>
      </c>
    </row>
    <row r="107" spans="1:27" ht="12.75" x14ac:dyDescent="0.2">
      <c r="A107" s="281" t="s">
        <v>1494</v>
      </c>
    </row>
    <row r="108" spans="1:27" ht="12.6" customHeight="1" x14ac:dyDescent="0.2">
      <c r="A108" s="373" t="s">
        <v>1495</v>
      </c>
      <c r="B108" s="373"/>
      <c r="C108" s="373"/>
      <c r="D108" s="373"/>
      <c r="E108" s="373"/>
      <c r="F108" s="373"/>
      <c r="G108" s="373"/>
      <c r="H108" s="373"/>
      <c r="I108" s="373"/>
      <c r="J108" s="373"/>
      <c r="K108" s="373"/>
      <c r="L108" s="373"/>
      <c r="M108" s="282"/>
      <c r="N108" s="282"/>
      <c r="O108" s="282"/>
      <c r="P108" s="282"/>
      <c r="Q108" s="282"/>
      <c r="R108" s="282"/>
      <c r="S108" s="283"/>
      <c r="T108" s="283"/>
      <c r="U108" s="283"/>
      <c r="V108" s="283"/>
      <c r="W108" s="283"/>
      <c r="X108" s="283"/>
      <c r="Y108" s="283"/>
      <c r="Z108" s="282"/>
      <c r="AA108" s="282"/>
    </row>
    <row r="109" spans="1:27" ht="12.6" customHeight="1" x14ac:dyDescent="0.2">
      <c r="A109" s="269" t="s">
        <v>1496</v>
      </c>
      <c r="B109" s="283"/>
      <c r="C109" s="283"/>
      <c r="D109" s="283"/>
      <c r="E109" s="283"/>
      <c r="F109" s="283"/>
      <c r="G109" s="283"/>
      <c r="H109" s="283"/>
      <c r="I109" s="283"/>
      <c r="J109" s="283"/>
      <c r="K109" s="283"/>
      <c r="L109" s="283"/>
      <c r="M109" s="282"/>
      <c r="N109" s="282"/>
      <c r="O109" s="282"/>
      <c r="P109" s="282"/>
      <c r="Q109" s="282"/>
      <c r="R109" s="282"/>
      <c r="S109" s="283"/>
      <c r="T109" s="283"/>
      <c r="U109" s="283"/>
      <c r="V109" s="283"/>
      <c r="W109" s="283"/>
      <c r="X109" s="283"/>
      <c r="Y109" s="283"/>
      <c r="Z109" s="282"/>
      <c r="AA109" s="282"/>
    </row>
    <row r="110" spans="1:27" ht="12.75" x14ac:dyDescent="0.2">
      <c r="A110" s="269" t="s">
        <v>1497</v>
      </c>
      <c r="B110" s="269"/>
      <c r="C110" s="283"/>
      <c r="D110" s="283"/>
      <c r="E110" s="283"/>
      <c r="F110" s="284"/>
      <c r="G110" s="283"/>
      <c r="H110" s="283"/>
      <c r="I110" s="283"/>
      <c r="J110" s="283"/>
      <c r="K110" s="283"/>
      <c r="L110" s="283"/>
      <c r="M110" s="283"/>
      <c r="N110" s="283"/>
      <c r="O110" s="283"/>
      <c r="P110" s="283"/>
      <c r="Q110" s="283"/>
      <c r="R110" s="283"/>
      <c r="S110" s="283"/>
      <c r="T110" s="283"/>
      <c r="U110" s="283"/>
      <c r="V110" s="283"/>
      <c r="W110" s="283"/>
      <c r="X110" s="283"/>
      <c r="Y110" s="283"/>
      <c r="Z110" s="283"/>
      <c r="AA110" s="283"/>
    </row>
    <row r="111" spans="1:27" ht="12.75" x14ac:dyDescent="0.2">
      <c r="A111" s="269" t="s">
        <v>1498</v>
      </c>
      <c r="B111" s="269"/>
      <c r="C111" s="283"/>
      <c r="D111" s="283"/>
      <c r="E111" s="283"/>
      <c r="F111" s="284"/>
      <c r="G111" s="283"/>
      <c r="H111" s="283"/>
      <c r="I111" s="283"/>
      <c r="J111" s="283"/>
      <c r="K111" s="283"/>
      <c r="L111" s="283"/>
      <c r="M111" s="283"/>
      <c r="N111" s="283"/>
      <c r="O111" s="283"/>
      <c r="P111" s="283"/>
      <c r="Q111" s="283"/>
      <c r="R111" s="283"/>
      <c r="S111" s="283"/>
      <c r="T111" s="283"/>
      <c r="U111" s="283"/>
      <c r="V111" s="283"/>
      <c r="W111" s="283"/>
      <c r="X111" s="283"/>
      <c r="Y111" s="283"/>
      <c r="Z111" s="283"/>
      <c r="AA111" s="283"/>
    </row>
    <row r="112" spans="1:27" ht="12.75" x14ac:dyDescent="0.2">
      <c r="A112" s="269" t="s">
        <v>1499</v>
      </c>
      <c r="B112" s="269"/>
      <c r="C112" s="283"/>
      <c r="D112" s="283"/>
      <c r="E112" s="283"/>
      <c r="F112" s="284"/>
      <c r="G112" s="283"/>
      <c r="H112" s="283"/>
      <c r="I112" s="283"/>
      <c r="J112" s="283"/>
      <c r="K112" s="283"/>
      <c r="L112" s="283"/>
      <c r="M112" s="283"/>
      <c r="N112" s="283"/>
      <c r="O112" s="283"/>
      <c r="P112" s="283"/>
      <c r="Q112" s="283"/>
      <c r="R112" s="283"/>
      <c r="S112" s="283"/>
      <c r="T112" s="283"/>
      <c r="U112" s="283"/>
      <c r="V112" s="283"/>
      <c r="W112" s="283"/>
      <c r="X112" s="283"/>
      <c r="Y112" s="283"/>
      <c r="Z112" s="283"/>
      <c r="AA112" s="283"/>
    </row>
    <row r="113" spans="1:27" ht="12.75" x14ac:dyDescent="0.2">
      <c r="A113" s="269" t="s">
        <v>1500</v>
      </c>
      <c r="B113" s="269"/>
      <c r="C113" s="283"/>
      <c r="D113" s="283"/>
      <c r="E113" s="283"/>
      <c r="F113" s="284"/>
      <c r="G113" s="283"/>
      <c r="H113" s="283"/>
      <c r="I113" s="283"/>
      <c r="J113" s="283"/>
      <c r="K113" s="283"/>
      <c r="L113" s="283"/>
      <c r="M113" s="283"/>
      <c r="N113" s="283"/>
      <c r="O113" s="283"/>
      <c r="P113" s="283"/>
      <c r="Q113" s="283"/>
      <c r="R113" s="283"/>
      <c r="S113" s="283"/>
      <c r="T113" s="283"/>
      <c r="U113" s="283"/>
      <c r="V113" s="283"/>
      <c r="W113" s="283"/>
      <c r="X113" s="283"/>
      <c r="Y113" s="283"/>
      <c r="Z113" s="283"/>
      <c r="AA113" s="283"/>
    </row>
    <row r="114" spans="1:27" ht="12.75" x14ac:dyDescent="0.2">
      <c r="A114" s="269" t="s">
        <v>1501</v>
      </c>
      <c r="B114" s="269"/>
      <c r="C114" s="283"/>
      <c r="D114" s="283"/>
      <c r="E114" s="283"/>
      <c r="F114" s="284"/>
      <c r="G114" s="283"/>
      <c r="H114" s="283"/>
      <c r="I114" s="283"/>
      <c r="J114" s="283"/>
      <c r="K114" s="283"/>
      <c r="L114" s="283"/>
      <c r="M114" s="283"/>
      <c r="N114" s="283"/>
      <c r="O114" s="283"/>
      <c r="P114" s="283"/>
      <c r="Q114" s="283"/>
      <c r="R114" s="283"/>
      <c r="S114" s="283"/>
      <c r="T114" s="283"/>
      <c r="U114" s="283"/>
      <c r="V114" s="283"/>
      <c r="W114" s="283"/>
      <c r="X114" s="283"/>
      <c r="Y114" s="283"/>
      <c r="Z114" s="283"/>
      <c r="AA114" s="283"/>
    </row>
    <row r="115" spans="1:27" ht="12.75" x14ac:dyDescent="0.2">
      <c r="A115" s="269" t="s">
        <v>1502</v>
      </c>
      <c r="B115" s="269"/>
      <c r="C115" s="283"/>
      <c r="D115" s="283"/>
      <c r="E115" s="283"/>
      <c r="F115" s="284"/>
      <c r="G115" s="283"/>
      <c r="H115" s="283"/>
      <c r="I115" s="283"/>
      <c r="J115" s="283"/>
      <c r="K115" s="283"/>
      <c r="L115" s="283"/>
      <c r="M115" s="283"/>
      <c r="N115" s="283"/>
      <c r="O115" s="283"/>
      <c r="P115" s="283"/>
      <c r="Q115" s="283"/>
      <c r="R115" s="283"/>
      <c r="S115" s="283"/>
      <c r="T115" s="283"/>
      <c r="U115" s="283"/>
      <c r="V115" s="283"/>
      <c r="W115" s="283"/>
      <c r="X115" s="283"/>
      <c r="Y115" s="283"/>
      <c r="Z115" s="283"/>
      <c r="AA115" s="283"/>
    </row>
    <row r="116" spans="1:27" ht="12.75" x14ac:dyDescent="0.2">
      <c r="A116" s="269" t="s">
        <v>1503</v>
      </c>
      <c r="B116" s="269"/>
      <c r="C116" s="283"/>
      <c r="D116" s="283"/>
      <c r="E116" s="283"/>
      <c r="F116" s="284"/>
      <c r="G116" s="283"/>
      <c r="H116" s="283"/>
      <c r="I116" s="283"/>
      <c r="J116" s="283"/>
      <c r="K116" s="283"/>
      <c r="L116" s="283"/>
      <c r="M116" s="283"/>
      <c r="N116" s="283"/>
      <c r="O116" s="283"/>
      <c r="P116" s="283"/>
      <c r="Q116" s="283"/>
      <c r="R116" s="283"/>
      <c r="S116" s="283"/>
      <c r="T116" s="283"/>
      <c r="U116" s="283"/>
      <c r="V116" s="283"/>
      <c r="W116" s="283"/>
      <c r="X116" s="283"/>
      <c r="Y116" s="283"/>
      <c r="Z116" s="283"/>
      <c r="AA116" s="283"/>
    </row>
    <row r="117" spans="1:27" ht="12.75" x14ac:dyDescent="0.2">
      <c r="A117" s="269" t="s">
        <v>1504</v>
      </c>
      <c r="B117" s="269"/>
      <c r="C117" s="283"/>
      <c r="D117" s="283"/>
      <c r="E117" s="283"/>
      <c r="F117" s="284"/>
      <c r="G117" s="283"/>
      <c r="H117" s="283"/>
      <c r="I117" s="283"/>
      <c r="J117" s="283"/>
      <c r="K117" s="283"/>
      <c r="L117" s="283"/>
      <c r="M117" s="283"/>
      <c r="N117" s="283"/>
      <c r="O117" s="283"/>
      <c r="P117" s="283"/>
      <c r="Q117" s="283"/>
      <c r="R117" s="283"/>
      <c r="S117" s="283"/>
      <c r="T117" s="283"/>
      <c r="U117" s="283"/>
      <c r="V117" s="283"/>
      <c r="W117" s="283"/>
      <c r="X117" s="283"/>
      <c r="Y117" s="283"/>
      <c r="Z117" s="283"/>
      <c r="AA117" s="283"/>
    </row>
    <row r="118" spans="1:27" ht="12.75" x14ac:dyDescent="0.2">
      <c r="A118" s="269" t="s">
        <v>1523</v>
      </c>
      <c r="B118" s="269"/>
      <c r="C118" s="283"/>
      <c r="D118" s="283"/>
      <c r="E118" s="283"/>
      <c r="F118" s="284"/>
      <c r="G118" s="283"/>
      <c r="H118" s="283"/>
      <c r="I118" s="283"/>
      <c r="J118" s="283"/>
      <c r="K118" s="283"/>
      <c r="L118" s="283"/>
      <c r="M118" s="283"/>
      <c r="N118" s="283"/>
      <c r="O118" s="283"/>
      <c r="P118" s="283"/>
      <c r="Q118" s="283"/>
      <c r="R118" s="283"/>
      <c r="S118" s="283"/>
      <c r="T118" s="283"/>
      <c r="U118" s="283"/>
      <c r="V118" s="283"/>
      <c r="W118" s="283"/>
      <c r="X118" s="283"/>
      <c r="Y118" s="283"/>
      <c r="Z118" s="283"/>
      <c r="AA118" s="283"/>
    </row>
    <row r="119" spans="1:27" ht="12.75" x14ac:dyDescent="0.2">
      <c r="A119" s="269"/>
      <c r="B119" s="269"/>
      <c r="C119" s="283"/>
      <c r="D119" s="283"/>
      <c r="E119" s="283"/>
      <c r="F119" s="284"/>
      <c r="G119" s="283"/>
      <c r="H119" s="283"/>
      <c r="I119" s="283"/>
      <c r="J119" s="283"/>
      <c r="K119" s="283"/>
      <c r="L119" s="283"/>
      <c r="M119" s="283"/>
      <c r="N119" s="283"/>
      <c r="O119" s="283"/>
      <c r="P119" s="283"/>
      <c r="Q119" s="283"/>
      <c r="R119" s="283"/>
      <c r="S119" s="283"/>
      <c r="T119" s="283"/>
      <c r="U119" s="283"/>
      <c r="V119" s="283"/>
      <c r="W119" s="283"/>
      <c r="X119" s="283"/>
      <c r="Y119" s="283"/>
      <c r="Z119" s="283"/>
      <c r="AA119" s="283"/>
    </row>
    <row r="120" spans="1:27" ht="12.75" x14ac:dyDescent="0.2">
      <c r="A120" s="269"/>
      <c r="B120" s="269"/>
      <c r="C120" s="283"/>
      <c r="D120" s="283"/>
      <c r="E120" s="283"/>
      <c r="F120" s="284"/>
      <c r="G120" s="283"/>
      <c r="H120" s="283"/>
      <c r="I120" s="283"/>
      <c r="J120" s="283"/>
      <c r="K120" s="283"/>
      <c r="L120" s="283"/>
      <c r="M120" s="283"/>
      <c r="N120" s="283"/>
      <c r="O120" s="283"/>
      <c r="P120" s="283"/>
      <c r="Q120" s="283"/>
      <c r="R120" s="283"/>
      <c r="S120" s="283"/>
      <c r="T120" s="283"/>
      <c r="U120" s="283"/>
      <c r="V120" s="283"/>
      <c r="W120" s="283"/>
      <c r="X120" s="283"/>
      <c r="Y120" s="283"/>
      <c r="Z120" s="283"/>
      <c r="AA120" s="283"/>
    </row>
    <row r="121" spans="1:27" ht="15" customHeight="1" x14ac:dyDescent="0.2">
      <c r="A121" s="239"/>
    </row>
    <row r="124" spans="1:27" ht="12.75" x14ac:dyDescent="0.2"/>
    <row r="127" spans="1:27" ht="12.75" x14ac:dyDescent="0.2">
      <c r="H127" s="259"/>
    </row>
    <row r="128" spans="1:27" ht="12.75" x14ac:dyDescent="0.2">
      <c r="H128" s="259"/>
    </row>
    <row r="129" spans="1:8" ht="12.75" x14ac:dyDescent="0.2">
      <c r="A129" s="285"/>
      <c r="B129" s="285"/>
      <c r="C129" s="285"/>
      <c r="D129" s="286"/>
      <c r="E129" s="286"/>
      <c r="F129" s="287"/>
      <c r="G129" s="286"/>
      <c r="H129" s="288"/>
    </row>
    <row r="130" spans="1:8" ht="12.75" x14ac:dyDescent="0.2">
      <c r="H130" s="259"/>
    </row>
    <row r="131" spans="1:8" ht="12.75" x14ac:dyDescent="0.2">
      <c r="H131" s="259"/>
    </row>
    <row r="171" ht="15.75" customHeight="1" x14ac:dyDescent="0.2"/>
  </sheetData>
  <mergeCells count="33">
    <mergeCell ref="A6:A7"/>
    <mergeCell ref="Z5:AA5"/>
    <mergeCell ref="Z94:AA94"/>
    <mergeCell ref="A108:L108"/>
    <mergeCell ref="O94:P94"/>
    <mergeCell ref="G6:H7"/>
    <mergeCell ref="I6:P6"/>
    <mergeCell ref="R6:AA6"/>
    <mergeCell ref="I7:J7"/>
    <mergeCell ref="K7:L7"/>
    <mergeCell ref="M7:N7"/>
    <mergeCell ref="O7:P7"/>
    <mergeCell ref="R7:S7"/>
    <mergeCell ref="T7:U7"/>
    <mergeCell ref="V7:W7"/>
    <mergeCell ref="X7:Y7"/>
    <mergeCell ref="Z7:AA7"/>
    <mergeCell ref="B6:B7"/>
    <mergeCell ref="C6:C7"/>
    <mergeCell ref="D6:D7"/>
    <mergeCell ref="E6:F7"/>
    <mergeCell ref="A2:AA2"/>
    <mergeCell ref="A3:AA3"/>
    <mergeCell ref="E5:F5"/>
    <mergeCell ref="G5:H5"/>
    <mergeCell ref="I5:J5"/>
    <mergeCell ref="K5:L5"/>
    <mergeCell ref="M5:N5"/>
    <mergeCell ref="O5:P5"/>
    <mergeCell ref="R5:S5"/>
    <mergeCell ref="T5:U5"/>
    <mergeCell ref="V5:W5"/>
    <mergeCell ref="X5:Y5"/>
  </mergeCells>
  <conditionalFormatting sqref="A9:B11 A59:B70">
    <cfRule type="expression" dxfId="5" priority="5">
      <formula>#REF!</formula>
    </cfRule>
  </conditionalFormatting>
  <conditionalFormatting sqref="A9:B11 A59:B70">
    <cfRule type="expression" dxfId="4" priority="6">
      <formula>"(blank)"</formula>
    </cfRule>
  </conditionalFormatting>
  <conditionalFormatting sqref="A37:B47">
    <cfRule type="expression" dxfId="3" priority="3">
      <formula>#REF!</formula>
    </cfRule>
  </conditionalFormatting>
  <conditionalFormatting sqref="A37:B47">
    <cfRule type="expression" dxfId="2" priority="4">
      <formula>"(blank)"</formula>
    </cfRule>
  </conditionalFormatting>
  <conditionalFormatting sqref="A48:B58">
    <cfRule type="expression" dxfId="1" priority="1">
      <formula>#REF!</formula>
    </cfRule>
  </conditionalFormatting>
  <conditionalFormatting sqref="A48:B58">
    <cfRule type="expression" dxfId="0" priority="2">
      <formula>"(blank)"</formula>
    </cfRule>
  </conditionalFormatting>
  <printOptions horizontalCentered="1"/>
  <pageMargins left="0.7" right="0.7" top="0.75" bottom="0.75" header="0.3" footer="0.3"/>
  <pageSetup scale="28" pageOrder="overThenDown" orientation="landscape" useFirstPageNumber="1" horizontalDpi="1200" verticalDpi="1200" r:id="rId1"/>
  <headerFooter scaleWithDoc="0">
    <oddHeader>&amp;LREFILED April 19, 2023</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K37"/>
  <sheetViews>
    <sheetView tabSelected="1" view="pageLayout" zoomScaleNormal="100" workbookViewId="0">
      <selection activeCell="G30" sqref="G30"/>
    </sheetView>
  </sheetViews>
  <sheetFormatPr defaultColWidth="8.85546875" defaultRowHeight="15" customHeight="1" x14ac:dyDescent="0.25"/>
  <cols>
    <col min="1" max="1" width="8.85546875" style="291"/>
    <col min="2" max="2" width="39.85546875" style="291" customWidth="1"/>
    <col min="3" max="3" width="8.85546875" style="291"/>
    <col min="4" max="4" width="13.85546875" style="291" customWidth="1"/>
    <col min="5" max="5" width="13.140625" style="291" customWidth="1"/>
    <col min="6" max="6" width="12.85546875" style="291" customWidth="1"/>
    <col min="7" max="7" width="15.5703125" style="291" customWidth="1"/>
    <col min="8" max="16384" width="8.85546875" style="291"/>
  </cols>
  <sheetData>
    <row r="1" spans="1:11" ht="15" customHeight="1" x14ac:dyDescent="0.2">
      <c r="A1" s="289"/>
      <c r="B1" s="289"/>
      <c r="C1" s="290"/>
      <c r="D1" s="290"/>
      <c r="E1" s="290"/>
      <c r="F1" s="290"/>
      <c r="G1" s="290"/>
      <c r="H1" s="290"/>
      <c r="I1" s="289"/>
      <c r="J1" s="289"/>
    </row>
    <row r="2" spans="1:11" ht="15" customHeight="1" x14ac:dyDescent="0.2">
      <c r="A2" s="289"/>
      <c r="B2" s="213"/>
      <c r="C2" s="213"/>
      <c r="D2" s="213"/>
      <c r="E2" s="213"/>
      <c r="F2" s="213"/>
      <c r="G2" s="213"/>
      <c r="H2" s="213"/>
      <c r="I2" s="289"/>
      <c r="J2" s="289"/>
    </row>
    <row r="3" spans="1:11" ht="15" customHeight="1" x14ac:dyDescent="0.2">
      <c r="A3" s="289"/>
      <c r="B3" s="213"/>
      <c r="C3" s="213"/>
      <c r="D3" s="213"/>
      <c r="E3" s="213"/>
      <c r="F3" s="213"/>
      <c r="G3" s="213"/>
      <c r="H3" s="213"/>
      <c r="I3" s="289"/>
      <c r="J3" s="289"/>
    </row>
    <row r="4" spans="1:11" ht="15" customHeight="1" x14ac:dyDescent="0.2">
      <c r="A4" s="289"/>
      <c r="B4" s="379" t="s">
        <v>1412</v>
      </c>
      <c r="C4" s="379"/>
      <c r="D4" s="379"/>
      <c r="E4" s="379"/>
      <c r="F4" s="379"/>
      <c r="G4" s="379"/>
      <c r="H4" s="292"/>
      <c r="I4" s="289"/>
      <c r="J4" s="289"/>
    </row>
    <row r="5" spans="1:11" ht="15" customHeight="1" x14ac:dyDescent="0.2">
      <c r="A5" s="289"/>
      <c r="B5" s="213"/>
      <c r="C5" s="213"/>
      <c r="D5" s="213"/>
      <c r="E5" s="213"/>
      <c r="F5" s="213"/>
      <c r="G5" s="213"/>
      <c r="H5" s="213"/>
      <c r="I5" s="289"/>
      <c r="J5" s="289"/>
    </row>
    <row r="6" spans="1:11" ht="15" customHeight="1" x14ac:dyDescent="0.2">
      <c r="A6" s="289"/>
      <c r="B6" s="213"/>
      <c r="C6" s="213"/>
      <c r="D6" s="293" t="s">
        <v>1507</v>
      </c>
      <c r="E6" s="293"/>
      <c r="F6" s="293"/>
      <c r="G6" s="293"/>
      <c r="H6" s="289"/>
      <c r="I6" s="289"/>
      <c r="J6" s="289"/>
    </row>
    <row r="7" spans="1:11" ht="15" customHeight="1" x14ac:dyDescent="0.2">
      <c r="A7" s="289"/>
      <c r="B7" s="213"/>
      <c r="C7" s="213"/>
      <c r="D7" s="213" t="s">
        <v>1508</v>
      </c>
      <c r="E7" s="213" t="s">
        <v>164</v>
      </c>
      <c r="F7" s="213" t="s">
        <v>1509</v>
      </c>
      <c r="G7" s="213"/>
      <c r="H7" s="289"/>
      <c r="I7" s="289"/>
      <c r="J7" s="289"/>
    </row>
    <row r="8" spans="1:11" ht="15" customHeight="1" x14ac:dyDescent="0.2">
      <c r="A8" s="289"/>
      <c r="B8" s="290"/>
      <c r="C8" s="290"/>
      <c r="D8" s="294" t="s">
        <v>1510</v>
      </c>
      <c r="E8" s="294" t="s">
        <v>1511</v>
      </c>
      <c r="F8" s="294" t="s">
        <v>1510</v>
      </c>
      <c r="G8" s="294" t="s">
        <v>1175</v>
      </c>
      <c r="H8" s="289"/>
      <c r="I8" s="289"/>
      <c r="J8" s="289"/>
    </row>
    <row r="9" spans="1:11" ht="15" customHeight="1" x14ac:dyDescent="0.2">
      <c r="A9" s="289"/>
      <c r="B9" s="295" t="s">
        <v>1364</v>
      </c>
      <c r="C9" s="296" t="s">
        <v>35</v>
      </c>
      <c r="D9" s="297" t="s">
        <v>1512</v>
      </c>
      <c r="E9" s="297" t="s">
        <v>1512</v>
      </c>
      <c r="F9" s="297" t="s">
        <v>1512</v>
      </c>
      <c r="G9" s="297" t="s">
        <v>168</v>
      </c>
      <c r="H9" s="289"/>
      <c r="I9" s="289"/>
      <c r="J9" s="289"/>
    </row>
    <row r="10" spans="1:11" ht="15" customHeight="1" x14ac:dyDescent="0.2">
      <c r="A10" s="289"/>
      <c r="B10" s="298" t="s">
        <v>41</v>
      </c>
      <c r="C10" s="299" t="s">
        <v>42</v>
      </c>
      <c r="D10" s="51">
        <v>0.57273457079397749</v>
      </c>
      <c r="E10" s="51">
        <v>0.42726542920602267</v>
      </c>
      <c r="F10" s="51">
        <v>0</v>
      </c>
      <c r="G10" s="300">
        <f t="shared" ref="G10:G26" si="0">SUM(D10:F10)</f>
        <v>1.0000000000000002</v>
      </c>
      <c r="H10" s="289"/>
      <c r="I10" s="289"/>
      <c r="J10" s="289"/>
      <c r="K10" s="289"/>
    </row>
    <row r="11" spans="1:11" ht="15" customHeight="1" x14ac:dyDescent="0.2">
      <c r="A11" s="289"/>
      <c r="B11" s="298" t="s">
        <v>46</v>
      </c>
      <c r="C11" s="299" t="s">
        <v>47</v>
      </c>
      <c r="D11" s="51">
        <v>0.51997722329248486</v>
      </c>
      <c r="E11" s="51">
        <v>0.47196868095886813</v>
      </c>
      <c r="F11" s="51">
        <v>8.0540957486469177E-3</v>
      </c>
      <c r="G11" s="300">
        <f t="shared" si="0"/>
        <v>0.99999999999999989</v>
      </c>
      <c r="H11" s="289"/>
      <c r="I11" s="289"/>
      <c r="J11" s="289"/>
      <c r="K11" s="289"/>
    </row>
    <row r="12" spans="1:11" ht="15" customHeight="1" x14ac:dyDescent="0.2">
      <c r="A12" s="289"/>
      <c r="B12" s="298" t="s">
        <v>49</v>
      </c>
      <c r="C12" s="299" t="s">
        <v>50</v>
      </c>
      <c r="D12" s="51">
        <v>0.53122810010595634</v>
      </c>
      <c r="E12" s="51">
        <v>0.46251695297006001</v>
      </c>
      <c r="F12" s="51">
        <v>6.2549469239836864E-3</v>
      </c>
      <c r="G12" s="300">
        <f t="shared" si="0"/>
        <v>1</v>
      </c>
      <c r="H12" s="289"/>
      <c r="I12" s="289"/>
      <c r="J12" s="289"/>
      <c r="K12" s="289"/>
    </row>
    <row r="13" spans="1:11" ht="15" customHeight="1" x14ac:dyDescent="0.2">
      <c r="A13" s="289"/>
      <c r="B13" s="298" t="s">
        <v>52</v>
      </c>
      <c r="C13" s="299" t="s">
        <v>53</v>
      </c>
      <c r="D13" s="51">
        <v>0.48169248995054881</v>
      </c>
      <c r="E13" s="51">
        <v>0.51830751004945119</v>
      </c>
      <c r="F13" s="51">
        <v>0</v>
      </c>
      <c r="G13" s="300">
        <f t="shared" si="0"/>
        <v>1</v>
      </c>
      <c r="H13" s="289"/>
      <c r="I13" s="289"/>
      <c r="J13" s="289"/>
      <c r="K13" s="289"/>
    </row>
    <row r="14" spans="1:11" ht="15" customHeight="1" x14ac:dyDescent="0.2">
      <c r="A14" s="289"/>
      <c r="B14" s="301" t="s">
        <v>55</v>
      </c>
      <c r="C14" s="299" t="s">
        <v>56</v>
      </c>
      <c r="D14" s="51">
        <v>0.50328600495606024</v>
      </c>
      <c r="E14" s="51">
        <v>0.49671399504393976</v>
      </c>
      <c r="F14" s="51">
        <v>0</v>
      </c>
      <c r="G14" s="300">
        <f t="shared" si="0"/>
        <v>1</v>
      </c>
      <c r="H14" s="289"/>
      <c r="I14" s="289"/>
      <c r="J14" s="289"/>
      <c r="K14" s="289"/>
    </row>
    <row r="15" spans="1:11" ht="15" customHeight="1" x14ac:dyDescent="0.2">
      <c r="A15" s="289"/>
      <c r="B15" s="301" t="s">
        <v>1505</v>
      </c>
      <c r="C15" s="299" t="s">
        <v>58</v>
      </c>
      <c r="D15" s="51">
        <v>0.52258925964181491</v>
      </c>
      <c r="E15" s="51">
        <v>0.47531333820652943</v>
      </c>
      <c r="F15" s="51">
        <v>2.0974021516555557E-3</v>
      </c>
      <c r="G15" s="300">
        <f t="shared" si="0"/>
        <v>0.99999999999999989</v>
      </c>
      <c r="H15" s="289"/>
      <c r="I15" s="289"/>
      <c r="J15" s="289"/>
      <c r="K15" s="289"/>
    </row>
    <row r="16" spans="1:11" ht="15" customHeight="1" x14ac:dyDescent="0.2">
      <c r="A16" s="289"/>
      <c r="B16" s="298" t="s">
        <v>60</v>
      </c>
      <c r="C16" s="299" t="s">
        <v>61</v>
      </c>
      <c r="D16" s="51">
        <v>0.53182680488075329</v>
      </c>
      <c r="E16" s="51">
        <v>0.46817319511924665</v>
      </c>
      <c r="F16" s="51">
        <v>0</v>
      </c>
      <c r="G16" s="300">
        <f t="shared" si="0"/>
        <v>1</v>
      </c>
      <c r="H16" s="289"/>
      <c r="I16" s="289"/>
      <c r="J16" s="289"/>
      <c r="K16" s="289"/>
    </row>
    <row r="17" spans="1:11" ht="15" customHeight="1" x14ac:dyDescent="0.2">
      <c r="A17" s="289"/>
      <c r="B17" s="298" t="s">
        <v>64</v>
      </c>
      <c r="C17" s="299" t="s">
        <v>65</v>
      </c>
      <c r="D17" s="51">
        <v>0.46188750162294173</v>
      </c>
      <c r="E17" s="51">
        <v>0.53708898214915912</v>
      </c>
      <c r="F17" s="51">
        <v>1.0235162278991489E-3</v>
      </c>
      <c r="G17" s="300">
        <f t="shared" si="0"/>
        <v>1</v>
      </c>
      <c r="H17" s="289"/>
      <c r="I17" s="289"/>
      <c r="J17" s="289"/>
      <c r="K17" s="289"/>
    </row>
    <row r="18" spans="1:11" ht="15" customHeight="1" x14ac:dyDescent="0.2">
      <c r="A18" s="289"/>
      <c r="B18" s="298" t="s">
        <v>1398</v>
      </c>
      <c r="C18" s="299" t="s">
        <v>66</v>
      </c>
      <c r="D18" s="51">
        <v>0.60626622650420925</v>
      </c>
      <c r="E18" s="51">
        <v>0.39373377349579081</v>
      </c>
      <c r="F18" s="51">
        <v>0</v>
      </c>
      <c r="G18" s="300">
        <f t="shared" si="0"/>
        <v>1</v>
      </c>
      <c r="H18" s="289"/>
      <c r="I18" s="289"/>
      <c r="J18" s="289"/>
      <c r="K18" s="289"/>
    </row>
    <row r="19" spans="1:11" ht="15" customHeight="1" x14ac:dyDescent="0.2">
      <c r="A19" s="289"/>
      <c r="B19" s="298" t="s">
        <v>69</v>
      </c>
      <c r="C19" s="299" t="s">
        <v>70</v>
      </c>
      <c r="D19" s="51">
        <v>0.54068326543817646</v>
      </c>
      <c r="E19" s="51">
        <v>0.45652963325652718</v>
      </c>
      <c r="F19" s="51">
        <v>2.7871013052963838E-3</v>
      </c>
      <c r="G19" s="300">
        <f t="shared" si="0"/>
        <v>1</v>
      </c>
      <c r="H19" s="289"/>
      <c r="I19" s="289"/>
      <c r="J19" s="289"/>
      <c r="K19" s="289"/>
    </row>
    <row r="20" spans="1:11" ht="15" customHeight="1" x14ac:dyDescent="0.2">
      <c r="A20" s="289"/>
      <c r="B20" s="298" t="s">
        <v>71</v>
      </c>
      <c r="C20" s="299" t="s">
        <v>72</v>
      </c>
      <c r="D20" s="51">
        <v>0.61057168201172196</v>
      </c>
      <c r="E20" s="51">
        <v>0.38942831798827815</v>
      </c>
      <c r="F20" s="51">
        <v>0</v>
      </c>
      <c r="G20" s="300">
        <f t="shared" si="0"/>
        <v>1</v>
      </c>
      <c r="H20" s="289"/>
      <c r="I20" s="289"/>
      <c r="J20" s="289"/>
      <c r="K20" s="289"/>
    </row>
    <row r="21" spans="1:11" ht="15" customHeight="1" x14ac:dyDescent="0.2">
      <c r="A21" s="289"/>
      <c r="B21" s="302" t="s">
        <v>74</v>
      </c>
      <c r="C21" s="303" t="s">
        <v>75</v>
      </c>
      <c r="D21" s="51">
        <v>0.4781288206002246</v>
      </c>
      <c r="E21" s="51">
        <v>0.52187117939977545</v>
      </c>
      <c r="F21" s="51">
        <v>0</v>
      </c>
      <c r="G21" s="300">
        <f t="shared" si="0"/>
        <v>1</v>
      </c>
      <c r="H21" s="289"/>
      <c r="I21" s="289"/>
      <c r="J21" s="289"/>
      <c r="K21" s="289"/>
    </row>
    <row r="22" spans="1:11" ht="15" customHeight="1" x14ac:dyDescent="0.2">
      <c r="A22" s="289"/>
      <c r="B22" s="298" t="s">
        <v>76</v>
      </c>
      <c r="C22" s="299" t="s">
        <v>77</v>
      </c>
      <c r="D22" s="51">
        <v>0.54006845098519951</v>
      </c>
      <c r="E22" s="51">
        <v>0.45993154901480049</v>
      </c>
      <c r="F22" s="51">
        <v>0</v>
      </c>
      <c r="G22" s="300">
        <f t="shared" si="0"/>
        <v>1</v>
      </c>
      <c r="H22" s="289"/>
      <c r="I22" s="289"/>
      <c r="J22" s="289"/>
      <c r="K22" s="289"/>
    </row>
    <row r="23" spans="1:11" ht="15" customHeight="1" x14ac:dyDescent="0.2">
      <c r="A23" s="289"/>
      <c r="B23" s="298" t="s">
        <v>78</v>
      </c>
      <c r="C23" s="299" t="s">
        <v>79</v>
      </c>
      <c r="D23" s="51">
        <v>0.5426294422884258</v>
      </c>
      <c r="E23" s="51">
        <v>0.45737055771157425</v>
      </c>
      <c r="F23" s="51">
        <v>0</v>
      </c>
      <c r="G23" s="300">
        <f t="shared" si="0"/>
        <v>1</v>
      </c>
      <c r="H23" s="289"/>
      <c r="I23" s="289"/>
      <c r="J23" s="289"/>
      <c r="K23" s="289"/>
    </row>
    <row r="24" spans="1:11" ht="15" customHeight="1" x14ac:dyDescent="0.2">
      <c r="A24" s="289"/>
      <c r="B24" s="298" t="s">
        <v>80</v>
      </c>
      <c r="C24" s="299" t="s">
        <v>81</v>
      </c>
      <c r="D24" s="51">
        <v>0.45952591710999213</v>
      </c>
      <c r="E24" s="51">
        <v>0.54047408289000787</v>
      </c>
      <c r="F24" s="51">
        <v>0</v>
      </c>
      <c r="G24" s="300">
        <f t="shared" si="0"/>
        <v>1</v>
      </c>
      <c r="H24" s="289"/>
      <c r="I24" s="289"/>
      <c r="J24" s="289"/>
      <c r="K24" s="289"/>
    </row>
    <row r="25" spans="1:11" ht="15" customHeight="1" x14ac:dyDescent="0.2">
      <c r="A25" s="289"/>
      <c r="B25" s="301" t="s">
        <v>1513</v>
      </c>
      <c r="C25" s="299" t="s">
        <v>84</v>
      </c>
      <c r="D25" s="51">
        <v>0.54486102003071712</v>
      </c>
      <c r="E25" s="51">
        <v>0.4499503091619938</v>
      </c>
      <c r="F25" s="51">
        <v>5.188670807289018E-3</v>
      </c>
      <c r="G25" s="300">
        <f t="shared" si="0"/>
        <v>1</v>
      </c>
      <c r="H25" s="289"/>
      <c r="I25" s="289"/>
      <c r="J25" s="289"/>
      <c r="K25" s="289"/>
    </row>
    <row r="26" spans="1:11" ht="15" customHeight="1" x14ac:dyDescent="0.2">
      <c r="A26" s="289"/>
      <c r="B26" s="298" t="s">
        <v>86</v>
      </c>
      <c r="C26" s="299" t="s">
        <v>87</v>
      </c>
      <c r="D26" s="51">
        <v>0.54210757939861842</v>
      </c>
      <c r="E26" s="51">
        <v>0.45789242060138158</v>
      </c>
      <c r="F26" s="51">
        <v>0</v>
      </c>
      <c r="G26" s="300">
        <f t="shared" si="0"/>
        <v>1</v>
      </c>
      <c r="H26" s="289"/>
      <c r="I26" s="289"/>
      <c r="J26" s="289"/>
      <c r="K26" s="289"/>
    </row>
    <row r="27" spans="1:11" ht="15" customHeight="1" x14ac:dyDescent="0.2">
      <c r="A27" s="289"/>
      <c r="B27" s="298"/>
      <c r="C27" s="299"/>
      <c r="D27" s="304"/>
      <c r="E27" s="304"/>
      <c r="F27" s="304"/>
      <c r="G27" s="305"/>
      <c r="H27" s="289"/>
      <c r="I27" s="289"/>
      <c r="J27" s="289"/>
    </row>
    <row r="28" spans="1:11" ht="15" customHeight="1" x14ac:dyDescent="0.2">
      <c r="A28" s="289"/>
      <c r="B28" s="306" t="s">
        <v>142</v>
      </c>
      <c r="C28" s="299"/>
      <c r="D28" s="300">
        <f>AVERAGE(D10:D26)</f>
        <v>0.52882731527128368</v>
      </c>
      <c r="E28" s="300">
        <f>AVERAGE(E10:E26)</f>
        <v>0.46967822983667096</v>
      </c>
      <c r="F28" s="300">
        <f>AVERAGE(F10:F26)</f>
        <v>1.4944548920453359E-3</v>
      </c>
      <c r="G28" s="305"/>
      <c r="H28" s="289"/>
      <c r="I28" s="289"/>
      <c r="J28" s="289"/>
    </row>
    <row r="29" spans="1:11" ht="15" customHeight="1" x14ac:dyDescent="0.2">
      <c r="A29" s="289"/>
      <c r="B29" s="306" t="s">
        <v>13</v>
      </c>
      <c r="C29" s="299"/>
      <c r="D29" s="300">
        <f>MEDIAN(D10:D26)</f>
        <v>0.53182680488075329</v>
      </c>
      <c r="E29" s="300">
        <f>MEDIAN(E10:E26)</f>
        <v>0.46251695297006001</v>
      </c>
      <c r="F29" s="300">
        <f>MEDIAN(F10:F26)</f>
        <v>0</v>
      </c>
      <c r="G29" s="305"/>
      <c r="H29" s="289"/>
      <c r="I29" s="289"/>
      <c r="J29" s="289"/>
    </row>
    <row r="30" spans="1:11" ht="15" customHeight="1" x14ac:dyDescent="0.2">
      <c r="A30" s="289"/>
      <c r="B30" s="306" t="s">
        <v>1514</v>
      </c>
      <c r="C30" s="299"/>
      <c r="D30" s="300">
        <f>MAX(D10:D26)</f>
        <v>0.61057168201172196</v>
      </c>
      <c r="E30" s="300">
        <f>MAX(E10:E26)</f>
        <v>0.54047408289000787</v>
      </c>
      <c r="F30" s="300">
        <f>MAX(F10:F26)</f>
        <v>8.0540957486469177E-3</v>
      </c>
      <c r="G30" s="305"/>
      <c r="H30" s="289"/>
      <c r="I30" s="289"/>
      <c r="J30" s="289"/>
    </row>
    <row r="31" spans="1:11" ht="15" customHeight="1" x14ac:dyDescent="0.2">
      <c r="A31" s="289"/>
      <c r="B31" s="306" t="s">
        <v>1515</v>
      </c>
      <c r="C31" s="299"/>
      <c r="D31" s="300">
        <f>MIN(D10:D26)</f>
        <v>0.45952591710999213</v>
      </c>
      <c r="E31" s="300">
        <f t="shared" ref="E31:F31" si="1">MIN(E10:E26)</f>
        <v>0.38942831798827815</v>
      </c>
      <c r="F31" s="300">
        <f t="shared" si="1"/>
        <v>0</v>
      </c>
      <c r="G31" s="305"/>
      <c r="H31" s="289"/>
      <c r="I31" s="289"/>
      <c r="J31" s="289"/>
    </row>
    <row r="32" spans="1:11" ht="15" customHeight="1" x14ac:dyDescent="0.2">
      <c r="A32" s="289"/>
      <c r="B32" s="241"/>
      <c r="C32" s="299"/>
      <c r="D32" s="305"/>
      <c r="E32" s="305"/>
      <c r="F32" s="305"/>
      <c r="G32" s="305"/>
      <c r="H32" s="305"/>
      <c r="I32" s="289"/>
      <c r="J32" s="289"/>
    </row>
    <row r="33" spans="1:10" ht="15" customHeight="1" x14ac:dyDescent="0.2">
      <c r="A33" s="289"/>
      <c r="B33" s="307" t="s">
        <v>88</v>
      </c>
      <c r="C33" s="299"/>
      <c r="D33" s="305"/>
      <c r="E33" s="305"/>
      <c r="F33" s="305"/>
      <c r="G33" s="305"/>
      <c r="H33" s="305"/>
      <c r="I33" s="289"/>
      <c r="J33" s="289"/>
    </row>
    <row r="34" spans="1:10" ht="15" customHeight="1" x14ac:dyDescent="0.2">
      <c r="A34" s="289"/>
      <c r="B34" s="308" t="s">
        <v>1516</v>
      </c>
      <c r="C34" s="299"/>
      <c r="D34" s="305"/>
      <c r="E34" s="305"/>
      <c r="F34" s="305"/>
      <c r="G34" s="305"/>
      <c r="H34" s="305"/>
      <c r="I34" s="289"/>
      <c r="J34" s="289"/>
    </row>
    <row r="35" spans="1:10" ht="15" customHeight="1" x14ac:dyDescent="0.2">
      <c r="A35" s="289"/>
      <c r="B35" s="309" t="s">
        <v>1517</v>
      </c>
      <c r="C35" s="299"/>
      <c r="D35" s="305"/>
      <c r="E35" s="305"/>
      <c r="F35" s="305"/>
      <c r="G35" s="305"/>
      <c r="H35" s="305"/>
      <c r="I35" s="289"/>
      <c r="J35" s="289"/>
    </row>
    <row r="36" spans="1:10" ht="15" customHeight="1" x14ac:dyDescent="0.2">
      <c r="A36" s="289"/>
      <c r="B36" s="298"/>
      <c r="C36" s="299"/>
      <c r="D36" s="305"/>
      <c r="E36" s="305"/>
      <c r="F36" s="305"/>
      <c r="G36" s="305"/>
      <c r="H36" s="305"/>
      <c r="I36" s="289"/>
      <c r="J36" s="289"/>
    </row>
    <row r="37" spans="1:10" ht="15" customHeight="1" x14ac:dyDescent="0.2">
      <c r="A37" s="289"/>
      <c r="B37" s="298"/>
      <c r="C37" s="299"/>
      <c r="D37" s="305"/>
      <c r="E37" s="305"/>
      <c r="F37" s="305"/>
      <c r="G37" s="305"/>
      <c r="H37" s="305"/>
      <c r="I37" s="289"/>
      <c r="J37" s="289"/>
    </row>
  </sheetData>
  <mergeCells count="1">
    <mergeCell ref="B4:G4"/>
  </mergeCells>
  <printOptions horizontalCentered="1"/>
  <pageMargins left="0.7" right="0.7" top="0.75" bottom="0.75" header="0.3" footer="0.3"/>
  <pageSetup scale="74" orientation="portrait" useFirstPageNumber="1" horizontalDpi="1200" verticalDpi="1200" r:id="rId1"/>
  <headerFooter scaleWithDoc="0">
    <oddHeader>&amp;LREFILED April 19, 2023</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48"/>
  <sheetViews>
    <sheetView view="pageLayout" zoomScaleNormal="80" zoomScaleSheetLayoutView="100" workbookViewId="0">
      <selection activeCell="C64" sqref="C64"/>
    </sheetView>
  </sheetViews>
  <sheetFormatPr defaultColWidth="9.140625" defaultRowHeight="12.75" x14ac:dyDescent="0.2"/>
  <cols>
    <col min="1" max="1" width="3.140625" style="18" customWidth="1"/>
    <col min="2" max="2" width="36.42578125" style="18" customWidth="1"/>
    <col min="3" max="3" width="15.5703125" style="18" customWidth="1"/>
    <col min="4" max="4" width="18.7109375" style="18" customWidth="1"/>
    <col min="5" max="5" width="21.85546875" style="18" customWidth="1"/>
    <col min="6" max="6" width="17.5703125" style="18" customWidth="1"/>
    <col min="7" max="7" width="22.42578125" style="18" customWidth="1"/>
    <col min="8" max="8" width="13.7109375" style="18" customWidth="1"/>
    <col min="9" max="9" width="13.85546875" style="18" customWidth="1"/>
    <col min="10" max="12" width="15.5703125" style="18" customWidth="1"/>
    <col min="13" max="13" width="7.5703125" style="18" customWidth="1"/>
    <col min="14" max="14" width="6.28515625" style="18" customWidth="1"/>
    <col min="15" max="16384" width="9.140625" style="18"/>
  </cols>
  <sheetData>
    <row r="2" spans="2:15" x14ac:dyDescent="0.2">
      <c r="B2" s="351" t="s">
        <v>1280</v>
      </c>
      <c r="C2" s="351"/>
      <c r="D2" s="351"/>
      <c r="E2" s="351"/>
      <c r="F2" s="351"/>
      <c r="G2" s="351"/>
      <c r="H2" s="351"/>
      <c r="I2" s="351"/>
      <c r="J2" s="351"/>
      <c r="K2" s="351"/>
      <c r="L2" s="351"/>
    </row>
    <row r="4" spans="2:15" ht="13.5" thickBot="1" x14ac:dyDescent="0.25">
      <c r="D4" s="19" t="s">
        <v>28</v>
      </c>
      <c r="E4" s="19" t="s">
        <v>29</v>
      </c>
      <c r="F4" s="19" t="s">
        <v>30</v>
      </c>
      <c r="G4" s="19" t="s">
        <v>31</v>
      </c>
      <c r="H4" s="19" t="s">
        <v>32</v>
      </c>
      <c r="I4" s="19" t="s">
        <v>33</v>
      </c>
      <c r="J4" s="20" t="s">
        <v>93</v>
      </c>
      <c r="K4" s="20" t="s">
        <v>94</v>
      </c>
      <c r="L4" s="20" t="s">
        <v>95</v>
      </c>
    </row>
    <row r="5" spans="2:15" ht="51" x14ac:dyDescent="0.2">
      <c r="B5" s="21" t="s">
        <v>34</v>
      </c>
      <c r="C5" s="22" t="s">
        <v>35</v>
      </c>
      <c r="D5" s="23" t="s">
        <v>36</v>
      </c>
      <c r="E5" s="24" t="s">
        <v>37</v>
      </c>
      <c r="F5" s="24" t="s">
        <v>38</v>
      </c>
      <c r="G5" s="24" t="s">
        <v>39</v>
      </c>
      <c r="H5" s="24" t="s">
        <v>1282</v>
      </c>
      <c r="I5" s="24" t="s">
        <v>1283</v>
      </c>
      <c r="J5" s="24" t="s">
        <v>1281</v>
      </c>
      <c r="K5" s="24" t="s">
        <v>1284</v>
      </c>
      <c r="L5" s="24" t="s">
        <v>40</v>
      </c>
    </row>
    <row r="6" spans="2:15" x14ac:dyDescent="0.2">
      <c r="B6" s="25" t="s">
        <v>41</v>
      </c>
      <c r="C6" s="26" t="s">
        <v>42</v>
      </c>
      <c r="D6" s="19" t="s">
        <v>43</v>
      </c>
      <c r="E6" s="19" t="s">
        <v>44</v>
      </c>
      <c r="F6" s="19" t="s">
        <v>43</v>
      </c>
      <c r="G6" s="19" t="s">
        <v>43</v>
      </c>
      <c r="H6" s="19" t="s">
        <v>43</v>
      </c>
      <c r="I6" s="27">
        <v>0.41537837815531509</v>
      </c>
      <c r="J6" s="27">
        <v>0.95565766732374791</v>
      </c>
      <c r="K6" s="27">
        <v>0.97395560414470383</v>
      </c>
      <c r="L6" s="19" t="s">
        <v>45</v>
      </c>
      <c r="M6" s="27"/>
      <c r="N6" s="28"/>
      <c r="O6" s="29"/>
    </row>
    <row r="7" spans="2:15" x14ac:dyDescent="0.2">
      <c r="B7" s="25" t="s">
        <v>46</v>
      </c>
      <c r="C7" s="26" t="s">
        <v>47</v>
      </c>
      <c r="D7" s="19" t="s">
        <v>43</v>
      </c>
      <c r="E7" s="19" t="s">
        <v>48</v>
      </c>
      <c r="F7" s="19" t="s">
        <v>43</v>
      </c>
      <c r="G7" s="19" t="s">
        <v>43</v>
      </c>
      <c r="H7" s="19" t="s">
        <v>43</v>
      </c>
      <c r="I7" s="27">
        <v>0.7096799983712252</v>
      </c>
      <c r="J7" s="27">
        <v>0.96599581863919626</v>
      </c>
      <c r="K7" s="27">
        <v>0.91184545313469878</v>
      </c>
      <c r="L7" s="19" t="s">
        <v>45</v>
      </c>
      <c r="M7" s="27"/>
      <c r="N7" s="28"/>
      <c r="O7" s="29"/>
    </row>
    <row r="8" spans="2:15" x14ac:dyDescent="0.2">
      <c r="B8" s="25" t="s">
        <v>49</v>
      </c>
      <c r="C8" s="26" t="s">
        <v>50</v>
      </c>
      <c r="D8" s="19" t="s">
        <v>43</v>
      </c>
      <c r="E8" s="19" t="s">
        <v>51</v>
      </c>
      <c r="F8" s="19" t="s">
        <v>43</v>
      </c>
      <c r="G8" s="19" t="s">
        <v>43</v>
      </c>
      <c r="H8" s="19" t="s">
        <v>43</v>
      </c>
      <c r="I8" s="27">
        <v>0.76042458121987178</v>
      </c>
      <c r="J8" s="27">
        <v>1</v>
      </c>
      <c r="K8" s="27">
        <v>0.85031151770351732</v>
      </c>
      <c r="L8" s="19" t="s">
        <v>45</v>
      </c>
      <c r="M8" s="27"/>
      <c r="N8" s="28"/>
      <c r="O8" s="29"/>
    </row>
    <row r="9" spans="2:15" x14ac:dyDescent="0.2">
      <c r="B9" s="25" t="s">
        <v>52</v>
      </c>
      <c r="C9" s="26" t="s">
        <v>53</v>
      </c>
      <c r="D9" s="19" t="s">
        <v>43</v>
      </c>
      <c r="E9" s="19" t="s">
        <v>48</v>
      </c>
      <c r="F9" s="19" t="s">
        <v>43</v>
      </c>
      <c r="G9" s="19" t="s">
        <v>43</v>
      </c>
      <c r="H9" s="19" t="s">
        <v>43</v>
      </c>
      <c r="I9" s="27">
        <v>0.5291264730385169</v>
      </c>
      <c r="J9" s="27">
        <v>0.95433675045664756</v>
      </c>
      <c r="K9" s="27">
        <v>1</v>
      </c>
      <c r="L9" s="19" t="s">
        <v>45</v>
      </c>
      <c r="M9" s="27"/>
      <c r="N9" s="28"/>
      <c r="O9" s="29"/>
    </row>
    <row r="10" spans="2:15" x14ac:dyDescent="0.2">
      <c r="B10" s="25" t="s">
        <v>55</v>
      </c>
      <c r="C10" s="26" t="s">
        <v>56</v>
      </c>
      <c r="D10" s="19" t="s">
        <v>43</v>
      </c>
      <c r="E10" s="19" t="s">
        <v>44</v>
      </c>
      <c r="F10" s="19" t="s">
        <v>43</v>
      </c>
      <c r="G10" s="19" t="s">
        <v>43</v>
      </c>
      <c r="H10" s="19" t="s">
        <v>43</v>
      </c>
      <c r="I10" s="27">
        <v>0.5938380901161785</v>
      </c>
      <c r="J10" s="27">
        <v>1</v>
      </c>
      <c r="K10" s="27">
        <v>0.76097580604861204</v>
      </c>
      <c r="L10" s="19" t="s">
        <v>45</v>
      </c>
      <c r="M10" s="27"/>
      <c r="N10" s="28"/>
      <c r="O10" s="29"/>
    </row>
    <row r="11" spans="2:15" x14ac:dyDescent="0.2">
      <c r="B11" s="25" t="s">
        <v>57</v>
      </c>
      <c r="C11" s="26" t="s">
        <v>58</v>
      </c>
      <c r="D11" s="19" t="s">
        <v>43</v>
      </c>
      <c r="E11" s="19" t="s">
        <v>51</v>
      </c>
      <c r="F11" s="19" t="s">
        <v>43</v>
      </c>
      <c r="G11" s="19" t="s">
        <v>43</v>
      </c>
      <c r="H11" s="19" t="s">
        <v>43</v>
      </c>
      <c r="I11" s="27">
        <v>0.41357477604198123</v>
      </c>
      <c r="J11" s="27">
        <v>0.98755242061999804</v>
      </c>
      <c r="K11" s="27">
        <v>0.68140777308599498</v>
      </c>
      <c r="L11" s="19" t="s">
        <v>45</v>
      </c>
      <c r="M11" s="27"/>
      <c r="N11" s="28"/>
      <c r="O11" s="29"/>
    </row>
    <row r="12" spans="2:15" x14ac:dyDescent="0.2">
      <c r="B12" s="25" t="s">
        <v>60</v>
      </c>
      <c r="C12" s="26" t="s">
        <v>61</v>
      </c>
      <c r="D12" s="19" t="s">
        <v>43</v>
      </c>
      <c r="E12" s="19" t="s">
        <v>51</v>
      </c>
      <c r="F12" s="19" t="s">
        <v>43</v>
      </c>
      <c r="G12" s="19" t="s">
        <v>43</v>
      </c>
      <c r="H12" s="19" t="s">
        <v>43</v>
      </c>
      <c r="I12" s="27">
        <v>0.82343119959674216</v>
      </c>
      <c r="J12" s="27">
        <v>0.99363057324840776</v>
      </c>
      <c r="K12" s="27">
        <v>0.90892081745097852</v>
      </c>
      <c r="L12" s="19" t="s">
        <v>45</v>
      </c>
      <c r="M12" s="27"/>
      <c r="N12" s="28"/>
      <c r="O12" s="29"/>
    </row>
    <row r="13" spans="2:15" x14ac:dyDescent="0.2">
      <c r="B13" s="25" t="s">
        <v>64</v>
      </c>
      <c r="C13" s="26" t="s">
        <v>65</v>
      </c>
      <c r="D13" s="19" t="s">
        <v>43</v>
      </c>
      <c r="E13" s="19" t="s">
        <v>51</v>
      </c>
      <c r="F13" s="19" t="s">
        <v>43</v>
      </c>
      <c r="G13" s="19" t="s">
        <v>43</v>
      </c>
      <c r="H13" s="19" t="s">
        <v>43</v>
      </c>
      <c r="I13" s="27">
        <v>0.68341748921567691</v>
      </c>
      <c r="J13" s="27">
        <v>1</v>
      </c>
      <c r="K13" s="27">
        <v>0.99407178621135894</v>
      </c>
      <c r="L13" s="19" t="s">
        <v>45</v>
      </c>
      <c r="M13" s="27"/>
      <c r="N13" s="28"/>
      <c r="O13" s="29"/>
    </row>
    <row r="14" spans="2:15" s="245" customFormat="1" x14ac:dyDescent="0.2">
      <c r="B14" s="319" t="s">
        <v>1398</v>
      </c>
      <c r="C14" s="244" t="s">
        <v>66</v>
      </c>
      <c r="D14" s="320" t="s">
        <v>43</v>
      </c>
      <c r="E14" s="320" t="s">
        <v>48</v>
      </c>
      <c r="F14" s="320" t="s">
        <v>43</v>
      </c>
      <c r="G14" s="320" t="s">
        <v>43</v>
      </c>
      <c r="H14" s="320" t="s">
        <v>43</v>
      </c>
      <c r="I14" s="321">
        <v>0.625198229912587</v>
      </c>
      <c r="J14" s="321">
        <v>1</v>
      </c>
      <c r="K14" s="321">
        <v>1</v>
      </c>
      <c r="L14" s="320" t="s">
        <v>45</v>
      </c>
      <c r="M14" s="321"/>
      <c r="N14" s="322"/>
      <c r="O14" s="323"/>
    </row>
    <row r="15" spans="2:15" x14ac:dyDescent="0.2">
      <c r="B15" s="25" t="s">
        <v>69</v>
      </c>
      <c r="C15" s="26" t="s">
        <v>70</v>
      </c>
      <c r="D15" s="19" t="s">
        <v>43</v>
      </c>
      <c r="E15" s="19" t="s">
        <v>44</v>
      </c>
      <c r="F15" s="19" t="s">
        <v>43</v>
      </c>
      <c r="G15" s="19" t="s">
        <v>43</v>
      </c>
      <c r="H15" s="19" t="s">
        <v>43</v>
      </c>
      <c r="I15" s="27">
        <v>0.68945662269496999</v>
      </c>
      <c r="J15" s="27">
        <v>0.99836497447596351</v>
      </c>
      <c r="K15" s="27">
        <v>1</v>
      </c>
      <c r="L15" s="19" t="s">
        <v>45</v>
      </c>
      <c r="M15" s="27"/>
      <c r="N15" s="28"/>
      <c r="O15" s="29"/>
    </row>
    <row r="16" spans="2:15" x14ac:dyDescent="0.2">
      <c r="B16" s="25" t="s">
        <v>71</v>
      </c>
      <c r="C16" s="26" t="s">
        <v>72</v>
      </c>
      <c r="D16" s="19" t="s">
        <v>43</v>
      </c>
      <c r="E16" s="19" t="s">
        <v>48</v>
      </c>
      <c r="F16" s="19" t="s">
        <v>43</v>
      </c>
      <c r="G16" s="19" t="s">
        <v>43</v>
      </c>
      <c r="H16" s="19" t="s">
        <v>43</v>
      </c>
      <c r="I16" s="27">
        <v>0.96847492372114841</v>
      </c>
      <c r="J16" s="27">
        <v>0.85066317842842709</v>
      </c>
      <c r="K16" s="27">
        <v>1</v>
      </c>
      <c r="L16" s="19" t="s">
        <v>45</v>
      </c>
      <c r="M16" s="27"/>
      <c r="N16" s="28"/>
      <c r="O16" s="29"/>
    </row>
    <row r="17" spans="2:15" x14ac:dyDescent="0.2">
      <c r="B17" s="25" t="s">
        <v>74</v>
      </c>
      <c r="C17" s="26" t="s">
        <v>75</v>
      </c>
      <c r="D17" s="19" t="s">
        <v>43</v>
      </c>
      <c r="E17" s="19" t="s">
        <v>44</v>
      </c>
      <c r="F17" s="19" t="s">
        <v>43</v>
      </c>
      <c r="G17" s="19" t="s">
        <v>43</v>
      </c>
      <c r="H17" s="19" t="s">
        <v>43</v>
      </c>
      <c r="I17" s="27">
        <v>0.56481426221945041</v>
      </c>
      <c r="J17" s="27">
        <v>0.99748804705537031</v>
      </c>
      <c r="K17" s="27">
        <v>0.84217440536027144</v>
      </c>
      <c r="L17" s="19" t="s">
        <v>45</v>
      </c>
      <c r="M17" s="27"/>
      <c r="N17" s="28"/>
      <c r="O17" s="29"/>
    </row>
    <row r="18" spans="2:15" x14ac:dyDescent="0.2">
      <c r="B18" s="25" t="s">
        <v>76</v>
      </c>
      <c r="C18" s="26" t="s">
        <v>77</v>
      </c>
      <c r="D18" s="19" t="s">
        <v>43</v>
      </c>
      <c r="E18" s="19" t="s">
        <v>51</v>
      </c>
      <c r="F18" s="19" t="s">
        <v>43</v>
      </c>
      <c r="G18" s="19" t="s">
        <v>43</v>
      </c>
      <c r="H18" s="19" t="s">
        <v>43</v>
      </c>
      <c r="I18" s="27">
        <v>0.55058942127864341</v>
      </c>
      <c r="J18" s="27">
        <v>1</v>
      </c>
      <c r="K18" s="27">
        <v>1</v>
      </c>
      <c r="L18" s="19" t="s">
        <v>45</v>
      </c>
      <c r="M18" s="27"/>
      <c r="N18" s="28"/>
      <c r="O18" s="29"/>
    </row>
    <row r="19" spans="2:15" x14ac:dyDescent="0.2">
      <c r="B19" s="25" t="s">
        <v>78</v>
      </c>
      <c r="C19" s="26" t="s">
        <v>79</v>
      </c>
      <c r="D19" s="19" t="s">
        <v>43</v>
      </c>
      <c r="E19" s="19" t="s">
        <v>44</v>
      </c>
      <c r="F19" s="19" t="s">
        <v>43</v>
      </c>
      <c r="G19" s="19" t="s">
        <v>43</v>
      </c>
      <c r="H19" s="19" t="s">
        <v>43</v>
      </c>
      <c r="I19" s="27">
        <v>0.5569755965120754</v>
      </c>
      <c r="J19" s="27">
        <v>0.72687746723498936</v>
      </c>
      <c r="K19" s="27">
        <v>1</v>
      </c>
      <c r="L19" s="19" t="s">
        <v>45</v>
      </c>
      <c r="M19" s="27"/>
      <c r="N19" s="28"/>
      <c r="O19" s="29"/>
    </row>
    <row r="20" spans="2:15" x14ac:dyDescent="0.2">
      <c r="B20" s="25" t="s">
        <v>80</v>
      </c>
      <c r="C20" s="26" t="s">
        <v>81</v>
      </c>
      <c r="D20" s="19" t="s">
        <v>43</v>
      </c>
      <c r="E20" s="19" t="s">
        <v>51</v>
      </c>
      <c r="F20" s="19" t="s">
        <v>43</v>
      </c>
      <c r="G20" s="19" t="s">
        <v>43</v>
      </c>
      <c r="H20" s="19" t="s">
        <v>43</v>
      </c>
      <c r="I20" s="27">
        <v>0.60815484515513285</v>
      </c>
      <c r="J20" s="27">
        <v>1</v>
      </c>
      <c r="K20" s="27">
        <v>1</v>
      </c>
      <c r="L20" s="19" t="s">
        <v>45</v>
      </c>
      <c r="M20" s="27"/>
      <c r="N20" s="28"/>
      <c r="O20" s="29"/>
    </row>
    <row r="21" spans="2:15" x14ac:dyDescent="0.2">
      <c r="B21" s="25" t="s">
        <v>83</v>
      </c>
      <c r="C21" s="26" t="s">
        <v>84</v>
      </c>
      <c r="D21" s="19" t="s">
        <v>43</v>
      </c>
      <c r="E21" s="19" t="s">
        <v>51</v>
      </c>
      <c r="F21" s="19" t="s">
        <v>43</v>
      </c>
      <c r="G21" s="19" t="s">
        <v>43</v>
      </c>
      <c r="H21" s="19" t="s">
        <v>43</v>
      </c>
      <c r="I21" s="27">
        <v>0.77810550517526389</v>
      </c>
      <c r="J21" s="27">
        <v>0.84583521279296148</v>
      </c>
      <c r="K21" s="27">
        <v>0.80477730689550808</v>
      </c>
      <c r="L21" s="19" t="s">
        <v>45</v>
      </c>
      <c r="M21" s="27"/>
      <c r="N21" s="28"/>
      <c r="O21" s="29"/>
    </row>
    <row r="22" spans="2:15" ht="13.5" thickBot="1" x14ac:dyDescent="0.25">
      <c r="B22" s="31" t="s">
        <v>86</v>
      </c>
      <c r="C22" s="20" t="s">
        <v>87</v>
      </c>
      <c r="D22" s="20" t="s">
        <v>43</v>
      </c>
      <c r="E22" s="20" t="s">
        <v>48</v>
      </c>
      <c r="F22" s="20" t="s">
        <v>43</v>
      </c>
      <c r="G22" s="20" t="s">
        <v>43</v>
      </c>
      <c r="H22" s="20" t="s">
        <v>43</v>
      </c>
      <c r="I22" s="134">
        <v>0.57636782517518237</v>
      </c>
      <c r="J22" s="134">
        <v>1</v>
      </c>
      <c r="K22" s="134">
        <v>0.86467189233864328</v>
      </c>
      <c r="L22" s="20" t="s">
        <v>45</v>
      </c>
      <c r="M22" s="27"/>
      <c r="N22" s="28"/>
      <c r="O22" s="29"/>
    </row>
    <row r="23" spans="2:15" x14ac:dyDescent="0.2">
      <c r="M23" s="27"/>
    </row>
    <row r="24" spans="2:15" x14ac:dyDescent="0.2">
      <c r="M24" s="27"/>
    </row>
    <row r="25" spans="2:15" x14ac:dyDescent="0.2">
      <c r="B25" s="32" t="s">
        <v>88</v>
      </c>
    </row>
    <row r="26" spans="2:15" x14ac:dyDescent="0.2">
      <c r="B26" s="18" t="s">
        <v>89</v>
      </c>
    </row>
    <row r="27" spans="2:15" x14ac:dyDescent="0.2">
      <c r="B27" s="18" t="s">
        <v>90</v>
      </c>
    </row>
    <row r="28" spans="2:15" ht="12.75" customHeight="1" x14ac:dyDescent="0.2">
      <c r="B28" s="18" t="s">
        <v>91</v>
      </c>
    </row>
    <row r="29" spans="2:15" ht="12.75" customHeight="1" x14ac:dyDescent="0.2">
      <c r="B29" s="18" t="s">
        <v>92</v>
      </c>
    </row>
    <row r="30" spans="2:15" ht="12.75" customHeight="1" x14ac:dyDescent="0.2">
      <c r="B30" s="18" t="s">
        <v>1285</v>
      </c>
    </row>
    <row r="31" spans="2:15" ht="12.75" customHeight="1" x14ac:dyDescent="0.2">
      <c r="B31" s="18" t="s">
        <v>1286</v>
      </c>
    </row>
    <row r="32" spans="2:15" ht="12.75" customHeight="1" x14ac:dyDescent="0.2">
      <c r="B32" s="18" t="s">
        <v>1287</v>
      </c>
    </row>
    <row r="33" spans="2:12" ht="12.75" customHeight="1" x14ac:dyDescent="0.2">
      <c r="B33" s="18" t="s">
        <v>1288</v>
      </c>
    </row>
    <row r="34" spans="2:12" x14ac:dyDescent="0.2">
      <c r="B34" s="18" t="s">
        <v>1289</v>
      </c>
    </row>
    <row r="35" spans="2:12" x14ac:dyDescent="0.2">
      <c r="B35" s="352" t="s">
        <v>1290</v>
      </c>
      <c r="C35" s="352"/>
      <c r="D35" s="352"/>
      <c r="E35" s="352"/>
      <c r="F35" s="352"/>
      <c r="G35" s="352"/>
      <c r="H35" s="352"/>
      <c r="I35" s="352"/>
      <c r="J35" s="352"/>
      <c r="K35" s="352"/>
      <c r="L35" s="352"/>
    </row>
    <row r="36" spans="2:12" x14ac:dyDescent="0.2">
      <c r="C36" s="33"/>
    </row>
    <row r="37" spans="2:12" x14ac:dyDescent="0.2">
      <c r="C37" s="19"/>
    </row>
    <row r="46" spans="2:12" x14ac:dyDescent="0.2">
      <c r="B46" s="25"/>
    </row>
    <row r="47" spans="2:12" x14ac:dyDescent="0.2">
      <c r="B47" s="25"/>
    </row>
    <row r="48" spans="2:12" x14ac:dyDescent="0.2">
      <c r="B48" s="25"/>
    </row>
  </sheetData>
  <mergeCells count="2">
    <mergeCell ref="B2:L2"/>
    <mergeCell ref="B35:L35"/>
  </mergeCells>
  <conditionalFormatting sqref="B7:C21">
    <cfRule type="expression" dxfId="21" priority="15">
      <formula>"(blank)"</formula>
    </cfRule>
  </conditionalFormatting>
  <conditionalFormatting sqref="B7:C21">
    <cfRule type="expression" dxfId="20" priority="16">
      <formula>#REF!</formula>
    </cfRule>
  </conditionalFormatting>
  <conditionalFormatting sqref="B22">
    <cfRule type="expression" dxfId="19" priority="13">
      <formula>"(blank)"</formula>
    </cfRule>
  </conditionalFormatting>
  <conditionalFormatting sqref="B22">
    <cfRule type="expression" dxfId="18" priority="14">
      <formula>#REF!</formula>
    </cfRule>
  </conditionalFormatting>
  <conditionalFormatting sqref="B46">
    <cfRule type="expression" dxfId="17" priority="11">
      <formula>"(blank)"</formula>
    </cfRule>
  </conditionalFormatting>
  <conditionalFormatting sqref="B46">
    <cfRule type="expression" dxfId="16" priority="12">
      <formula>#REF!</formula>
    </cfRule>
  </conditionalFormatting>
  <conditionalFormatting sqref="B47">
    <cfRule type="expression" dxfId="15" priority="9">
      <formula>"(blank)"</formula>
    </cfRule>
  </conditionalFormatting>
  <conditionalFormatting sqref="B47">
    <cfRule type="expression" dxfId="14" priority="10">
      <formula>#REF!</formula>
    </cfRule>
  </conditionalFormatting>
  <conditionalFormatting sqref="B48">
    <cfRule type="expression" dxfId="13" priority="7">
      <formula>"(blank)"</formula>
    </cfRule>
  </conditionalFormatting>
  <conditionalFormatting sqref="B48">
    <cfRule type="expression" dxfId="12" priority="8">
      <formula>#REF!</formula>
    </cfRule>
  </conditionalFormatting>
  <printOptions horizontalCentered="1"/>
  <pageMargins left="0.7" right="0.7" top="1.25" bottom="0.75" header="0.3" footer="0.3"/>
  <pageSetup scale="57" orientation="landscape" useFirstPageNumber="1" r:id="rId1"/>
  <headerFooter>
    <oddHeader>&amp;LREFILED April 19, 2023</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1"/>
  <sheetViews>
    <sheetView view="pageLayout" zoomScaleNormal="100" zoomScaleSheetLayoutView="100" workbookViewId="0">
      <selection activeCell="C1" sqref="C1"/>
    </sheetView>
  </sheetViews>
  <sheetFormatPr defaultColWidth="11.5703125" defaultRowHeight="12.75" x14ac:dyDescent="0.2"/>
  <cols>
    <col min="1" max="1" width="42.5703125" style="37" customWidth="1"/>
    <col min="2" max="2" width="11.5703125" style="37" bestFit="1" customWidth="1"/>
    <col min="3" max="4" width="11.5703125" style="36" bestFit="1" customWidth="1"/>
    <col min="5" max="9" width="11.5703125" style="36" customWidth="1"/>
    <col min="10" max="10" width="11.5703125" style="36" bestFit="1" customWidth="1"/>
    <col min="11" max="11" width="11.140625" style="36" customWidth="1"/>
    <col min="12" max="13" width="12.140625" style="36" customWidth="1"/>
    <col min="14" max="16384" width="11.5703125" style="37"/>
  </cols>
  <sheetData>
    <row r="1" spans="1:15" x14ac:dyDescent="0.2">
      <c r="A1" s="34"/>
      <c r="B1" s="34"/>
      <c r="C1" s="35"/>
    </row>
    <row r="2" spans="1:15" x14ac:dyDescent="0.2">
      <c r="A2" s="353" t="s">
        <v>1541</v>
      </c>
      <c r="B2" s="353"/>
      <c r="C2" s="353"/>
      <c r="D2" s="353"/>
      <c r="E2" s="353"/>
      <c r="F2" s="353"/>
      <c r="G2" s="353"/>
      <c r="H2" s="353"/>
      <c r="I2" s="353"/>
      <c r="J2" s="353"/>
      <c r="K2" s="353"/>
      <c r="L2" s="353"/>
      <c r="M2" s="353"/>
    </row>
    <row r="4" spans="1:15" ht="13.5" thickBot="1" x14ac:dyDescent="0.25">
      <c r="C4" s="36" t="s">
        <v>28</v>
      </c>
      <c r="D4" s="36" t="s">
        <v>29</v>
      </c>
      <c r="E4" s="38" t="s">
        <v>30</v>
      </c>
      <c r="F4" s="38" t="s">
        <v>31</v>
      </c>
      <c r="G4" s="36" t="s">
        <v>32</v>
      </c>
      <c r="H4" s="36" t="s">
        <v>33</v>
      </c>
      <c r="I4" s="36" t="s">
        <v>93</v>
      </c>
      <c r="J4" s="36" t="s">
        <v>94</v>
      </c>
      <c r="K4" s="36" t="s">
        <v>95</v>
      </c>
      <c r="L4" s="36" t="s">
        <v>96</v>
      </c>
      <c r="M4" s="36" t="s">
        <v>97</v>
      </c>
    </row>
    <row r="5" spans="1:15" ht="42.95" customHeight="1" x14ac:dyDescent="0.2">
      <c r="A5" s="39" t="s">
        <v>34</v>
      </c>
      <c r="B5" s="40" t="s">
        <v>35</v>
      </c>
      <c r="C5" s="41" t="s">
        <v>98</v>
      </c>
      <c r="D5" s="41" t="s">
        <v>99</v>
      </c>
      <c r="E5" s="42" t="s">
        <v>100</v>
      </c>
      <c r="F5" s="42" t="s">
        <v>101</v>
      </c>
      <c r="G5" s="41" t="s">
        <v>102</v>
      </c>
      <c r="H5" s="41" t="s">
        <v>103</v>
      </c>
      <c r="I5" s="41" t="s">
        <v>104</v>
      </c>
      <c r="J5" s="41" t="s">
        <v>105</v>
      </c>
      <c r="K5" s="43" t="s">
        <v>106</v>
      </c>
      <c r="L5" s="42" t="s">
        <v>107</v>
      </c>
      <c r="M5" s="43" t="s">
        <v>108</v>
      </c>
    </row>
    <row r="6" spans="1:15" x14ac:dyDescent="0.2">
      <c r="A6" s="44"/>
      <c r="B6" s="44"/>
      <c r="E6" s="45"/>
      <c r="F6" s="45"/>
    </row>
    <row r="7" spans="1:15" x14ac:dyDescent="0.2">
      <c r="A7" s="44" t="s">
        <v>41</v>
      </c>
      <c r="B7" s="46" t="s">
        <v>42</v>
      </c>
      <c r="C7" s="47">
        <v>2.6</v>
      </c>
      <c r="D7" s="47">
        <v>64.089000000000013</v>
      </c>
      <c r="E7" s="48">
        <f t="shared" ref="E7:E23" si="0">C7/D7</f>
        <v>4.0568584312440509E-2</v>
      </c>
      <c r="F7" s="48">
        <f t="shared" ref="F7:F23" si="1">IFERROR(E7*(1+0.5*J7),"")</f>
        <v>4.2211611977094346E-2</v>
      </c>
      <c r="G7" s="49">
        <v>0.06</v>
      </c>
      <c r="H7" s="49">
        <v>8.6999999999999994E-2</v>
      </c>
      <c r="I7" s="49">
        <v>9.6000000000000002E-2</v>
      </c>
      <c r="J7" s="50">
        <f t="shared" ref="J7:J23" si="2">AVERAGE(G7:I7)</f>
        <v>8.1000000000000003E-2</v>
      </c>
      <c r="K7" s="51">
        <f t="shared" ref="K7:K23" si="3">$E7*(1+0.5*MIN($G7:$I7))+MIN($G7:$I7)</f>
        <v>0.10178564184181373</v>
      </c>
      <c r="L7" s="48">
        <f t="shared" ref="L7:L23" si="4">F7+J7</f>
        <v>0.12321161197709435</v>
      </c>
      <c r="M7" s="27">
        <f t="shared" ref="M7:M23" si="5">$E7*(1+0.5*MAX($G7:$I7))+MAX($G7:$I7)</f>
        <v>0.13851587635943766</v>
      </c>
      <c r="O7" s="52"/>
    </row>
    <row r="8" spans="1:15" x14ac:dyDescent="0.2">
      <c r="A8" s="44" t="s">
        <v>46</v>
      </c>
      <c r="B8" s="46" t="s">
        <v>47</v>
      </c>
      <c r="C8" s="47">
        <v>1.81</v>
      </c>
      <c r="D8" s="47">
        <v>54.375500000000002</v>
      </c>
      <c r="E8" s="48">
        <f t="shared" si="0"/>
        <v>3.3287050234020836E-2</v>
      </c>
      <c r="F8" s="48">
        <f t="shared" si="1"/>
        <v>3.4249600769954605E-2</v>
      </c>
      <c r="G8" s="49">
        <v>0.06</v>
      </c>
      <c r="H8" s="49">
        <v>5.5500000000000001E-2</v>
      </c>
      <c r="I8" s="49">
        <v>5.7999999999999996E-2</v>
      </c>
      <c r="J8" s="50">
        <f t="shared" si="2"/>
        <v>5.7833333333333327E-2</v>
      </c>
      <c r="K8" s="51">
        <f t="shared" si="3"/>
        <v>8.9710765878014909E-2</v>
      </c>
      <c r="L8" s="48">
        <f t="shared" si="4"/>
        <v>9.2082934103287939E-2</v>
      </c>
      <c r="M8" s="27">
        <f t="shared" si="5"/>
        <v>9.4285661741041457E-2</v>
      </c>
      <c r="O8" s="52"/>
    </row>
    <row r="9" spans="1:15" x14ac:dyDescent="0.2">
      <c r="A9" s="44" t="s">
        <v>49</v>
      </c>
      <c r="B9" s="46" t="s">
        <v>50</v>
      </c>
      <c r="C9" s="47">
        <v>2.36</v>
      </c>
      <c r="D9" s="47">
        <v>88.150666666666694</v>
      </c>
      <c r="E9" s="48">
        <f t="shared" si="0"/>
        <v>2.6772344319574051E-2</v>
      </c>
      <c r="F9" s="48">
        <f t="shared" si="1"/>
        <v>2.7666540619847826E-2</v>
      </c>
      <c r="G9" s="49">
        <v>6.5000000000000002E-2</v>
      </c>
      <c r="H9" s="49">
        <v>6.6400000000000001E-2</v>
      </c>
      <c r="I9" s="49">
        <v>6.9000000000000006E-2</v>
      </c>
      <c r="J9" s="50">
        <f t="shared" si="2"/>
        <v>6.6800000000000012E-2</v>
      </c>
      <c r="K9" s="51">
        <f t="shared" si="3"/>
        <v>9.2642445509960203E-2</v>
      </c>
      <c r="L9" s="48">
        <f t="shared" si="4"/>
        <v>9.4466540619847841E-2</v>
      </c>
      <c r="M9" s="27">
        <f t="shared" si="5"/>
        <v>9.6695990198599369E-2</v>
      </c>
      <c r="O9" s="52"/>
    </row>
    <row r="10" spans="1:15" x14ac:dyDescent="0.2">
      <c r="A10" s="44" t="s">
        <v>52</v>
      </c>
      <c r="B10" s="46" t="s">
        <v>53</v>
      </c>
      <c r="C10" s="47">
        <v>3.32</v>
      </c>
      <c r="D10" s="47">
        <v>94.562333333333342</v>
      </c>
      <c r="E10" s="48">
        <f t="shared" si="0"/>
        <v>3.5109116737813147E-2</v>
      </c>
      <c r="F10" s="48">
        <f t="shared" si="1"/>
        <v>3.6206276635869811E-2</v>
      </c>
      <c r="G10" s="49">
        <v>6.5000000000000002E-2</v>
      </c>
      <c r="H10" s="49">
        <v>6.1500000000000006E-2</v>
      </c>
      <c r="I10" s="49">
        <v>6.0999999999999999E-2</v>
      </c>
      <c r="J10" s="50">
        <f t="shared" si="2"/>
        <v>6.25E-2</v>
      </c>
      <c r="K10" s="51">
        <f t="shared" si="3"/>
        <v>9.7179944798316445E-2</v>
      </c>
      <c r="L10" s="48">
        <f t="shared" si="4"/>
        <v>9.8706276635869811E-2</v>
      </c>
      <c r="M10" s="27">
        <f t="shared" si="5"/>
        <v>0.10125016303179207</v>
      </c>
      <c r="O10" s="52"/>
    </row>
    <row r="11" spans="1:15" x14ac:dyDescent="0.2">
      <c r="A11" s="44" t="s">
        <v>55</v>
      </c>
      <c r="B11" s="46" t="s">
        <v>56</v>
      </c>
      <c r="C11" s="47">
        <v>1.76</v>
      </c>
      <c r="D11" s="47">
        <v>42.477999999999987</v>
      </c>
      <c r="E11" s="48">
        <f t="shared" si="0"/>
        <v>4.1433212486463596E-2</v>
      </c>
      <c r="F11" s="48">
        <f t="shared" si="1"/>
        <v>4.2393081909066661E-2</v>
      </c>
      <c r="G11" s="49">
        <v>3.5000000000000003E-2</v>
      </c>
      <c r="H11" s="49">
        <v>5.2000000000000005E-2</v>
      </c>
      <c r="I11" s="49">
        <v>5.2000000000000005E-2</v>
      </c>
      <c r="J11" s="50">
        <f t="shared" si="2"/>
        <v>4.6333333333333337E-2</v>
      </c>
      <c r="K11" s="51">
        <f t="shared" si="3"/>
        <v>7.7158293704976705E-2</v>
      </c>
      <c r="L11" s="48">
        <f t="shared" si="4"/>
        <v>8.8726415242399992E-2</v>
      </c>
      <c r="M11" s="27">
        <f t="shared" si="5"/>
        <v>9.4510476011111649E-2</v>
      </c>
      <c r="O11" s="52"/>
    </row>
    <row r="12" spans="1:15" x14ac:dyDescent="0.2">
      <c r="A12" s="44" t="s">
        <v>57</v>
      </c>
      <c r="B12" s="46" t="s">
        <v>58</v>
      </c>
      <c r="C12" s="47">
        <v>1.84</v>
      </c>
      <c r="D12" s="47">
        <v>63.117333333333328</v>
      </c>
      <c r="E12" s="48">
        <f t="shared" si="0"/>
        <v>2.9152055431154678E-2</v>
      </c>
      <c r="F12" s="48">
        <f t="shared" si="1"/>
        <v>3.0253517258861804E-2</v>
      </c>
      <c r="G12" s="49">
        <v>6.5000000000000002E-2</v>
      </c>
      <c r="H12" s="49">
        <v>8.1699999999999995E-2</v>
      </c>
      <c r="I12" s="49">
        <v>0.08</v>
      </c>
      <c r="J12" s="50">
        <f t="shared" si="2"/>
        <v>7.5566666666666671E-2</v>
      </c>
      <c r="K12" s="51">
        <f t="shared" si="3"/>
        <v>9.509949723266721E-2</v>
      </c>
      <c r="L12" s="48">
        <f t="shared" si="4"/>
        <v>0.10582018392552847</v>
      </c>
      <c r="M12" s="27">
        <f t="shared" si="5"/>
        <v>0.11204291689551735</v>
      </c>
      <c r="O12" s="52"/>
    </row>
    <row r="13" spans="1:15" x14ac:dyDescent="0.2">
      <c r="A13" s="44" t="s">
        <v>60</v>
      </c>
      <c r="B13" s="46" t="s">
        <v>61</v>
      </c>
      <c r="C13" s="47">
        <v>4.0199999999999996</v>
      </c>
      <c r="D13" s="47">
        <v>102.846</v>
      </c>
      <c r="E13" s="48">
        <f t="shared" si="0"/>
        <v>3.9087567819847145E-2</v>
      </c>
      <c r="F13" s="48">
        <f t="shared" si="1"/>
        <v>4.0139674853664702E-2</v>
      </c>
      <c r="G13" s="49">
        <v>0.05</v>
      </c>
      <c r="H13" s="49">
        <v>5.6500000000000002E-2</v>
      </c>
      <c r="I13" s="49">
        <v>5.5E-2</v>
      </c>
      <c r="J13" s="50">
        <f t="shared" si="2"/>
        <v>5.3833333333333337E-2</v>
      </c>
      <c r="K13" s="51">
        <f t="shared" si="3"/>
        <v>9.0064757015343333E-2</v>
      </c>
      <c r="L13" s="48">
        <f t="shared" si="4"/>
        <v>9.3973008186998039E-2</v>
      </c>
      <c r="M13" s="27">
        <f t="shared" si="5"/>
        <v>9.6691791610757832E-2</v>
      </c>
      <c r="O13" s="52"/>
    </row>
    <row r="14" spans="1:15" x14ac:dyDescent="0.2">
      <c r="A14" s="44" t="s">
        <v>64</v>
      </c>
      <c r="B14" s="46" t="s">
        <v>65</v>
      </c>
      <c r="C14" s="47">
        <v>4.28</v>
      </c>
      <c r="D14" s="47">
        <v>109.55166666666665</v>
      </c>
      <c r="E14" s="48">
        <f t="shared" si="0"/>
        <v>3.9068323926305708E-2</v>
      </c>
      <c r="F14" s="48">
        <f t="shared" si="1"/>
        <v>4.0122517533583861E-2</v>
      </c>
      <c r="G14" s="49">
        <v>0.04</v>
      </c>
      <c r="H14" s="49">
        <v>6.1900000000000004E-2</v>
      </c>
      <c r="I14" s="49">
        <v>0.06</v>
      </c>
      <c r="J14" s="50">
        <f t="shared" si="2"/>
        <v>5.3966666666666663E-2</v>
      </c>
      <c r="K14" s="51">
        <f t="shared" si="3"/>
        <v>7.9849690404831822E-2</v>
      </c>
      <c r="L14" s="48">
        <f t="shared" si="4"/>
        <v>9.4089184200250531E-2</v>
      </c>
      <c r="M14" s="27">
        <f t="shared" si="5"/>
        <v>0.10217748855182487</v>
      </c>
      <c r="O14" s="52"/>
    </row>
    <row r="15" spans="1:15" x14ac:dyDescent="0.2">
      <c r="A15" s="44" t="s">
        <v>1398</v>
      </c>
      <c r="B15" s="46" t="s">
        <v>66</v>
      </c>
      <c r="C15" s="47">
        <v>2.4500000000000002</v>
      </c>
      <c r="D15" s="47">
        <v>62.49633333333334</v>
      </c>
      <c r="E15" s="48">
        <f t="shared" si="0"/>
        <v>3.920229986825894E-2</v>
      </c>
      <c r="F15" s="48">
        <f t="shared" si="1"/>
        <v>4.0197384913248244E-2</v>
      </c>
      <c r="G15" s="49">
        <v>7.4999999999999997E-2</v>
      </c>
      <c r="H15" s="49">
        <v>2.4300000000000002E-2</v>
      </c>
      <c r="I15" s="49">
        <v>5.2999999999999999E-2</v>
      </c>
      <c r="J15" s="50">
        <f t="shared" ref="J15" si="6">AVERAGE(G15:I15)</f>
        <v>5.0766666666666661E-2</v>
      </c>
      <c r="K15" s="51">
        <f t="shared" si="3"/>
        <v>6.3978607811658289E-2</v>
      </c>
      <c r="L15" s="48">
        <f t="shared" ref="L15" si="7">F15+J15</f>
        <v>9.0964051579914912E-2</v>
      </c>
      <c r="M15" s="27">
        <f t="shared" si="5"/>
        <v>0.11567238611331865</v>
      </c>
      <c r="O15" s="52"/>
    </row>
    <row r="16" spans="1:15" x14ac:dyDescent="0.2">
      <c r="A16" s="44" t="s">
        <v>69</v>
      </c>
      <c r="B16" s="46" t="s">
        <v>70</v>
      </c>
      <c r="C16" s="47">
        <v>3.16</v>
      </c>
      <c r="D16" s="47">
        <v>106.54700000000003</v>
      </c>
      <c r="E16" s="48">
        <f t="shared" si="0"/>
        <v>2.9658272874881503E-2</v>
      </c>
      <c r="F16" s="48">
        <f t="shared" si="1"/>
        <v>3.0216837014025104E-2</v>
      </c>
      <c r="G16" s="49">
        <v>4.4999999999999998E-2</v>
      </c>
      <c r="H16" s="49">
        <v>3.4000000000000002E-2</v>
      </c>
      <c r="I16" s="49">
        <v>3.4000000000000002E-2</v>
      </c>
      <c r="J16" s="50">
        <f t="shared" si="2"/>
        <v>3.7666666666666668E-2</v>
      </c>
      <c r="K16" s="51">
        <f t="shared" si="3"/>
        <v>6.4162463513754486E-2</v>
      </c>
      <c r="L16" s="48">
        <f t="shared" si="4"/>
        <v>6.7883503680691765E-2</v>
      </c>
      <c r="M16" s="27">
        <f t="shared" si="5"/>
        <v>7.5325584014566335E-2</v>
      </c>
      <c r="O16" s="52"/>
    </row>
    <row r="17" spans="1:15" x14ac:dyDescent="0.2">
      <c r="A17" s="44" t="s">
        <v>71</v>
      </c>
      <c r="B17" s="46" t="s">
        <v>72</v>
      </c>
      <c r="C17" s="47">
        <v>1.7</v>
      </c>
      <c r="D17" s="47">
        <v>82.497</v>
      </c>
      <c r="E17" s="48">
        <f t="shared" si="0"/>
        <v>2.0606809944604045E-2</v>
      </c>
      <c r="F17" s="48">
        <f t="shared" si="1"/>
        <v>2.1627190483694353E-2</v>
      </c>
      <c r="G17" s="49">
        <v>0.105</v>
      </c>
      <c r="H17" s="49">
        <v>0.10210000000000001</v>
      </c>
      <c r="I17" s="49">
        <v>0.09</v>
      </c>
      <c r="J17" s="50">
        <f t="shared" si="2"/>
        <v>9.9033333333333348E-2</v>
      </c>
      <c r="K17" s="51">
        <f t="shared" si="3"/>
        <v>0.11153411639211122</v>
      </c>
      <c r="L17" s="48">
        <f t="shared" si="4"/>
        <v>0.1206605238170277</v>
      </c>
      <c r="M17" s="27">
        <f t="shared" si="5"/>
        <v>0.12668866746669574</v>
      </c>
      <c r="O17" s="52"/>
    </row>
    <row r="18" spans="1:15" x14ac:dyDescent="0.2">
      <c r="A18" s="44" t="s">
        <v>74</v>
      </c>
      <c r="B18" s="46" t="s">
        <v>75</v>
      </c>
      <c r="C18" s="47">
        <v>2.52</v>
      </c>
      <c r="D18" s="47">
        <v>57.74433333333333</v>
      </c>
      <c r="E18" s="48">
        <f t="shared" si="0"/>
        <v>4.3640645835377787E-2</v>
      </c>
      <c r="F18" s="48">
        <f t="shared" si="1"/>
        <v>4.4346169609716393E-2</v>
      </c>
      <c r="G18" s="49">
        <v>3.5000000000000003E-2</v>
      </c>
      <c r="H18" s="49">
        <v>4.4999999999999998E-2</v>
      </c>
      <c r="I18" s="49">
        <v>1.7000000000000001E-2</v>
      </c>
      <c r="J18" s="50">
        <f t="shared" si="2"/>
        <v>3.2333333333333332E-2</v>
      </c>
      <c r="K18" s="51">
        <f t="shared" si="3"/>
        <v>6.1011591324978499E-2</v>
      </c>
      <c r="L18" s="48">
        <f t="shared" si="4"/>
        <v>7.6679502943049732E-2</v>
      </c>
      <c r="M18" s="27">
        <f t="shared" si="5"/>
        <v>8.9622560366673792E-2</v>
      </c>
      <c r="O18" s="52"/>
    </row>
    <row r="19" spans="1:15" x14ac:dyDescent="0.2">
      <c r="A19" s="44" t="s">
        <v>76</v>
      </c>
      <c r="B19" s="46" t="s">
        <v>77</v>
      </c>
      <c r="C19" s="47">
        <v>1.6564000000000001</v>
      </c>
      <c r="D19" s="47">
        <v>39.205126666666665</v>
      </c>
      <c r="E19" s="48">
        <f t="shared" si="0"/>
        <v>4.2249576543475865E-2</v>
      </c>
      <c r="F19" s="48">
        <f t="shared" si="1"/>
        <v>4.3193150419613489E-2</v>
      </c>
      <c r="G19" s="49">
        <v>6.5000000000000002E-2</v>
      </c>
      <c r="H19" s="49">
        <v>1.9E-2</v>
      </c>
      <c r="I19" s="49">
        <v>0.05</v>
      </c>
      <c r="J19" s="50">
        <f t="shared" si="2"/>
        <v>4.4666666666666667E-2</v>
      </c>
      <c r="K19" s="51">
        <f t="shared" si="3"/>
        <v>6.1650947520638891E-2</v>
      </c>
      <c r="L19" s="48">
        <f t="shared" si="4"/>
        <v>8.7859817086280156E-2</v>
      </c>
      <c r="M19" s="27">
        <f t="shared" si="5"/>
        <v>0.10862268778113883</v>
      </c>
      <c r="O19" s="52"/>
    </row>
    <row r="20" spans="1:15" x14ac:dyDescent="0.2">
      <c r="A20" s="44" t="s">
        <v>78</v>
      </c>
      <c r="B20" s="46" t="s">
        <v>79</v>
      </c>
      <c r="C20" s="47">
        <v>1.65</v>
      </c>
      <c r="D20" s="47">
        <v>60.437666666666672</v>
      </c>
      <c r="E20" s="48">
        <f t="shared" si="0"/>
        <v>2.7300855426803369E-2</v>
      </c>
      <c r="F20" s="48">
        <f t="shared" si="1"/>
        <v>2.8222259297457981E-2</v>
      </c>
      <c r="G20" s="49">
        <v>4.4999999999999998E-2</v>
      </c>
      <c r="H20" s="49">
        <v>0.09</v>
      </c>
      <c r="I20" s="49" t="s">
        <v>109</v>
      </c>
      <c r="J20" s="50">
        <f t="shared" si="2"/>
        <v>6.7500000000000004E-2</v>
      </c>
      <c r="K20" s="51">
        <f t="shared" si="3"/>
        <v>7.2915124673906442E-2</v>
      </c>
      <c r="L20" s="48">
        <f t="shared" si="4"/>
        <v>9.5722259297457979E-2</v>
      </c>
      <c r="M20" s="27">
        <f t="shared" si="5"/>
        <v>0.11852939392100952</v>
      </c>
      <c r="O20" s="52"/>
    </row>
    <row r="21" spans="1:15" x14ac:dyDescent="0.2">
      <c r="A21" s="44" t="s">
        <v>80</v>
      </c>
      <c r="B21" s="46" t="s">
        <v>81</v>
      </c>
      <c r="C21" s="47">
        <v>1.81</v>
      </c>
      <c r="D21" s="47">
        <v>48.16570333333334</v>
      </c>
      <c r="E21" s="48">
        <f t="shared" si="0"/>
        <v>3.7578606243405144E-2</v>
      </c>
      <c r="F21" s="48">
        <f t="shared" si="1"/>
        <v>3.8310762755047488E-2</v>
      </c>
      <c r="G21" s="49">
        <v>0.05</v>
      </c>
      <c r="H21" s="49">
        <v>1.3899999999999999E-2</v>
      </c>
      <c r="I21" s="49">
        <v>5.2999999999999999E-2</v>
      </c>
      <c r="J21" s="50">
        <f t="shared" si="2"/>
        <v>3.896666666666667E-2</v>
      </c>
      <c r="K21" s="51">
        <f t="shared" si="3"/>
        <v>5.1739777556796804E-2</v>
      </c>
      <c r="L21" s="48">
        <f t="shared" si="4"/>
        <v>7.7277429421714158E-2</v>
      </c>
      <c r="M21" s="27">
        <f t="shared" si="5"/>
        <v>9.1574439308855379E-2</v>
      </c>
      <c r="O21" s="52"/>
    </row>
    <row r="22" spans="1:15" x14ac:dyDescent="0.2">
      <c r="A22" s="44" t="s">
        <v>83</v>
      </c>
      <c r="B22" s="46" t="s">
        <v>84</v>
      </c>
      <c r="C22" s="47">
        <v>2.72</v>
      </c>
      <c r="D22" s="47">
        <v>69.753333333333345</v>
      </c>
      <c r="E22" s="48">
        <f t="shared" si="0"/>
        <v>3.8994552231673515E-2</v>
      </c>
      <c r="F22" s="48">
        <f t="shared" si="1"/>
        <v>4.0098098059829876E-2</v>
      </c>
      <c r="G22" s="49">
        <v>6.5000000000000002E-2</v>
      </c>
      <c r="H22" s="49">
        <v>6.480000000000001E-2</v>
      </c>
      <c r="I22" s="49">
        <v>0.04</v>
      </c>
      <c r="J22" s="50">
        <f t="shared" si="2"/>
        <v>5.6600000000000011E-2</v>
      </c>
      <c r="K22" s="51">
        <f t="shared" si="3"/>
        <v>7.9774443276306978E-2</v>
      </c>
      <c r="L22" s="48">
        <f t="shared" si="4"/>
        <v>9.6698098059829887E-2</v>
      </c>
      <c r="M22" s="27">
        <f t="shared" si="5"/>
        <v>0.10526187517920291</v>
      </c>
      <c r="O22" s="52"/>
    </row>
    <row r="23" spans="1:15" x14ac:dyDescent="0.2">
      <c r="A23" s="44" t="s">
        <v>86</v>
      </c>
      <c r="B23" s="46" t="s">
        <v>87</v>
      </c>
      <c r="C23" s="47">
        <v>1.95</v>
      </c>
      <c r="D23" s="47">
        <v>69.894019999999969</v>
      </c>
      <c r="E23" s="48">
        <f t="shared" si="0"/>
        <v>2.7899382522281604E-2</v>
      </c>
      <c r="F23" s="48">
        <f t="shared" si="1"/>
        <v>2.8806577443964462E-2</v>
      </c>
      <c r="G23" s="49">
        <v>0.06</v>
      </c>
      <c r="H23" s="49">
        <v>7.0099999999999996E-2</v>
      </c>
      <c r="I23" s="49">
        <v>6.5000000000000002E-2</v>
      </c>
      <c r="J23" s="50">
        <f t="shared" si="2"/>
        <v>6.5033333333333332E-2</v>
      </c>
      <c r="K23" s="51">
        <f t="shared" si="3"/>
        <v>8.8736363997950055E-2</v>
      </c>
      <c r="L23" s="48">
        <f t="shared" si="4"/>
        <v>9.3839910777297794E-2</v>
      </c>
      <c r="M23" s="27">
        <f t="shared" si="5"/>
        <v>9.8977255879687573E-2</v>
      </c>
      <c r="O23" s="52"/>
    </row>
    <row r="24" spans="1:15" x14ac:dyDescent="0.2">
      <c r="A24" s="44"/>
      <c r="B24" s="46"/>
      <c r="C24" s="53"/>
      <c r="D24" s="53"/>
      <c r="E24" s="53"/>
      <c r="F24" s="53"/>
      <c r="G24" s="54"/>
      <c r="H24" s="54"/>
      <c r="I24" s="54"/>
      <c r="J24" s="55"/>
      <c r="K24" s="56"/>
      <c r="L24" s="56"/>
      <c r="M24" s="56"/>
    </row>
    <row r="25" spans="1:15" x14ac:dyDescent="0.2">
      <c r="A25" s="57" t="s">
        <v>4</v>
      </c>
      <c r="B25" s="58"/>
      <c r="C25" s="59"/>
      <c r="D25" s="59"/>
      <c r="E25" s="60">
        <f t="shared" ref="E25:M25" si="8">AVERAGE(E7:E23)</f>
        <v>3.4800544515198914E-2</v>
      </c>
      <c r="F25" s="60">
        <f t="shared" si="8"/>
        <v>3.5780073620855356E-2</v>
      </c>
      <c r="G25" s="60">
        <f t="shared" si="8"/>
        <v>5.7941176470588253E-2</v>
      </c>
      <c r="H25" s="60">
        <f t="shared" si="8"/>
        <v>5.7982352941176471E-2</v>
      </c>
      <c r="I25" s="60">
        <f t="shared" si="8"/>
        <v>5.8312500000000017E-2</v>
      </c>
      <c r="J25" s="60">
        <f t="shared" si="8"/>
        <v>5.8258823529411759E-2</v>
      </c>
      <c r="K25" s="60">
        <f t="shared" si="8"/>
        <v>8.1117321909060347E-2</v>
      </c>
      <c r="L25" s="60">
        <f t="shared" si="8"/>
        <v>9.4038897150267142E-2</v>
      </c>
      <c r="M25" s="60">
        <f t="shared" si="8"/>
        <v>0.10390854202536653</v>
      </c>
    </row>
    <row r="26" spans="1:15" x14ac:dyDescent="0.2">
      <c r="A26" s="44" t="s">
        <v>13</v>
      </c>
      <c r="E26" s="61">
        <f t="shared" ref="E26:M26" si="9">MEDIAN(E7:E23)</f>
        <v>3.7578606243405144E-2</v>
      </c>
      <c r="F26" s="61">
        <f t="shared" si="9"/>
        <v>3.8310762755047488E-2</v>
      </c>
      <c r="G26" s="61">
        <f t="shared" si="9"/>
        <v>0.06</v>
      </c>
      <c r="H26" s="61">
        <f t="shared" si="9"/>
        <v>6.1500000000000006E-2</v>
      </c>
      <c r="I26" s="61">
        <f t="shared" si="9"/>
        <v>5.6499999999999995E-2</v>
      </c>
      <c r="J26" s="61">
        <f t="shared" si="9"/>
        <v>5.6600000000000011E-2</v>
      </c>
      <c r="K26" s="61">
        <f t="shared" si="9"/>
        <v>7.9849690404831822E-2</v>
      </c>
      <c r="L26" s="61">
        <f t="shared" si="9"/>
        <v>9.3973008186998039E-2</v>
      </c>
      <c r="M26" s="61">
        <f t="shared" si="9"/>
        <v>0.10125016303179207</v>
      </c>
    </row>
    <row r="28" spans="1:15" x14ac:dyDescent="0.2">
      <c r="A28" s="62" t="s">
        <v>88</v>
      </c>
    </row>
    <row r="29" spans="1:15" x14ac:dyDescent="0.2">
      <c r="A29" s="63" t="s">
        <v>89</v>
      </c>
    </row>
    <row r="30" spans="1:15" x14ac:dyDescent="0.2">
      <c r="A30" s="63" t="s">
        <v>1415</v>
      </c>
    </row>
    <row r="31" spans="1:15" x14ac:dyDescent="0.2">
      <c r="A31" s="45" t="s">
        <v>110</v>
      </c>
      <c r="K31" s="64"/>
    </row>
    <row r="32" spans="1:15" x14ac:dyDescent="0.2">
      <c r="A32" s="45" t="s">
        <v>111</v>
      </c>
      <c r="K32" s="64"/>
    </row>
    <row r="33" spans="1:15" x14ac:dyDescent="0.2">
      <c r="A33" s="45" t="s">
        <v>112</v>
      </c>
    </row>
    <row r="34" spans="1:15" x14ac:dyDescent="0.2">
      <c r="A34" s="45" t="s">
        <v>113</v>
      </c>
    </row>
    <row r="35" spans="1:15" x14ac:dyDescent="0.2">
      <c r="A35" s="45" t="s">
        <v>114</v>
      </c>
    </row>
    <row r="36" spans="1:15" x14ac:dyDescent="0.2">
      <c r="A36" s="65" t="s">
        <v>115</v>
      </c>
    </row>
    <row r="37" spans="1:15" x14ac:dyDescent="0.2">
      <c r="A37" s="65" t="s">
        <v>116</v>
      </c>
    </row>
    <row r="38" spans="1:15" x14ac:dyDescent="0.2">
      <c r="A38" s="66" t="s">
        <v>117</v>
      </c>
    </row>
    <row r="39" spans="1:15" x14ac:dyDescent="0.2">
      <c r="A39" s="65" t="s">
        <v>118</v>
      </c>
    </row>
    <row r="40" spans="1:15" x14ac:dyDescent="0.2">
      <c r="A40" s="63"/>
    </row>
    <row r="41" spans="1:15" x14ac:dyDescent="0.2">
      <c r="A41" s="63"/>
    </row>
    <row r="42" spans="1:15" x14ac:dyDescent="0.2">
      <c r="A42" s="353" t="s">
        <v>1542</v>
      </c>
      <c r="B42" s="353"/>
      <c r="C42" s="353"/>
      <c r="D42" s="353"/>
      <c r="E42" s="353"/>
      <c r="F42" s="353"/>
      <c r="G42" s="353"/>
      <c r="H42" s="353"/>
      <c r="I42" s="353"/>
      <c r="J42" s="353"/>
      <c r="K42" s="353"/>
      <c r="L42" s="353"/>
      <c r="M42" s="353"/>
    </row>
    <row r="44" spans="1:15" ht="13.5" thickBot="1" x14ac:dyDescent="0.25">
      <c r="C44" s="36" t="s">
        <v>28</v>
      </c>
      <c r="D44" s="36" t="s">
        <v>29</v>
      </c>
      <c r="E44" s="38" t="s">
        <v>30</v>
      </c>
      <c r="F44" s="38" t="s">
        <v>31</v>
      </c>
      <c r="G44" s="36" t="s">
        <v>32</v>
      </c>
      <c r="H44" s="36" t="s">
        <v>33</v>
      </c>
      <c r="I44" s="36" t="s">
        <v>93</v>
      </c>
      <c r="J44" s="36" t="s">
        <v>94</v>
      </c>
      <c r="K44" s="36" t="s">
        <v>95</v>
      </c>
      <c r="L44" s="36" t="s">
        <v>96</v>
      </c>
      <c r="M44" s="36" t="s">
        <v>97</v>
      </c>
    </row>
    <row r="45" spans="1:15" ht="42.95" customHeight="1" x14ac:dyDescent="0.2">
      <c r="A45" s="39" t="s">
        <v>34</v>
      </c>
      <c r="B45" s="40" t="s">
        <v>35</v>
      </c>
      <c r="C45" s="41" t="s">
        <v>98</v>
      </c>
      <c r="D45" s="41" t="s">
        <v>99</v>
      </c>
      <c r="E45" s="42" t="s">
        <v>100</v>
      </c>
      <c r="F45" s="42" t="s">
        <v>101</v>
      </c>
      <c r="G45" s="41" t="s">
        <v>102</v>
      </c>
      <c r="H45" s="41" t="s">
        <v>103</v>
      </c>
      <c r="I45" s="41" t="s">
        <v>104</v>
      </c>
      <c r="J45" s="41" t="s">
        <v>105</v>
      </c>
      <c r="K45" s="43" t="s">
        <v>106</v>
      </c>
      <c r="L45" s="42" t="s">
        <v>107</v>
      </c>
      <c r="M45" s="43" t="s">
        <v>108</v>
      </c>
    </row>
    <row r="46" spans="1:15" x14ac:dyDescent="0.2">
      <c r="A46" s="44"/>
      <c r="B46" s="44"/>
    </row>
    <row r="47" spans="1:15" x14ac:dyDescent="0.2">
      <c r="A47" s="44" t="str">
        <f t="shared" ref="A47:C63" si="10">A7</f>
        <v>ALLETE, Inc.</v>
      </c>
      <c r="B47" s="46" t="str">
        <f t="shared" si="10"/>
        <v>ALE</v>
      </c>
      <c r="C47" s="47">
        <f t="shared" si="10"/>
        <v>2.6</v>
      </c>
      <c r="D47" s="47">
        <v>59.647337777777778</v>
      </c>
      <c r="E47" s="48">
        <f>C47/D47</f>
        <v>4.358953973246156E-2</v>
      </c>
      <c r="F47" s="48">
        <f>IFERROR(E47*(1+0.5*J47),"")</f>
        <v>4.535491609162625E-2</v>
      </c>
      <c r="G47" s="49">
        <f t="shared" ref="G47:I63" si="11">G7</f>
        <v>0.06</v>
      </c>
      <c r="H47" s="49">
        <f t="shared" si="11"/>
        <v>8.6999999999999994E-2</v>
      </c>
      <c r="I47" s="49">
        <f t="shared" si="11"/>
        <v>9.6000000000000002E-2</v>
      </c>
      <c r="J47" s="50">
        <f>AVERAGE(G47:I47)</f>
        <v>8.1000000000000003E-2</v>
      </c>
      <c r="K47" s="51">
        <f>$E47*(1+0.5*MIN($G47:$I47))+MIN($G47:$I47)</f>
        <v>0.1048972259244354</v>
      </c>
      <c r="L47" s="48">
        <f t="shared" ref="L47:L63" si="12">F47+J47</f>
        <v>0.12635491609162625</v>
      </c>
      <c r="M47" s="27">
        <f>$E47*(1+0.5*MAX($G47:$I47))+MAX($G47:$I47)</f>
        <v>0.14168183763961972</v>
      </c>
      <c r="O47" s="52"/>
    </row>
    <row r="48" spans="1:15" x14ac:dyDescent="0.2">
      <c r="A48" s="44" t="str">
        <f t="shared" si="10"/>
        <v>Alliant Energy Corporation</v>
      </c>
      <c r="B48" s="46" t="str">
        <f t="shared" si="10"/>
        <v>LNT</v>
      </c>
      <c r="C48" s="47">
        <f t="shared" si="10"/>
        <v>1.81</v>
      </c>
      <c r="D48" s="47">
        <v>53.400308888888887</v>
      </c>
      <c r="E48" s="48">
        <f t="shared" ref="E48:E63" si="13">C48/D48</f>
        <v>3.3894935023055843E-2</v>
      </c>
      <c r="F48" s="48">
        <f t="shared" ref="F48:F63" si="14">IFERROR(E48*(1+0.5*J48),"")</f>
        <v>3.4875063560805879E-2</v>
      </c>
      <c r="G48" s="49">
        <f t="shared" si="11"/>
        <v>0.06</v>
      </c>
      <c r="H48" s="49">
        <f t="shared" si="11"/>
        <v>5.5500000000000001E-2</v>
      </c>
      <c r="I48" s="49">
        <f t="shared" si="11"/>
        <v>5.7999999999999996E-2</v>
      </c>
      <c r="J48" s="50">
        <f t="shared" ref="J48:J63" si="15">AVERAGE(G48:I48)</f>
        <v>5.7833333333333327E-2</v>
      </c>
      <c r="K48" s="51">
        <f t="shared" ref="K48:K63" si="16">$E48*(1+0.5*MIN($G48:$I48))+MIN($G48:$I48)</f>
        <v>9.0335519469945641E-2</v>
      </c>
      <c r="L48" s="48">
        <f t="shared" si="12"/>
        <v>9.2708396894139206E-2</v>
      </c>
      <c r="M48" s="27">
        <f t="shared" ref="M48:M63" si="17">$E48*(1+0.5*MAX($G48:$I48))+MAX($G48:$I48)</f>
        <v>9.4911783073747508E-2</v>
      </c>
      <c r="O48" s="52"/>
    </row>
    <row r="49" spans="1:15" x14ac:dyDescent="0.2">
      <c r="A49" s="44" t="str">
        <f t="shared" si="10"/>
        <v>Ameren Corporation</v>
      </c>
      <c r="B49" s="46" t="str">
        <f t="shared" si="10"/>
        <v>AEE</v>
      </c>
      <c r="C49" s="47">
        <f t="shared" si="10"/>
        <v>2.36</v>
      </c>
      <c r="D49" s="47">
        <v>84.70531444444444</v>
      </c>
      <c r="E49" s="48">
        <f t="shared" si="13"/>
        <v>2.786129790649499E-2</v>
      </c>
      <c r="F49" s="48">
        <f t="shared" si="14"/>
        <v>2.8791865256571927E-2</v>
      </c>
      <c r="G49" s="49">
        <f t="shared" si="11"/>
        <v>6.5000000000000002E-2</v>
      </c>
      <c r="H49" s="49">
        <f t="shared" si="11"/>
        <v>6.6400000000000001E-2</v>
      </c>
      <c r="I49" s="49">
        <f t="shared" si="11"/>
        <v>6.9000000000000006E-2</v>
      </c>
      <c r="J49" s="50">
        <f t="shared" si="15"/>
        <v>6.6800000000000012E-2</v>
      </c>
      <c r="K49" s="51">
        <f t="shared" si="16"/>
        <v>9.3766790088456078E-2</v>
      </c>
      <c r="L49" s="48">
        <f t="shared" si="12"/>
        <v>9.5591865256571942E-2</v>
      </c>
      <c r="M49" s="27">
        <f t="shared" si="17"/>
        <v>9.7822512684269072E-2</v>
      </c>
      <c r="O49" s="52"/>
    </row>
    <row r="50" spans="1:15" x14ac:dyDescent="0.2">
      <c r="A50" s="44" t="str">
        <f t="shared" si="10"/>
        <v>American Electric Power Company, Inc.</v>
      </c>
      <c r="B50" s="46" t="str">
        <f t="shared" si="10"/>
        <v>AEP</v>
      </c>
      <c r="C50" s="47">
        <f t="shared" si="10"/>
        <v>3.32</v>
      </c>
      <c r="D50" s="47">
        <v>91.641901111111125</v>
      </c>
      <c r="E50" s="48">
        <f t="shared" si="13"/>
        <v>3.6227969517728241E-2</v>
      </c>
      <c r="F50" s="48">
        <f t="shared" si="14"/>
        <v>3.7360093565157251E-2</v>
      </c>
      <c r="G50" s="49">
        <f t="shared" si="11"/>
        <v>6.5000000000000002E-2</v>
      </c>
      <c r="H50" s="49">
        <f t="shared" si="11"/>
        <v>6.1500000000000006E-2</v>
      </c>
      <c r="I50" s="49">
        <f t="shared" si="11"/>
        <v>6.0999999999999999E-2</v>
      </c>
      <c r="J50" s="50">
        <f t="shared" si="15"/>
        <v>6.25E-2</v>
      </c>
      <c r="K50" s="51">
        <f t="shared" si="16"/>
        <v>9.8332922588018956E-2</v>
      </c>
      <c r="L50" s="48">
        <f t="shared" si="12"/>
        <v>9.9860093565157251E-2</v>
      </c>
      <c r="M50" s="27">
        <f t="shared" si="17"/>
        <v>0.10240537852705442</v>
      </c>
      <c r="O50" s="52"/>
    </row>
    <row r="51" spans="1:15" x14ac:dyDescent="0.2">
      <c r="A51" s="44" t="str">
        <f t="shared" si="10"/>
        <v>Avista Corporation</v>
      </c>
      <c r="B51" s="46" t="str">
        <f t="shared" si="10"/>
        <v>AVA</v>
      </c>
      <c r="C51" s="47">
        <f t="shared" si="10"/>
        <v>1.76</v>
      </c>
      <c r="D51" s="47">
        <v>40.231847777777766</v>
      </c>
      <c r="E51" s="48">
        <f t="shared" si="13"/>
        <v>4.3746437144061366E-2</v>
      </c>
      <c r="F51" s="48">
        <f t="shared" si="14"/>
        <v>4.4759896271232114E-2</v>
      </c>
      <c r="G51" s="49">
        <f t="shared" si="11"/>
        <v>3.5000000000000003E-2</v>
      </c>
      <c r="H51" s="49">
        <f t="shared" si="11"/>
        <v>5.2000000000000005E-2</v>
      </c>
      <c r="I51" s="49">
        <f t="shared" si="11"/>
        <v>5.2000000000000005E-2</v>
      </c>
      <c r="J51" s="50">
        <f t="shared" si="15"/>
        <v>4.6333333333333337E-2</v>
      </c>
      <c r="K51" s="51">
        <f t="shared" si="16"/>
        <v>7.9511999794082439E-2</v>
      </c>
      <c r="L51" s="48">
        <f t="shared" si="12"/>
        <v>9.1093229604565451E-2</v>
      </c>
      <c r="M51" s="27">
        <f t="shared" si="17"/>
        <v>9.6883844509806971E-2</v>
      </c>
      <c r="O51" s="52"/>
    </row>
    <row r="52" spans="1:15" x14ac:dyDescent="0.2">
      <c r="A52" s="44" t="str">
        <f t="shared" si="10"/>
        <v>CMS Energy Corporation</v>
      </c>
      <c r="B52" s="46" t="str">
        <f t="shared" si="10"/>
        <v>CMS</v>
      </c>
      <c r="C52" s="47">
        <f t="shared" si="10"/>
        <v>1.84</v>
      </c>
      <c r="D52" s="47">
        <v>60.1260166666667</v>
      </c>
      <c r="E52" s="48">
        <f t="shared" si="13"/>
        <v>3.0602393140407035E-2</v>
      </c>
      <c r="F52" s="48">
        <f t="shared" si="14"/>
        <v>3.1758653561228749E-2</v>
      </c>
      <c r="G52" s="49">
        <f t="shared" si="11"/>
        <v>6.5000000000000002E-2</v>
      </c>
      <c r="H52" s="49">
        <f t="shared" si="11"/>
        <v>8.1699999999999995E-2</v>
      </c>
      <c r="I52" s="49">
        <f t="shared" si="11"/>
        <v>0.08</v>
      </c>
      <c r="J52" s="50">
        <f t="shared" si="15"/>
        <v>7.5566666666666671E-2</v>
      </c>
      <c r="K52" s="51">
        <f t="shared" si="16"/>
        <v>9.6596970917470271E-2</v>
      </c>
      <c r="L52" s="48">
        <f t="shared" si="12"/>
        <v>0.10732532022789543</v>
      </c>
      <c r="M52" s="27">
        <f t="shared" si="17"/>
        <v>0.11355250090019266</v>
      </c>
      <c r="O52" s="52"/>
    </row>
    <row r="53" spans="1:15" x14ac:dyDescent="0.2">
      <c r="A53" s="44" t="str">
        <f t="shared" si="10"/>
        <v>Duke Energy Corporation</v>
      </c>
      <c r="B53" s="46" t="str">
        <f t="shared" si="10"/>
        <v>DUK</v>
      </c>
      <c r="C53" s="47">
        <f t="shared" si="10"/>
        <v>4.0199999999999996</v>
      </c>
      <c r="D53" s="47">
        <v>97.432072222222274</v>
      </c>
      <c r="E53" s="48">
        <f t="shared" si="13"/>
        <v>4.1259514534713132E-2</v>
      </c>
      <c r="F53" s="48">
        <f t="shared" si="14"/>
        <v>4.2370083134272492E-2</v>
      </c>
      <c r="G53" s="49">
        <f t="shared" si="11"/>
        <v>0.05</v>
      </c>
      <c r="H53" s="49">
        <f t="shared" si="11"/>
        <v>5.6500000000000002E-2</v>
      </c>
      <c r="I53" s="49">
        <f t="shared" si="11"/>
        <v>5.5E-2</v>
      </c>
      <c r="J53" s="50">
        <f t="shared" si="15"/>
        <v>5.3833333333333337E-2</v>
      </c>
      <c r="K53" s="51">
        <f t="shared" si="16"/>
        <v>9.2291002398080968E-2</v>
      </c>
      <c r="L53" s="48">
        <f t="shared" si="12"/>
        <v>9.6203416467605829E-2</v>
      </c>
      <c r="M53" s="27">
        <f t="shared" si="17"/>
        <v>9.8925095820318776E-2</v>
      </c>
      <c r="O53" s="52"/>
    </row>
    <row r="54" spans="1:15" x14ac:dyDescent="0.2">
      <c r="A54" s="44" t="str">
        <f t="shared" si="10"/>
        <v>Entergy Corporation</v>
      </c>
      <c r="B54" s="46" t="str">
        <f t="shared" si="10"/>
        <v>ETR</v>
      </c>
      <c r="C54" s="47">
        <f t="shared" si="10"/>
        <v>4.28</v>
      </c>
      <c r="D54" s="47">
        <v>108.59789777777779</v>
      </c>
      <c r="E54" s="48">
        <f t="shared" si="13"/>
        <v>3.9411444305838206E-2</v>
      </c>
      <c r="F54" s="48">
        <f t="shared" si="14"/>
        <v>4.0474896444690739E-2</v>
      </c>
      <c r="G54" s="49">
        <f t="shared" si="11"/>
        <v>0.04</v>
      </c>
      <c r="H54" s="49">
        <f t="shared" si="11"/>
        <v>6.1900000000000004E-2</v>
      </c>
      <c r="I54" s="49">
        <f t="shared" si="11"/>
        <v>0.06</v>
      </c>
      <c r="J54" s="50">
        <f t="shared" si="15"/>
        <v>5.3966666666666663E-2</v>
      </c>
      <c r="K54" s="51">
        <f t="shared" si="16"/>
        <v>8.0199673191954979E-2</v>
      </c>
      <c r="L54" s="48">
        <f t="shared" si="12"/>
        <v>9.4441563111357402E-2</v>
      </c>
      <c r="M54" s="27">
        <f t="shared" si="17"/>
        <v>0.1025312285071039</v>
      </c>
      <c r="O54" s="52"/>
    </row>
    <row r="55" spans="1:15" x14ac:dyDescent="0.2">
      <c r="A55" s="44" t="str">
        <f t="shared" si="10"/>
        <v>Evergy, Inc.</v>
      </c>
      <c r="B55" s="46" t="str">
        <f t="shared" si="10"/>
        <v>EVRG</v>
      </c>
      <c r="C55" s="47">
        <f t="shared" si="10"/>
        <v>2.4500000000000002</v>
      </c>
      <c r="D55" s="47">
        <v>60.515685555555571</v>
      </c>
      <c r="E55" s="48">
        <f t="shared" ref="E55" si="18">C55/D55</f>
        <v>4.048537131337316E-2</v>
      </c>
      <c r="F55" s="48">
        <f t="shared" ref="F55" si="19">IFERROR(E55*(1+0.5*J55),"")</f>
        <v>4.1513024988544284E-2</v>
      </c>
      <c r="G55" s="49">
        <f t="shared" si="11"/>
        <v>7.4999999999999997E-2</v>
      </c>
      <c r="H55" s="49">
        <f t="shared" si="11"/>
        <v>2.4300000000000002E-2</v>
      </c>
      <c r="I55" s="49">
        <f t="shared" si="11"/>
        <v>5.2999999999999999E-2</v>
      </c>
      <c r="J55" s="50">
        <f t="shared" ref="J55" si="20">AVERAGE(G55:I55)</f>
        <v>5.0766666666666661E-2</v>
      </c>
      <c r="K55" s="51">
        <f t="shared" si="16"/>
        <v>6.5277268574830655E-2</v>
      </c>
      <c r="L55" s="48">
        <f t="shared" ref="L55" si="21">F55+J55</f>
        <v>9.2279691655210938E-2</v>
      </c>
      <c r="M55" s="27">
        <f t="shared" si="17"/>
        <v>0.11700357273762466</v>
      </c>
      <c r="O55" s="52"/>
    </row>
    <row r="56" spans="1:15" x14ac:dyDescent="0.2">
      <c r="A56" s="44" t="str">
        <f t="shared" si="10"/>
        <v>IDACORP, Inc.</v>
      </c>
      <c r="B56" s="46" t="str">
        <f t="shared" si="10"/>
        <v>IDA</v>
      </c>
      <c r="C56" s="47">
        <f t="shared" si="10"/>
        <v>3.16</v>
      </c>
      <c r="D56" s="47">
        <v>103.9896188888889</v>
      </c>
      <c r="E56" s="48">
        <f t="shared" si="13"/>
        <v>3.0387648630354203E-2</v>
      </c>
      <c r="F56" s="48">
        <f t="shared" si="14"/>
        <v>3.0959949346225871E-2</v>
      </c>
      <c r="G56" s="49">
        <f t="shared" si="11"/>
        <v>4.4999999999999998E-2</v>
      </c>
      <c r="H56" s="49">
        <f t="shared" si="11"/>
        <v>3.4000000000000002E-2</v>
      </c>
      <c r="I56" s="49">
        <f t="shared" si="11"/>
        <v>3.4000000000000002E-2</v>
      </c>
      <c r="J56" s="50">
        <f t="shared" si="15"/>
        <v>3.7666666666666668E-2</v>
      </c>
      <c r="K56" s="51">
        <f t="shared" si="16"/>
        <v>6.4904238657070221E-2</v>
      </c>
      <c r="L56" s="48">
        <f t="shared" si="12"/>
        <v>6.8626616012892536E-2</v>
      </c>
      <c r="M56" s="27">
        <f t="shared" si="17"/>
        <v>7.6071370724537166E-2</v>
      </c>
      <c r="O56" s="52"/>
    </row>
    <row r="57" spans="1:15" x14ac:dyDescent="0.2">
      <c r="A57" s="44" t="str">
        <f t="shared" si="10"/>
        <v>NextEra Energy, Inc.</v>
      </c>
      <c r="B57" s="46" t="str">
        <f t="shared" si="10"/>
        <v>NEE</v>
      </c>
      <c r="C57" s="47">
        <f t="shared" si="10"/>
        <v>1.7</v>
      </c>
      <c r="D57" s="47">
        <v>80.863487777777763</v>
      </c>
      <c r="E57" s="48">
        <f t="shared" si="13"/>
        <v>2.102308528506459E-2</v>
      </c>
      <c r="F57" s="48">
        <f t="shared" si="14"/>
        <v>2.2064078391430039E-2</v>
      </c>
      <c r="G57" s="49">
        <f t="shared" si="11"/>
        <v>0.105</v>
      </c>
      <c r="H57" s="49">
        <f t="shared" si="11"/>
        <v>0.10210000000000001</v>
      </c>
      <c r="I57" s="49">
        <f t="shared" si="11"/>
        <v>0.09</v>
      </c>
      <c r="J57" s="50">
        <f t="shared" si="15"/>
        <v>9.9033333333333348E-2</v>
      </c>
      <c r="K57" s="51">
        <f t="shared" si="16"/>
        <v>0.11196912412289249</v>
      </c>
      <c r="L57" s="48">
        <f t="shared" si="12"/>
        <v>0.12109741172476339</v>
      </c>
      <c r="M57" s="27">
        <f t="shared" si="17"/>
        <v>0.12712679726253048</v>
      </c>
      <c r="O57" s="52"/>
    </row>
    <row r="58" spans="1:15" x14ac:dyDescent="0.2">
      <c r="A58" s="44" t="str">
        <f t="shared" si="10"/>
        <v>NorthWestern Corporation</v>
      </c>
      <c r="B58" s="46" t="str">
        <f t="shared" si="10"/>
        <v>NWE</v>
      </c>
      <c r="C58" s="47">
        <f t="shared" si="10"/>
        <v>2.52</v>
      </c>
      <c r="D58" s="47">
        <v>54.564936666666611</v>
      </c>
      <c r="E58" s="48">
        <f t="shared" si="13"/>
        <v>4.618350453505525E-2</v>
      </c>
      <c r="F58" s="48">
        <f t="shared" si="14"/>
        <v>4.6930137858371974E-2</v>
      </c>
      <c r="G58" s="49">
        <f t="shared" si="11"/>
        <v>3.5000000000000003E-2</v>
      </c>
      <c r="H58" s="49">
        <f t="shared" si="11"/>
        <v>4.4999999999999998E-2</v>
      </c>
      <c r="I58" s="49">
        <f t="shared" si="11"/>
        <v>1.7000000000000001E-2</v>
      </c>
      <c r="J58" s="50">
        <f t="shared" si="15"/>
        <v>3.2333333333333332E-2</v>
      </c>
      <c r="K58" s="51">
        <f t="shared" si="16"/>
        <v>6.3576064323603215E-2</v>
      </c>
      <c r="L58" s="48">
        <f t="shared" si="12"/>
        <v>7.9263471191705306E-2</v>
      </c>
      <c r="M58" s="27">
        <f t="shared" si="17"/>
        <v>9.2222633387093994E-2</v>
      </c>
      <c r="O58" s="52"/>
    </row>
    <row r="59" spans="1:15" x14ac:dyDescent="0.2">
      <c r="A59" s="44" t="str">
        <f t="shared" si="10"/>
        <v>OGE Energy Corporation</v>
      </c>
      <c r="B59" s="46" t="str">
        <f t="shared" si="10"/>
        <v>OGE</v>
      </c>
      <c r="C59" s="47">
        <f t="shared" si="10"/>
        <v>1.6564000000000001</v>
      </c>
      <c r="D59" s="47">
        <v>37.882808888888896</v>
      </c>
      <c r="E59" s="48">
        <f t="shared" si="13"/>
        <v>4.3724318459548696E-2</v>
      </c>
      <c r="F59" s="48">
        <f t="shared" si="14"/>
        <v>4.4700828238478617E-2</v>
      </c>
      <c r="G59" s="49">
        <f t="shared" si="11"/>
        <v>6.5000000000000002E-2</v>
      </c>
      <c r="H59" s="49">
        <f t="shared" si="11"/>
        <v>1.9E-2</v>
      </c>
      <c r="I59" s="49">
        <f t="shared" si="11"/>
        <v>0.05</v>
      </c>
      <c r="J59" s="50">
        <f t="shared" si="15"/>
        <v>4.4666666666666667E-2</v>
      </c>
      <c r="K59" s="51">
        <f t="shared" si="16"/>
        <v>6.3139699484914408E-2</v>
      </c>
      <c r="L59" s="48">
        <f t="shared" si="12"/>
        <v>8.9367494905145284E-2</v>
      </c>
      <c r="M59" s="27">
        <f t="shared" si="17"/>
        <v>0.11014535880948403</v>
      </c>
      <c r="O59" s="52"/>
    </row>
    <row r="60" spans="1:15" x14ac:dyDescent="0.2">
      <c r="A60" s="44" t="str">
        <f t="shared" si="10"/>
        <v>Otter Tail Corporation</v>
      </c>
      <c r="B60" s="46" t="str">
        <f t="shared" si="10"/>
        <v>OTTR</v>
      </c>
      <c r="C60" s="47">
        <f t="shared" si="10"/>
        <v>1.65</v>
      </c>
      <c r="D60" s="47">
        <v>60.403636666666678</v>
      </c>
      <c r="E60" s="48">
        <f t="shared" si="13"/>
        <v>2.7316236091965981E-2</v>
      </c>
      <c r="F60" s="48">
        <f t="shared" si="14"/>
        <v>2.823815906006983E-2</v>
      </c>
      <c r="G60" s="49">
        <f t="shared" si="11"/>
        <v>4.4999999999999998E-2</v>
      </c>
      <c r="H60" s="49">
        <f t="shared" si="11"/>
        <v>0.09</v>
      </c>
      <c r="I60" s="49" t="str">
        <f t="shared" si="11"/>
        <v>n/a</v>
      </c>
      <c r="J60" s="50">
        <f t="shared" si="15"/>
        <v>6.7500000000000004E-2</v>
      </c>
      <c r="K60" s="51">
        <f t="shared" si="16"/>
        <v>7.2930851404035213E-2</v>
      </c>
      <c r="L60" s="48">
        <f t="shared" si="12"/>
        <v>9.5738159060069827E-2</v>
      </c>
      <c r="M60" s="27">
        <f t="shared" si="17"/>
        <v>0.11854546671610444</v>
      </c>
      <c r="O60" s="52"/>
    </row>
    <row r="61" spans="1:15" x14ac:dyDescent="0.2">
      <c r="A61" s="44" t="str">
        <f t="shared" si="10"/>
        <v>Portland General Electric Company</v>
      </c>
      <c r="B61" s="46" t="str">
        <f t="shared" si="10"/>
        <v>POR</v>
      </c>
      <c r="C61" s="47">
        <f t="shared" si="10"/>
        <v>1.81</v>
      </c>
      <c r="D61" s="47">
        <v>46.44486666666667</v>
      </c>
      <c r="E61" s="48">
        <f t="shared" si="13"/>
        <v>3.8970937584777939E-2</v>
      </c>
      <c r="F61" s="48">
        <f t="shared" si="14"/>
        <v>3.9730221352054694E-2</v>
      </c>
      <c r="G61" s="49">
        <f t="shared" si="11"/>
        <v>0.05</v>
      </c>
      <c r="H61" s="49">
        <f t="shared" si="11"/>
        <v>1.3899999999999999E-2</v>
      </c>
      <c r="I61" s="49">
        <f t="shared" si="11"/>
        <v>5.2999999999999999E-2</v>
      </c>
      <c r="J61" s="50">
        <f t="shared" si="15"/>
        <v>3.896666666666667E-2</v>
      </c>
      <c r="K61" s="51">
        <f t="shared" si="16"/>
        <v>5.3141785600992142E-2</v>
      </c>
      <c r="L61" s="48">
        <f t="shared" si="12"/>
        <v>7.8696888018721364E-2</v>
      </c>
      <c r="M61" s="27">
        <f t="shared" si="17"/>
        <v>9.3003667430774553E-2</v>
      </c>
      <c r="O61" s="52"/>
    </row>
    <row r="62" spans="1:15" x14ac:dyDescent="0.2">
      <c r="A62" s="44" t="str">
        <f t="shared" si="10"/>
        <v>Southern Company</v>
      </c>
      <c r="B62" s="46" t="str">
        <f t="shared" si="10"/>
        <v>SO</v>
      </c>
      <c r="C62" s="47">
        <f t="shared" si="10"/>
        <v>2.72</v>
      </c>
      <c r="D62" s="47">
        <v>67.48484000000002</v>
      </c>
      <c r="E62" s="48">
        <f t="shared" si="13"/>
        <v>4.0305348579029003E-2</v>
      </c>
      <c r="F62" s="48">
        <f t="shared" si="14"/>
        <v>4.1445989943815521E-2</v>
      </c>
      <c r="G62" s="49">
        <f t="shared" si="11"/>
        <v>6.5000000000000002E-2</v>
      </c>
      <c r="H62" s="49">
        <f t="shared" si="11"/>
        <v>6.480000000000001E-2</v>
      </c>
      <c r="I62" s="49">
        <f t="shared" si="11"/>
        <v>0.04</v>
      </c>
      <c r="J62" s="50">
        <f t="shared" si="15"/>
        <v>5.6600000000000011E-2</v>
      </c>
      <c r="K62" s="51">
        <f t="shared" si="16"/>
        <v>8.1111455550609585E-2</v>
      </c>
      <c r="L62" s="48">
        <f t="shared" si="12"/>
        <v>9.8045989943815526E-2</v>
      </c>
      <c r="M62" s="27">
        <f t="shared" si="17"/>
        <v>0.10661527240784745</v>
      </c>
      <c r="O62" s="52"/>
    </row>
    <row r="63" spans="1:15" x14ac:dyDescent="0.2">
      <c r="A63" s="44" t="str">
        <f t="shared" si="10"/>
        <v>Xcel Energy Inc.</v>
      </c>
      <c r="B63" s="46" t="str">
        <f t="shared" si="10"/>
        <v>XEL</v>
      </c>
      <c r="C63" s="47">
        <f t="shared" si="10"/>
        <v>1.95</v>
      </c>
      <c r="D63" s="47">
        <v>67.094054444444467</v>
      </c>
      <c r="E63" s="48">
        <f t="shared" si="13"/>
        <v>2.9063678088118047E-2</v>
      </c>
      <c r="F63" s="48">
        <f t="shared" si="14"/>
        <v>3.0008732020616689E-2</v>
      </c>
      <c r="G63" s="49">
        <f t="shared" si="11"/>
        <v>0.06</v>
      </c>
      <c r="H63" s="49">
        <f t="shared" si="11"/>
        <v>7.0099999999999996E-2</v>
      </c>
      <c r="I63" s="49">
        <f t="shared" si="11"/>
        <v>6.5000000000000002E-2</v>
      </c>
      <c r="J63" s="50">
        <f t="shared" si="15"/>
        <v>6.5033333333333332E-2</v>
      </c>
      <c r="K63" s="51">
        <f t="shared" si="16"/>
        <v>8.993558843076159E-2</v>
      </c>
      <c r="L63" s="48">
        <f t="shared" si="12"/>
        <v>9.5042065353950017E-2</v>
      </c>
      <c r="M63" s="27">
        <f t="shared" si="17"/>
        <v>0.10018236000510658</v>
      </c>
      <c r="O63" s="52"/>
    </row>
    <row r="64" spans="1:15" x14ac:dyDescent="0.2">
      <c r="A64" s="67"/>
      <c r="B64" s="68"/>
      <c r="C64" s="53"/>
      <c r="D64" s="53"/>
      <c r="E64" s="53"/>
      <c r="F64" s="53"/>
      <c r="G64" s="69"/>
      <c r="H64" s="69"/>
      <c r="I64" s="69"/>
      <c r="J64" s="55"/>
      <c r="K64" s="56"/>
      <c r="L64" s="56"/>
      <c r="M64" s="56"/>
    </row>
    <row r="65" spans="1:13" x14ac:dyDescent="0.2">
      <c r="A65" s="57" t="s">
        <v>4</v>
      </c>
      <c r="B65" s="58"/>
      <c r="C65" s="59"/>
      <c r="D65" s="59"/>
      <c r="E65" s="60">
        <f t="shared" ref="E65:M65" si="22">AVERAGE(E47:E63)</f>
        <v>3.6120803521885132E-2</v>
      </c>
      <c r="F65" s="60">
        <f t="shared" si="22"/>
        <v>3.7137446416776056E-2</v>
      </c>
      <c r="G65" s="60">
        <f t="shared" si="22"/>
        <v>5.7941176470588253E-2</v>
      </c>
      <c r="H65" s="60">
        <f t="shared" si="22"/>
        <v>5.7982352941176471E-2</v>
      </c>
      <c r="I65" s="60">
        <f t="shared" si="22"/>
        <v>5.8312500000000017E-2</v>
      </c>
      <c r="J65" s="60">
        <f t="shared" si="22"/>
        <v>5.8258823529411759E-2</v>
      </c>
      <c r="K65" s="60">
        <f t="shared" si="22"/>
        <v>8.246577532483261E-2</v>
      </c>
      <c r="L65" s="60">
        <f t="shared" si="22"/>
        <v>9.5396269946187828E-2</v>
      </c>
      <c r="M65" s="60">
        <f t="shared" si="22"/>
        <v>0.1052723930084245</v>
      </c>
    </row>
    <row r="66" spans="1:13" x14ac:dyDescent="0.2">
      <c r="A66" s="44" t="s">
        <v>13</v>
      </c>
      <c r="E66" s="61">
        <f t="shared" ref="E66:M66" si="23">MEDIAN(E47:E63)</f>
        <v>3.8970937584777939E-2</v>
      </c>
      <c r="F66" s="61">
        <f t="shared" si="23"/>
        <v>3.9730221352054694E-2</v>
      </c>
      <c r="G66" s="61">
        <f t="shared" si="23"/>
        <v>0.06</v>
      </c>
      <c r="H66" s="61">
        <f t="shared" si="23"/>
        <v>6.1500000000000006E-2</v>
      </c>
      <c r="I66" s="61">
        <f t="shared" si="23"/>
        <v>5.6499999999999995E-2</v>
      </c>
      <c r="J66" s="61">
        <f t="shared" si="23"/>
        <v>5.6600000000000011E-2</v>
      </c>
      <c r="K66" s="61">
        <f t="shared" si="23"/>
        <v>8.1111455550609585E-2</v>
      </c>
      <c r="L66" s="61">
        <f t="shared" si="23"/>
        <v>9.5042065353950017E-2</v>
      </c>
      <c r="M66" s="61">
        <f t="shared" si="23"/>
        <v>0.10240537852705442</v>
      </c>
    </row>
    <row r="67" spans="1:13" x14ac:dyDescent="0.2">
      <c r="A67" s="44"/>
      <c r="K67" s="61"/>
      <c r="L67" s="61"/>
      <c r="M67" s="61"/>
    </row>
    <row r="68" spans="1:13" x14ac:dyDescent="0.2">
      <c r="A68" s="62" t="s">
        <v>88</v>
      </c>
      <c r="K68" s="61"/>
      <c r="L68" s="61"/>
      <c r="M68" s="61"/>
    </row>
    <row r="69" spans="1:13" x14ac:dyDescent="0.2">
      <c r="A69" s="63" t="s">
        <v>89</v>
      </c>
      <c r="K69" s="61"/>
      <c r="L69" s="61"/>
      <c r="M69" s="61"/>
    </row>
    <row r="70" spans="1:13" x14ac:dyDescent="0.2">
      <c r="A70" s="63" t="s">
        <v>1416</v>
      </c>
      <c r="K70" s="61"/>
      <c r="L70" s="61"/>
      <c r="M70" s="61"/>
    </row>
    <row r="71" spans="1:13" x14ac:dyDescent="0.2">
      <c r="A71" s="45" t="s">
        <v>110</v>
      </c>
      <c r="K71" s="61"/>
      <c r="L71" s="61"/>
      <c r="M71" s="61"/>
    </row>
    <row r="72" spans="1:13" x14ac:dyDescent="0.2">
      <c r="A72" s="45" t="s">
        <v>111</v>
      </c>
      <c r="K72" s="61"/>
      <c r="L72" s="61"/>
      <c r="M72" s="61"/>
    </row>
    <row r="73" spans="1:13" x14ac:dyDescent="0.2">
      <c r="A73" s="45" t="s">
        <v>112</v>
      </c>
      <c r="K73" s="61"/>
      <c r="L73" s="61"/>
      <c r="M73" s="61"/>
    </row>
    <row r="74" spans="1:13" x14ac:dyDescent="0.2">
      <c r="A74" s="45" t="s">
        <v>113</v>
      </c>
      <c r="K74" s="61"/>
      <c r="L74" s="61"/>
      <c r="M74" s="61"/>
    </row>
    <row r="75" spans="1:13" x14ac:dyDescent="0.2">
      <c r="A75" s="45" t="s">
        <v>114</v>
      </c>
    </row>
    <row r="76" spans="1:13" x14ac:dyDescent="0.2">
      <c r="A76" s="65" t="s">
        <v>115</v>
      </c>
    </row>
    <row r="77" spans="1:13" x14ac:dyDescent="0.2">
      <c r="A77" s="65" t="s">
        <v>116</v>
      </c>
    </row>
    <row r="78" spans="1:13" x14ac:dyDescent="0.2">
      <c r="A78" s="66" t="s">
        <v>117</v>
      </c>
    </row>
    <row r="79" spans="1:13" x14ac:dyDescent="0.2">
      <c r="A79" s="65" t="s">
        <v>118</v>
      </c>
    </row>
    <row r="80" spans="1:13" x14ac:dyDescent="0.2">
      <c r="A80" s="63"/>
    </row>
    <row r="82" spans="1:15" x14ac:dyDescent="0.2">
      <c r="A82" s="353" t="s">
        <v>1543</v>
      </c>
      <c r="B82" s="353"/>
      <c r="C82" s="353"/>
      <c r="D82" s="353"/>
      <c r="E82" s="353"/>
      <c r="F82" s="353"/>
      <c r="G82" s="353"/>
      <c r="H82" s="353"/>
      <c r="I82" s="353"/>
      <c r="J82" s="353"/>
      <c r="K82" s="353"/>
      <c r="L82" s="353"/>
      <c r="M82" s="353"/>
    </row>
    <row r="84" spans="1:15" ht="13.5" thickBot="1" x14ac:dyDescent="0.25">
      <c r="C84" s="36" t="s">
        <v>28</v>
      </c>
      <c r="D84" s="36" t="s">
        <v>29</v>
      </c>
      <c r="E84" s="38" t="s">
        <v>30</v>
      </c>
      <c r="F84" s="38" t="s">
        <v>31</v>
      </c>
      <c r="G84" s="36" t="s">
        <v>32</v>
      </c>
      <c r="H84" s="36" t="s">
        <v>33</v>
      </c>
      <c r="I84" s="36" t="s">
        <v>93</v>
      </c>
      <c r="J84" s="36" t="s">
        <v>94</v>
      </c>
      <c r="K84" s="36" t="s">
        <v>95</v>
      </c>
      <c r="L84" s="36" t="s">
        <v>96</v>
      </c>
      <c r="M84" s="36" t="s">
        <v>97</v>
      </c>
    </row>
    <row r="85" spans="1:15" ht="38.25" x14ac:dyDescent="0.2">
      <c r="A85" s="39" t="s">
        <v>34</v>
      </c>
      <c r="B85" s="40" t="s">
        <v>35</v>
      </c>
      <c r="C85" s="41" t="s">
        <v>98</v>
      </c>
      <c r="D85" s="41" t="s">
        <v>99</v>
      </c>
      <c r="E85" s="42" t="s">
        <v>100</v>
      </c>
      <c r="F85" s="42" t="s">
        <v>101</v>
      </c>
      <c r="G85" s="41" t="s">
        <v>102</v>
      </c>
      <c r="H85" s="41" t="s">
        <v>103</v>
      </c>
      <c r="I85" s="41" t="s">
        <v>104</v>
      </c>
      <c r="J85" s="41" t="s">
        <v>105</v>
      </c>
      <c r="K85" s="43" t="s">
        <v>106</v>
      </c>
      <c r="L85" s="42" t="s">
        <v>107</v>
      </c>
      <c r="M85" s="43" t="s">
        <v>108</v>
      </c>
    </row>
    <row r="86" spans="1:15" x14ac:dyDescent="0.2">
      <c r="A86" s="57"/>
      <c r="B86" s="57"/>
    </row>
    <row r="87" spans="1:15" x14ac:dyDescent="0.2">
      <c r="A87" s="44" t="str">
        <f t="shared" ref="A87:C103" si="24">A47</f>
        <v>ALLETE, Inc.</v>
      </c>
      <c r="B87" s="46" t="str">
        <f t="shared" si="24"/>
        <v>ALE</v>
      </c>
      <c r="C87" s="47">
        <f t="shared" si="24"/>
        <v>2.6</v>
      </c>
      <c r="D87" s="47">
        <v>59.387847777777765</v>
      </c>
      <c r="E87" s="48">
        <f>C87/D87</f>
        <v>4.3780000408987538E-2</v>
      </c>
      <c r="F87" s="48">
        <f>IFERROR(E87*(1+0.5*J87),"")</f>
        <v>4.5553090425551529E-2</v>
      </c>
      <c r="G87" s="49">
        <f t="shared" ref="G87:I103" si="25">G47</f>
        <v>0.06</v>
      </c>
      <c r="H87" s="49">
        <f t="shared" si="25"/>
        <v>8.6999999999999994E-2</v>
      </c>
      <c r="I87" s="49">
        <f t="shared" si="25"/>
        <v>9.6000000000000002E-2</v>
      </c>
      <c r="J87" s="50">
        <f>AVERAGE(G87:I87)</f>
        <v>8.1000000000000003E-2</v>
      </c>
      <c r="K87" s="51">
        <f>$E87*(1+0.5*MIN($G87:$I87))+MIN($G87:$I87)</f>
        <v>0.10509340042125717</v>
      </c>
      <c r="L87" s="48">
        <f t="shared" ref="L87" si="26">F87+J87</f>
        <v>0.12655309042555152</v>
      </c>
      <c r="M87" s="27">
        <f>$E87*(1+0.5*MAX($G87:$I87))+MAX($G87:$I87)</f>
        <v>0.14188144042861894</v>
      </c>
      <c r="O87" s="52"/>
    </row>
    <row r="88" spans="1:15" x14ac:dyDescent="0.2">
      <c r="A88" s="44" t="str">
        <f t="shared" si="24"/>
        <v>Alliant Energy Corporation</v>
      </c>
      <c r="B88" s="46" t="str">
        <f t="shared" si="24"/>
        <v>LNT</v>
      </c>
      <c r="C88" s="47">
        <f t="shared" si="24"/>
        <v>1.81</v>
      </c>
      <c r="D88" s="47">
        <v>56.1656838888889</v>
      </c>
      <c r="E88" s="48">
        <f t="shared" ref="E88:E103" si="27">C88/D88</f>
        <v>3.2226083164600572E-2</v>
      </c>
      <c r="F88" s="48">
        <f t="shared" ref="F88:F103" si="28">IFERROR(E88*(1+0.5*J88),"")</f>
        <v>3.3157954069443607E-2</v>
      </c>
      <c r="G88" s="49">
        <f t="shared" si="25"/>
        <v>0.06</v>
      </c>
      <c r="H88" s="49">
        <f t="shared" si="25"/>
        <v>5.5500000000000001E-2</v>
      </c>
      <c r="I88" s="49">
        <f t="shared" si="25"/>
        <v>5.7999999999999996E-2</v>
      </c>
      <c r="J88" s="50">
        <f t="shared" ref="J88:J103" si="29">AVERAGE(G88:I88)</f>
        <v>5.7833333333333327E-2</v>
      </c>
      <c r="K88" s="51">
        <f t="shared" ref="K88:K103" si="30">$E88*(1+0.5*MIN($G88:$I88))+MIN($G88:$I88)</f>
        <v>8.8620356972418241E-2</v>
      </c>
      <c r="L88" s="48">
        <f t="shared" ref="L88:L103" si="31">F88+J88</f>
        <v>9.0991287402776927E-2</v>
      </c>
      <c r="M88" s="27">
        <f t="shared" ref="M88:M103" si="32">$E88*(1+0.5*MAX($G88:$I88))+MAX($G88:$I88)</f>
        <v>9.319286565953859E-2</v>
      </c>
      <c r="O88" s="52"/>
    </row>
    <row r="89" spans="1:15" x14ac:dyDescent="0.2">
      <c r="A89" s="44" t="str">
        <f t="shared" si="24"/>
        <v>Ameren Corporation</v>
      </c>
      <c r="B89" s="46" t="str">
        <f t="shared" si="24"/>
        <v>AEE</v>
      </c>
      <c r="C89" s="47">
        <f t="shared" si="24"/>
        <v>2.36</v>
      </c>
      <c r="D89" s="47">
        <v>87.434365555555559</v>
      </c>
      <c r="E89" s="48">
        <f t="shared" si="27"/>
        <v>2.6991675241246672E-2</v>
      </c>
      <c r="F89" s="48">
        <f t="shared" si="28"/>
        <v>2.7893197194304314E-2</v>
      </c>
      <c r="G89" s="49">
        <f t="shared" si="25"/>
        <v>6.5000000000000002E-2</v>
      </c>
      <c r="H89" s="49">
        <f t="shared" si="25"/>
        <v>6.6400000000000001E-2</v>
      </c>
      <c r="I89" s="49">
        <f t="shared" si="25"/>
        <v>6.9000000000000006E-2</v>
      </c>
      <c r="J89" s="50">
        <f t="shared" si="29"/>
        <v>6.6800000000000012E-2</v>
      </c>
      <c r="K89" s="51">
        <f t="shared" si="30"/>
        <v>9.2868904686587192E-2</v>
      </c>
      <c r="L89" s="48">
        <f t="shared" si="31"/>
        <v>9.4693197194304329E-2</v>
      </c>
      <c r="M89" s="27">
        <f t="shared" si="32"/>
        <v>9.6922888037069693E-2</v>
      </c>
      <c r="O89" s="52"/>
    </row>
    <row r="90" spans="1:15" x14ac:dyDescent="0.2">
      <c r="A90" s="44" t="str">
        <f t="shared" si="24"/>
        <v>American Electric Power Company, Inc.</v>
      </c>
      <c r="B90" s="46" t="str">
        <f t="shared" si="24"/>
        <v>AEP</v>
      </c>
      <c r="C90" s="47">
        <f t="shared" si="24"/>
        <v>3.32</v>
      </c>
      <c r="D90" s="47">
        <v>94.514250555555577</v>
      </c>
      <c r="E90" s="48">
        <f t="shared" si="27"/>
        <v>3.5126978000513273E-2</v>
      </c>
      <c r="F90" s="48">
        <f t="shared" si="28"/>
        <v>3.6224696063029312E-2</v>
      </c>
      <c r="G90" s="49">
        <f t="shared" si="25"/>
        <v>6.5000000000000002E-2</v>
      </c>
      <c r="H90" s="49">
        <f t="shared" si="25"/>
        <v>6.1500000000000006E-2</v>
      </c>
      <c r="I90" s="49">
        <f t="shared" si="25"/>
        <v>6.0999999999999999E-2</v>
      </c>
      <c r="J90" s="50">
        <f t="shared" si="29"/>
        <v>6.25E-2</v>
      </c>
      <c r="K90" s="51">
        <f t="shared" si="30"/>
        <v>9.7198350829528934E-2</v>
      </c>
      <c r="L90" s="48">
        <f t="shared" si="31"/>
        <v>9.8724696063029305E-2</v>
      </c>
      <c r="M90" s="27">
        <f t="shared" si="32"/>
        <v>0.10126860478552996</v>
      </c>
      <c r="O90" s="52"/>
    </row>
    <row r="91" spans="1:15" x14ac:dyDescent="0.2">
      <c r="A91" s="44" t="str">
        <f t="shared" si="24"/>
        <v>Avista Corporation</v>
      </c>
      <c r="B91" s="46" t="str">
        <f t="shared" si="24"/>
        <v>AVA</v>
      </c>
      <c r="C91" s="47">
        <f t="shared" si="24"/>
        <v>1.76</v>
      </c>
      <c r="D91" s="47">
        <v>40.844768888888886</v>
      </c>
      <c r="E91" s="48">
        <f t="shared" si="27"/>
        <v>4.3089973278775916E-2</v>
      </c>
      <c r="F91" s="48">
        <f t="shared" si="28"/>
        <v>4.4088224326400888E-2</v>
      </c>
      <c r="G91" s="49">
        <f t="shared" si="25"/>
        <v>3.5000000000000003E-2</v>
      </c>
      <c r="H91" s="49">
        <f t="shared" si="25"/>
        <v>5.2000000000000005E-2</v>
      </c>
      <c r="I91" s="49">
        <f t="shared" si="25"/>
        <v>5.2000000000000005E-2</v>
      </c>
      <c r="J91" s="50">
        <f t="shared" si="29"/>
        <v>4.6333333333333337E-2</v>
      </c>
      <c r="K91" s="51">
        <f t="shared" si="30"/>
        <v>7.8844047811154505E-2</v>
      </c>
      <c r="L91" s="48">
        <f t="shared" si="31"/>
        <v>9.0421557659734225E-2</v>
      </c>
      <c r="M91" s="27">
        <f t="shared" si="32"/>
        <v>9.6210312584024099E-2</v>
      </c>
      <c r="O91" s="52"/>
    </row>
    <row r="92" spans="1:15" x14ac:dyDescent="0.2">
      <c r="A92" s="44" t="str">
        <f t="shared" si="24"/>
        <v>CMS Energy Corporation</v>
      </c>
      <c r="B92" s="46" t="str">
        <f t="shared" si="24"/>
        <v>CMS</v>
      </c>
      <c r="C92" s="47">
        <f t="shared" si="24"/>
        <v>1.84</v>
      </c>
      <c r="D92" s="47">
        <v>63.560855555555555</v>
      </c>
      <c r="E92" s="48">
        <f t="shared" si="27"/>
        <v>2.894863487782575E-2</v>
      </c>
      <c r="F92" s="48">
        <f t="shared" si="28"/>
        <v>3.0042410798959598E-2</v>
      </c>
      <c r="G92" s="49">
        <f t="shared" si="25"/>
        <v>6.5000000000000002E-2</v>
      </c>
      <c r="H92" s="49">
        <f t="shared" si="25"/>
        <v>8.1699999999999995E-2</v>
      </c>
      <c r="I92" s="49">
        <f t="shared" si="25"/>
        <v>0.08</v>
      </c>
      <c r="J92" s="50">
        <f t="shared" si="29"/>
        <v>7.5566666666666671E-2</v>
      </c>
      <c r="K92" s="51">
        <f t="shared" si="30"/>
        <v>9.4889465511355089E-2</v>
      </c>
      <c r="L92" s="48">
        <f t="shared" si="31"/>
        <v>0.10560907746562627</v>
      </c>
      <c r="M92" s="27">
        <f t="shared" si="32"/>
        <v>0.11183118661258493</v>
      </c>
      <c r="O92" s="52"/>
    </row>
    <row r="93" spans="1:15" x14ac:dyDescent="0.2">
      <c r="A93" s="44" t="str">
        <f t="shared" si="24"/>
        <v>Duke Energy Corporation</v>
      </c>
      <c r="B93" s="46" t="str">
        <f t="shared" si="24"/>
        <v>DUK</v>
      </c>
      <c r="C93" s="47">
        <f t="shared" si="24"/>
        <v>4.0199999999999996</v>
      </c>
      <c r="D93" s="47">
        <v>101.87792611111112</v>
      </c>
      <c r="E93" s="48">
        <f t="shared" si="27"/>
        <v>3.9458989336077249E-2</v>
      </c>
      <c r="F93" s="48">
        <f t="shared" si="28"/>
        <v>4.0521093799039995E-2</v>
      </c>
      <c r="G93" s="49">
        <f t="shared" si="25"/>
        <v>0.05</v>
      </c>
      <c r="H93" s="49">
        <f t="shared" si="25"/>
        <v>5.6500000000000002E-2</v>
      </c>
      <c r="I93" s="49">
        <f t="shared" si="25"/>
        <v>5.5E-2</v>
      </c>
      <c r="J93" s="50">
        <f t="shared" si="29"/>
        <v>5.3833333333333337E-2</v>
      </c>
      <c r="K93" s="51">
        <f t="shared" si="30"/>
        <v>9.0445464069479176E-2</v>
      </c>
      <c r="L93" s="48">
        <f t="shared" si="31"/>
        <v>9.4354427132373325E-2</v>
      </c>
      <c r="M93" s="27">
        <f t="shared" si="32"/>
        <v>9.707370578482144E-2</v>
      </c>
      <c r="O93" s="52"/>
    </row>
    <row r="94" spans="1:15" x14ac:dyDescent="0.2">
      <c r="A94" s="44" t="str">
        <f t="shared" si="24"/>
        <v>Entergy Corporation</v>
      </c>
      <c r="B94" s="46" t="str">
        <f t="shared" si="24"/>
        <v>ETR</v>
      </c>
      <c r="C94" s="47">
        <f t="shared" si="24"/>
        <v>4.28</v>
      </c>
      <c r="D94" s="47">
        <v>111.02437222222225</v>
      </c>
      <c r="E94" s="48">
        <f t="shared" si="27"/>
        <v>3.8550094130983342E-2</v>
      </c>
      <c r="F94" s="48">
        <f t="shared" si="28"/>
        <v>3.9590304170951045E-2</v>
      </c>
      <c r="G94" s="49">
        <f t="shared" si="25"/>
        <v>0.04</v>
      </c>
      <c r="H94" s="49">
        <f t="shared" si="25"/>
        <v>6.1900000000000004E-2</v>
      </c>
      <c r="I94" s="49">
        <f t="shared" si="25"/>
        <v>0.06</v>
      </c>
      <c r="J94" s="50">
        <f t="shared" si="29"/>
        <v>5.3966666666666663E-2</v>
      </c>
      <c r="K94" s="51">
        <f t="shared" si="30"/>
        <v>7.9321096013603015E-2</v>
      </c>
      <c r="L94" s="48">
        <f t="shared" si="31"/>
        <v>9.3556970837617714E-2</v>
      </c>
      <c r="M94" s="27">
        <f t="shared" si="32"/>
        <v>0.10164321954433728</v>
      </c>
      <c r="O94" s="52"/>
    </row>
    <row r="95" spans="1:15" x14ac:dyDescent="0.2">
      <c r="A95" s="44" t="str">
        <f t="shared" si="24"/>
        <v>Evergy, Inc.</v>
      </c>
      <c r="B95" s="46" t="str">
        <f t="shared" si="24"/>
        <v>EVRG</v>
      </c>
      <c r="C95" s="47">
        <f t="shared" si="24"/>
        <v>2.4500000000000002</v>
      </c>
      <c r="D95" s="47">
        <v>63.351309444444453</v>
      </c>
      <c r="E95" s="48">
        <f t="shared" ref="E95" si="33">C95/D95</f>
        <v>3.8673233773463087E-2</v>
      </c>
      <c r="F95" s="48">
        <f t="shared" ref="F95" si="34">IFERROR(E95*(1+0.5*J95),"")</f>
        <v>3.9654889357412827E-2</v>
      </c>
      <c r="G95" s="49">
        <f t="shared" si="25"/>
        <v>7.4999999999999997E-2</v>
      </c>
      <c r="H95" s="49">
        <f t="shared" si="25"/>
        <v>2.4300000000000002E-2</v>
      </c>
      <c r="I95" s="49">
        <f t="shared" si="25"/>
        <v>5.2999999999999999E-2</v>
      </c>
      <c r="J95" s="50">
        <f t="shared" ref="J95" si="35">AVERAGE(G95:I95)</f>
        <v>5.0766666666666661E-2</v>
      </c>
      <c r="K95" s="51">
        <f t="shared" si="30"/>
        <v>6.344311356381066E-2</v>
      </c>
      <c r="L95" s="48">
        <f t="shared" ref="L95" si="36">F95+J95</f>
        <v>9.0421556024079489E-2</v>
      </c>
      <c r="M95" s="27">
        <f t="shared" si="32"/>
        <v>0.11512348003996795</v>
      </c>
      <c r="O95" s="52"/>
    </row>
    <row r="96" spans="1:15" x14ac:dyDescent="0.2">
      <c r="A96" s="44" t="str">
        <f t="shared" si="24"/>
        <v>IDACORP, Inc.</v>
      </c>
      <c r="B96" s="46" t="str">
        <f t="shared" si="24"/>
        <v>IDA</v>
      </c>
      <c r="C96" s="47">
        <f t="shared" si="24"/>
        <v>3.16</v>
      </c>
      <c r="D96" s="47">
        <v>105.35663888888888</v>
      </c>
      <c r="E96" s="48">
        <f t="shared" si="27"/>
        <v>2.9993363810064181E-2</v>
      </c>
      <c r="F96" s="48">
        <f t="shared" si="28"/>
        <v>3.0558238828487055E-2</v>
      </c>
      <c r="G96" s="49">
        <f t="shared" si="25"/>
        <v>4.4999999999999998E-2</v>
      </c>
      <c r="H96" s="49">
        <f t="shared" si="25"/>
        <v>3.4000000000000002E-2</v>
      </c>
      <c r="I96" s="49">
        <f t="shared" si="25"/>
        <v>3.4000000000000002E-2</v>
      </c>
      <c r="J96" s="50">
        <f t="shared" si="29"/>
        <v>3.7666666666666668E-2</v>
      </c>
      <c r="K96" s="51">
        <f t="shared" si="30"/>
        <v>6.4503250994835268E-2</v>
      </c>
      <c r="L96" s="48">
        <f t="shared" si="31"/>
        <v>6.8224905495153726E-2</v>
      </c>
      <c r="M96" s="27">
        <f t="shared" si="32"/>
        <v>7.5668214495790614E-2</v>
      </c>
      <c r="O96" s="52"/>
    </row>
    <row r="97" spans="1:15" x14ac:dyDescent="0.2">
      <c r="A97" s="44" t="str">
        <f t="shared" si="24"/>
        <v>NextEra Energy, Inc.</v>
      </c>
      <c r="B97" s="46" t="str">
        <f t="shared" si="24"/>
        <v>NEE</v>
      </c>
      <c r="C97" s="47">
        <f t="shared" si="24"/>
        <v>1.7</v>
      </c>
      <c r="D97" s="47">
        <v>80.772539444444433</v>
      </c>
      <c r="E97" s="48">
        <f t="shared" si="27"/>
        <v>2.1046756876689068E-2</v>
      </c>
      <c r="F97" s="48">
        <f t="shared" si="28"/>
        <v>2.2088922121366455E-2</v>
      </c>
      <c r="G97" s="49">
        <f t="shared" si="25"/>
        <v>0.105</v>
      </c>
      <c r="H97" s="49">
        <f t="shared" si="25"/>
        <v>0.10210000000000001</v>
      </c>
      <c r="I97" s="49">
        <f t="shared" si="25"/>
        <v>0.09</v>
      </c>
      <c r="J97" s="50">
        <f t="shared" si="29"/>
        <v>9.9033333333333348E-2</v>
      </c>
      <c r="K97" s="51">
        <f t="shared" si="30"/>
        <v>0.11199386093614007</v>
      </c>
      <c r="L97" s="48">
        <f t="shared" si="31"/>
        <v>0.1211222554546998</v>
      </c>
      <c r="M97" s="27">
        <f t="shared" si="32"/>
        <v>0.12715171161271524</v>
      </c>
      <c r="O97" s="52"/>
    </row>
    <row r="98" spans="1:15" x14ac:dyDescent="0.2">
      <c r="A98" s="44" t="str">
        <f t="shared" si="24"/>
        <v>NorthWestern Corporation</v>
      </c>
      <c r="B98" s="46" t="str">
        <f t="shared" si="24"/>
        <v>NWE</v>
      </c>
      <c r="C98" s="47">
        <f t="shared" si="24"/>
        <v>2.52</v>
      </c>
      <c r="D98" s="47">
        <v>55.019823333333314</v>
      </c>
      <c r="E98" s="48">
        <f t="shared" si="27"/>
        <v>4.5801673784606256E-2</v>
      </c>
      <c r="F98" s="48">
        <f t="shared" si="28"/>
        <v>4.6542134177457388E-2</v>
      </c>
      <c r="G98" s="49">
        <f t="shared" si="25"/>
        <v>3.5000000000000003E-2</v>
      </c>
      <c r="H98" s="49">
        <f t="shared" si="25"/>
        <v>4.4999999999999998E-2</v>
      </c>
      <c r="I98" s="49">
        <f t="shared" si="25"/>
        <v>1.7000000000000001E-2</v>
      </c>
      <c r="J98" s="50">
        <f t="shared" si="29"/>
        <v>3.2333333333333332E-2</v>
      </c>
      <c r="K98" s="51">
        <f t="shared" si="30"/>
        <v>6.3190988011775417E-2</v>
      </c>
      <c r="L98" s="48">
        <f t="shared" si="31"/>
        <v>7.887546751079072E-2</v>
      </c>
      <c r="M98" s="27">
        <f t="shared" si="32"/>
        <v>9.1832211444759893E-2</v>
      </c>
      <c r="O98" s="52"/>
    </row>
    <row r="99" spans="1:15" x14ac:dyDescent="0.2">
      <c r="A99" s="44" t="str">
        <f t="shared" si="24"/>
        <v>OGE Energy Corporation</v>
      </c>
      <c r="B99" s="46" t="str">
        <f t="shared" si="24"/>
        <v>OGE</v>
      </c>
      <c r="C99" s="47">
        <f t="shared" si="24"/>
        <v>1.6564000000000001</v>
      </c>
      <c r="D99" s="47">
        <v>38.409143333333333</v>
      </c>
      <c r="E99" s="48">
        <f t="shared" si="27"/>
        <v>4.3125148239442641E-2</v>
      </c>
      <c r="F99" s="48">
        <f t="shared" si="28"/>
        <v>4.4088276550123526E-2</v>
      </c>
      <c r="G99" s="49">
        <f t="shared" si="25"/>
        <v>6.5000000000000002E-2</v>
      </c>
      <c r="H99" s="49">
        <f t="shared" si="25"/>
        <v>1.9E-2</v>
      </c>
      <c r="I99" s="49">
        <f t="shared" si="25"/>
        <v>0.05</v>
      </c>
      <c r="J99" s="50">
        <f t="shared" si="29"/>
        <v>4.4666666666666667E-2</v>
      </c>
      <c r="K99" s="51">
        <f t="shared" si="30"/>
        <v>6.2534837147717348E-2</v>
      </c>
      <c r="L99" s="48">
        <f t="shared" si="31"/>
        <v>8.87549432167902E-2</v>
      </c>
      <c r="M99" s="27">
        <f t="shared" si="32"/>
        <v>0.10952671555722453</v>
      </c>
      <c r="O99" s="52"/>
    </row>
    <row r="100" spans="1:15" x14ac:dyDescent="0.2">
      <c r="A100" s="44" t="str">
        <f t="shared" si="24"/>
        <v>Otter Tail Corporation</v>
      </c>
      <c r="B100" s="46" t="str">
        <f t="shared" si="24"/>
        <v>OTTR</v>
      </c>
      <c r="C100" s="47">
        <f t="shared" si="24"/>
        <v>1.65</v>
      </c>
      <c r="D100" s="47">
        <v>64.850066111111133</v>
      </c>
      <c r="E100" s="48">
        <f t="shared" si="27"/>
        <v>2.5443304825209668E-2</v>
      </c>
      <c r="F100" s="48">
        <f t="shared" si="28"/>
        <v>2.6302016363060492E-2</v>
      </c>
      <c r="G100" s="49">
        <f t="shared" si="25"/>
        <v>4.4999999999999998E-2</v>
      </c>
      <c r="H100" s="49">
        <f t="shared" si="25"/>
        <v>0.09</v>
      </c>
      <c r="I100" s="49" t="str">
        <f t="shared" si="25"/>
        <v>n/a</v>
      </c>
      <c r="J100" s="50">
        <f t="shared" si="29"/>
        <v>6.7500000000000004E-2</v>
      </c>
      <c r="K100" s="51">
        <f t="shared" si="30"/>
        <v>7.1015779183776884E-2</v>
      </c>
      <c r="L100" s="48">
        <f t="shared" si="31"/>
        <v>9.38020163630605E-2</v>
      </c>
      <c r="M100" s="27">
        <f t="shared" si="32"/>
        <v>0.1165882535423441</v>
      </c>
      <c r="O100" s="52"/>
    </row>
    <row r="101" spans="1:15" x14ac:dyDescent="0.2">
      <c r="A101" s="44" t="str">
        <f t="shared" si="24"/>
        <v>Portland General Electric Company</v>
      </c>
      <c r="B101" s="46" t="str">
        <f t="shared" si="24"/>
        <v>POR</v>
      </c>
      <c r="C101" s="47">
        <f t="shared" si="24"/>
        <v>1.81</v>
      </c>
      <c r="D101" s="47">
        <v>47.850185555555598</v>
      </c>
      <c r="E101" s="48">
        <f t="shared" si="27"/>
        <v>3.7826394589390508E-2</v>
      </c>
      <c r="F101" s="48">
        <f t="shared" si="28"/>
        <v>3.8563378843973796E-2</v>
      </c>
      <c r="G101" s="49">
        <f t="shared" si="25"/>
        <v>0.05</v>
      </c>
      <c r="H101" s="49">
        <f t="shared" si="25"/>
        <v>1.3899999999999999E-2</v>
      </c>
      <c r="I101" s="49">
        <f t="shared" si="25"/>
        <v>5.2999999999999999E-2</v>
      </c>
      <c r="J101" s="50">
        <f t="shared" si="29"/>
        <v>3.896666666666667E-2</v>
      </c>
      <c r="K101" s="51">
        <f t="shared" si="30"/>
        <v>5.1989288031786776E-2</v>
      </c>
      <c r="L101" s="48">
        <f t="shared" si="31"/>
        <v>7.7530045510640466E-2</v>
      </c>
      <c r="M101" s="27">
        <f t="shared" si="32"/>
        <v>9.1828794046009354E-2</v>
      </c>
      <c r="O101" s="52"/>
    </row>
    <row r="102" spans="1:15" x14ac:dyDescent="0.2">
      <c r="A102" s="44" t="str">
        <f t="shared" si="24"/>
        <v>Southern Company</v>
      </c>
      <c r="B102" s="46" t="str">
        <f t="shared" si="24"/>
        <v>SO</v>
      </c>
      <c r="C102" s="47">
        <f t="shared" si="24"/>
        <v>2.72</v>
      </c>
      <c r="D102" s="47">
        <v>70.498519444444469</v>
      </c>
      <c r="E102" s="48">
        <f t="shared" si="27"/>
        <v>3.8582370543873111E-2</v>
      </c>
      <c r="F102" s="48">
        <f t="shared" si="28"/>
        <v>3.9674251630264723E-2</v>
      </c>
      <c r="G102" s="49">
        <f t="shared" si="25"/>
        <v>6.5000000000000002E-2</v>
      </c>
      <c r="H102" s="49">
        <f t="shared" si="25"/>
        <v>6.480000000000001E-2</v>
      </c>
      <c r="I102" s="49">
        <f t="shared" si="25"/>
        <v>0.04</v>
      </c>
      <c r="J102" s="50">
        <f t="shared" si="29"/>
        <v>5.6600000000000011E-2</v>
      </c>
      <c r="K102" s="51">
        <f t="shared" si="30"/>
        <v>7.9354017954750583E-2</v>
      </c>
      <c r="L102" s="48">
        <f t="shared" si="31"/>
        <v>9.6274251630264734E-2</v>
      </c>
      <c r="M102" s="27">
        <f t="shared" si="32"/>
        <v>0.10483629758654898</v>
      </c>
      <c r="O102" s="52"/>
    </row>
    <row r="103" spans="1:15" x14ac:dyDescent="0.2">
      <c r="A103" s="44" t="str">
        <f t="shared" si="24"/>
        <v>Xcel Energy Inc.</v>
      </c>
      <c r="B103" s="46" t="str">
        <f t="shared" si="24"/>
        <v>XEL</v>
      </c>
      <c r="C103" s="47">
        <f t="shared" si="24"/>
        <v>1.95</v>
      </c>
      <c r="D103" s="47">
        <v>69.394876111111174</v>
      </c>
      <c r="E103" s="48">
        <f t="shared" si="27"/>
        <v>2.8100057371350726E-2</v>
      </c>
      <c r="F103" s="48">
        <f t="shared" si="28"/>
        <v>2.9013777570209148E-2</v>
      </c>
      <c r="G103" s="49">
        <f t="shared" si="25"/>
        <v>0.06</v>
      </c>
      <c r="H103" s="49">
        <f t="shared" si="25"/>
        <v>7.0099999999999996E-2</v>
      </c>
      <c r="I103" s="49">
        <f t="shared" si="25"/>
        <v>6.5000000000000002E-2</v>
      </c>
      <c r="J103" s="50">
        <f t="shared" si="29"/>
        <v>6.5033333333333332E-2</v>
      </c>
      <c r="K103" s="51">
        <f t="shared" si="30"/>
        <v>8.8943059092491242E-2</v>
      </c>
      <c r="L103" s="48">
        <f t="shared" si="31"/>
        <v>9.404711090354248E-2</v>
      </c>
      <c r="M103" s="27">
        <f t="shared" si="32"/>
        <v>9.9184964382216564E-2</v>
      </c>
      <c r="O103" s="52"/>
    </row>
    <row r="104" spans="1:15" x14ac:dyDescent="0.2">
      <c r="A104" s="67"/>
      <c r="B104" s="68"/>
      <c r="C104" s="53"/>
      <c r="D104" s="53"/>
      <c r="E104" s="53"/>
      <c r="F104" s="53"/>
      <c r="G104" s="69"/>
      <c r="H104" s="69"/>
      <c r="I104" s="69"/>
      <c r="J104" s="55"/>
      <c r="K104" s="56"/>
      <c r="L104" s="56"/>
      <c r="M104" s="56"/>
    </row>
    <row r="105" spans="1:15" x14ac:dyDescent="0.2">
      <c r="A105" s="57" t="s">
        <v>4</v>
      </c>
      <c r="B105" s="58"/>
      <c r="C105" s="59"/>
      <c r="D105" s="59"/>
      <c r="E105" s="60">
        <f t="shared" ref="E105:M105" si="37">AVERAGE(E87:E103)</f>
        <v>3.5103807779594091E-2</v>
      </c>
      <c r="F105" s="60">
        <f t="shared" si="37"/>
        <v>3.609157978176681E-2</v>
      </c>
      <c r="G105" s="60">
        <f t="shared" si="37"/>
        <v>5.7941176470588253E-2</v>
      </c>
      <c r="H105" s="60">
        <f t="shared" si="37"/>
        <v>5.7982352941176471E-2</v>
      </c>
      <c r="I105" s="60">
        <f t="shared" si="37"/>
        <v>5.8312500000000017E-2</v>
      </c>
      <c r="J105" s="60">
        <f t="shared" si="37"/>
        <v>5.8258823529411759E-2</v>
      </c>
      <c r="K105" s="60">
        <f t="shared" si="37"/>
        <v>8.1426428307792204E-2</v>
      </c>
      <c r="L105" s="60">
        <f t="shared" si="37"/>
        <v>9.4350403311178582E-2</v>
      </c>
      <c r="M105" s="60">
        <f t="shared" si="37"/>
        <v>0.10422146271435895</v>
      </c>
    </row>
    <row r="106" spans="1:15" x14ac:dyDescent="0.2">
      <c r="A106" s="44" t="s">
        <v>13</v>
      </c>
      <c r="E106" s="61">
        <f t="shared" ref="E106:M106" si="38">MEDIAN(E87:E103)</f>
        <v>3.7826394589390508E-2</v>
      </c>
      <c r="F106" s="61">
        <f t="shared" si="38"/>
        <v>3.8563378843973796E-2</v>
      </c>
      <c r="G106" s="61">
        <f t="shared" si="38"/>
        <v>0.06</v>
      </c>
      <c r="H106" s="61">
        <f t="shared" si="38"/>
        <v>6.1500000000000006E-2</v>
      </c>
      <c r="I106" s="61">
        <f t="shared" si="38"/>
        <v>5.6499999999999995E-2</v>
      </c>
      <c r="J106" s="61">
        <f t="shared" si="38"/>
        <v>5.6600000000000011E-2</v>
      </c>
      <c r="K106" s="61">
        <f t="shared" si="38"/>
        <v>7.9354017954750583E-2</v>
      </c>
      <c r="L106" s="61">
        <f t="shared" si="38"/>
        <v>9.38020163630605E-2</v>
      </c>
      <c r="M106" s="61">
        <f t="shared" si="38"/>
        <v>0.10126860478552996</v>
      </c>
    </row>
    <row r="108" spans="1:15" x14ac:dyDescent="0.2">
      <c r="A108" s="62" t="s">
        <v>88</v>
      </c>
    </row>
    <row r="109" spans="1:15" x14ac:dyDescent="0.2">
      <c r="A109" s="63" t="s">
        <v>89</v>
      </c>
    </row>
    <row r="110" spans="1:15" x14ac:dyDescent="0.2">
      <c r="A110" s="63" t="s">
        <v>1417</v>
      </c>
    </row>
    <row r="111" spans="1:15" x14ac:dyDescent="0.2">
      <c r="A111" s="45" t="s">
        <v>110</v>
      </c>
    </row>
    <row r="112" spans="1:15" x14ac:dyDescent="0.2">
      <c r="A112" s="45" t="s">
        <v>111</v>
      </c>
    </row>
    <row r="113" spans="1:1" x14ac:dyDescent="0.2">
      <c r="A113" s="45" t="s">
        <v>112</v>
      </c>
    </row>
    <row r="114" spans="1:1" x14ac:dyDescent="0.2">
      <c r="A114" s="45" t="s">
        <v>113</v>
      </c>
    </row>
    <row r="115" spans="1:1" x14ac:dyDescent="0.2">
      <c r="A115" s="45" t="s">
        <v>114</v>
      </c>
    </row>
    <row r="116" spans="1:1" x14ac:dyDescent="0.2">
      <c r="A116" s="65" t="s">
        <v>115</v>
      </c>
    </row>
    <row r="117" spans="1:1" x14ac:dyDescent="0.2">
      <c r="A117" s="65" t="s">
        <v>116</v>
      </c>
    </row>
    <row r="118" spans="1:1" x14ac:dyDescent="0.2">
      <c r="A118" s="66" t="s">
        <v>117</v>
      </c>
    </row>
    <row r="119" spans="1:1" x14ac:dyDescent="0.2">
      <c r="A119" s="65" t="s">
        <v>118</v>
      </c>
    </row>
    <row r="120" spans="1:1" x14ac:dyDescent="0.2">
      <c r="A120" s="63"/>
    </row>
    <row r="121" spans="1:1" x14ac:dyDescent="0.2">
      <c r="A121" s="63"/>
    </row>
  </sheetData>
  <mergeCells count="3">
    <mergeCell ref="A2:M2"/>
    <mergeCell ref="A42:M42"/>
    <mergeCell ref="A82:M82"/>
  </mergeCells>
  <pageMargins left="0.7" right="0.7" top="0.75" bottom="0.75" header="0.3" footer="0.3"/>
  <pageSetup scale="57" orientation="landscape" useFirstPageNumber="1" horizontalDpi="300" verticalDpi="300" r:id="rId1"/>
  <headerFooter>
    <oddHeader>&amp;LREFILED April 19, 2023</oddHeader>
  </headerFooter>
  <rowBreaks count="2" manualBreakCount="2">
    <brk id="40" max="12" man="1"/>
    <brk id="8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23"/>
  <sheetViews>
    <sheetView view="pageLayout" zoomScale="90" zoomScaleNormal="100" zoomScaleSheetLayoutView="100" zoomScalePageLayoutView="90" workbookViewId="0">
      <selection activeCell="D3" sqref="D3"/>
    </sheetView>
  </sheetViews>
  <sheetFormatPr defaultColWidth="9.140625" defaultRowHeight="12.75" x14ac:dyDescent="0.2"/>
  <cols>
    <col min="1" max="1" width="5.7109375" style="70" customWidth="1"/>
    <col min="2" max="2" width="36" style="70" customWidth="1"/>
    <col min="3" max="3" width="9.140625" style="70"/>
    <col min="4" max="4" width="20.42578125" style="70" customWidth="1"/>
    <col min="5" max="5" width="9.28515625" style="70" bestFit="1" customWidth="1"/>
    <col min="6" max="6" width="9.140625" style="70"/>
    <col min="7" max="7" width="9.42578125" style="70" customWidth="1"/>
    <col min="8" max="11" width="9.140625" style="70"/>
    <col min="12" max="12" width="15.85546875" style="70" customWidth="1"/>
    <col min="13" max="16384" width="9.140625" style="70"/>
  </cols>
  <sheetData>
    <row r="2" spans="2:12" ht="13.15" customHeight="1" x14ac:dyDescent="0.2">
      <c r="B2" s="354" t="s">
        <v>119</v>
      </c>
      <c r="C2" s="354"/>
      <c r="D2" s="354"/>
      <c r="E2" s="354"/>
      <c r="F2" s="354"/>
      <c r="G2" s="354"/>
      <c r="H2" s="354"/>
      <c r="I2" s="354"/>
    </row>
    <row r="4" spans="2:12" x14ac:dyDescent="0.2">
      <c r="B4" s="354" t="s">
        <v>120</v>
      </c>
      <c r="C4" s="354"/>
      <c r="D4" s="354"/>
      <c r="E4" s="354"/>
      <c r="F4" s="354"/>
      <c r="G4" s="354"/>
      <c r="H4" s="354"/>
      <c r="I4" s="354"/>
    </row>
    <row r="5" spans="2:12" x14ac:dyDescent="0.2">
      <c r="B5" s="354" t="s">
        <v>121</v>
      </c>
      <c r="C5" s="354"/>
      <c r="D5" s="354"/>
      <c r="E5" s="354"/>
      <c r="F5" s="354"/>
      <c r="G5" s="354"/>
      <c r="H5" s="354"/>
      <c r="I5" s="354"/>
    </row>
    <row r="7" spans="2:12" ht="13.5" thickBot="1" x14ac:dyDescent="0.25">
      <c r="D7" s="71" t="s">
        <v>28</v>
      </c>
      <c r="E7" s="71" t="s">
        <v>29</v>
      </c>
      <c r="F7" s="71" t="s">
        <v>30</v>
      </c>
      <c r="G7" s="71" t="s">
        <v>31</v>
      </c>
      <c r="H7" s="71" t="s">
        <v>32</v>
      </c>
      <c r="I7" s="71" t="s">
        <v>33</v>
      </c>
    </row>
    <row r="8" spans="2:12" ht="63.75" customHeight="1" x14ac:dyDescent="0.2">
      <c r="B8" s="23" t="s">
        <v>34</v>
      </c>
      <c r="C8" s="23" t="s">
        <v>35</v>
      </c>
      <c r="D8" s="24" t="s">
        <v>122</v>
      </c>
      <c r="E8" s="24" t="s">
        <v>123</v>
      </c>
      <c r="F8" s="24" t="s">
        <v>124</v>
      </c>
      <c r="G8" s="24" t="s">
        <v>125</v>
      </c>
      <c r="H8" s="72" t="s">
        <v>126</v>
      </c>
      <c r="I8" s="72" t="s">
        <v>127</v>
      </c>
    </row>
    <row r="9" spans="2:12" x14ac:dyDescent="0.2">
      <c r="B9" s="70" t="str">
        <f>'Exh. No. AEB-6 CGDCF'!A7</f>
        <v>ALLETE, Inc.</v>
      </c>
      <c r="C9" s="70" t="str">
        <f>'Exh. No. AEB-6 CGDCF'!B7</f>
        <v>ALE</v>
      </c>
      <c r="D9" s="73">
        <v>3.7090000000000005E-2</v>
      </c>
      <c r="E9" s="74">
        <v>0.9</v>
      </c>
      <c r="F9" s="30">
        <f>'Exh. No. AEB-9 Market Return'!B8</f>
        <v>0.12496298202564052</v>
      </c>
      <c r="G9" s="75">
        <f>F9-D9</f>
        <v>8.7872982025640506E-2</v>
      </c>
      <c r="H9" s="75">
        <f>IFERROR(G9*E9+D9, "")</f>
        <v>0.11617568382307647</v>
      </c>
      <c r="I9" s="75">
        <f>IFERROR((0.25*G9)+(0.75*E9*G9)+D9, "")</f>
        <v>0.11837250837371749</v>
      </c>
      <c r="L9" s="52"/>
    </row>
    <row r="10" spans="2:12" x14ac:dyDescent="0.2">
      <c r="B10" s="70" t="str">
        <f>'Exh. No. AEB-6 CGDCF'!A8</f>
        <v>Alliant Energy Corporation</v>
      </c>
      <c r="C10" s="70" t="str">
        <f>'Exh. No. AEB-6 CGDCF'!B8</f>
        <v>LNT</v>
      </c>
      <c r="D10" s="75">
        <f>D9</f>
        <v>3.7090000000000005E-2</v>
      </c>
      <c r="E10" s="76">
        <v>0.85</v>
      </c>
      <c r="F10" s="30">
        <f>F9</f>
        <v>0.12496298202564052</v>
      </c>
      <c r="G10" s="75">
        <f t="shared" ref="G10:G14" si="0">F10-D10</f>
        <v>8.7872982025640506E-2</v>
      </c>
      <c r="H10" s="75">
        <f t="shared" ref="H10:H14" si="1">IFERROR(G10*E10+D10, "")</f>
        <v>0.11178203472179443</v>
      </c>
      <c r="I10" s="75">
        <f t="shared" ref="I10:I14" si="2">IFERROR((0.25*G10)+(0.75*E10*G10)+D10, "")</f>
        <v>0.11507727154775596</v>
      </c>
      <c r="L10" s="52"/>
    </row>
    <row r="11" spans="2:12" x14ac:dyDescent="0.2">
      <c r="B11" s="70" t="str">
        <f>'Exh. No. AEB-6 CGDCF'!A9</f>
        <v>Ameren Corporation</v>
      </c>
      <c r="C11" s="70" t="str">
        <f>'Exh. No. AEB-6 CGDCF'!B9</f>
        <v>AEE</v>
      </c>
      <c r="D11" s="75">
        <f t="shared" ref="D11:D25" si="3">D10</f>
        <v>3.7090000000000005E-2</v>
      </c>
      <c r="E11" s="76">
        <v>0.85</v>
      </c>
      <c r="F11" s="30">
        <f t="shared" ref="F11:F25" si="4">F10</f>
        <v>0.12496298202564052</v>
      </c>
      <c r="G11" s="75">
        <f t="shared" si="0"/>
        <v>8.7872982025640506E-2</v>
      </c>
      <c r="H11" s="75">
        <f t="shared" si="1"/>
        <v>0.11178203472179443</v>
      </c>
      <c r="I11" s="75">
        <f t="shared" si="2"/>
        <v>0.11507727154775596</v>
      </c>
      <c r="L11" s="52"/>
    </row>
    <row r="12" spans="2:12" x14ac:dyDescent="0.2">
      <c r="B12" s="70" t="str">
        <f>'Exh. No. AEB-6 CGDCF'!A10</f>
        <v>American Electric Power Company, Inc.</v>
      </c>
      <c r="C12" s="70" t="str">
        <f>'Exh. No. AEB-6 CGDCF'!B10</f>
        <v>AEP</v>
      </c>
      <c r="D12" s="75">
        <f t="shared" si="3"/>
        <v>3.7090000000000005E-2</v>
      </c>
      <c r="E12" s="76">
        <v>0.75</v>
      </c>
      <c r="F12" s="30">
        <f t="shared" si="4"/>
        <v>0.12496298202564052</v>
      </c>
      <c r="G12" s="75">
        <f t="shared" si="0"/>
        <v>8.7872982025640506E-2</v>
      </c>
      <c r="H12" s="75">
        <f t="shared" si="1"/>
        <v>0.10299473651923038</v>
      </c>
      <c r="I12" s="75">
        <f t="shared" si="2"/>
        <v>0.10848679789583293</v>
      </c>
      <c r="L12" s="52"/>
    </row>
    <row r="13" spans="2:12" x14ac:dyDescent="0.2">
      <c r="B13" s="70" t="str">
        <f>'Exh. No. AEB-6 CGDCF'!A11</f>
        <v>Avista Corporation</v>
      </c>
      <c r="C13" s="70" t="str">
        <f>'Exh. No. AEB-6 CGDCF'!B11</f>
        <v>AVA</v>
      </c>
      <c r="D13" s="75">
        <f t="shared" si="3"/>
        <v>3.7090000000000005E-2</v>
      </c>
      <c r="E13" s="76">
        <v>0.9</v>
      </c>
      <c r="F13" s="30">
        <f t="shared" si="4"/>
        <v>0.12496298202564052</v>
      </c>
      <c r="G13" s="75">
        <f t="shared" si="0"/>
        <v>8.7872982025640506E-2</v>
      </c>
      <c r="H13" s="75">
        <f t="shared" si="1"/>
        <v>0.11617568382307647</v>
      </c>
      <c r="I13" s="75">
        <f t="shared" si="2"/>
        <v>0.11837250837371749</v>
      </c>
      <c r="L13" s="52"/>
    </row>
    <row r="14" spans="2:12" x14ac:dyDescent="0.2">
      <c r="B14" s="70" t="str">
        <f>'Exh. No. AEB-6 CGDCF'!A12</f>
        <v>CMS Energy Corporation</v>
      </c>
      <c r="C14" s="70" t="str">
        <f>'Exh. No. AEB-6 CGDCF'!B12</f>
        <v>CMS</v>
      </c>
      <c r="D14" s="75">
        <f t="shared" si="3"/>
        <v>3.7090000000000005E-2</v>
      </c>
      <c r="E14" s="76">
        <v>0.8</v>
      </c>
      <c r="F14" s="30">
        <f t="shared" si="4"/>
        <v>0.12496298202564052</v>
      </c>
      <c r="G14" s="75">
        <f t="shared" si="0"/>
        <v>8.7872982025640506E-2</v>
      </c>
      <c r="H14" s="75">
        <f t="shared" si="1"/>
        <v>0.10738838562051242</v>
      </c>
      <c r="I14" s="75">
        <f t="shared" si="2"/>
        <v>0.11178203472179446</v>
      </c>
      <c r="L14" s="52"/>
    </row>
    <row r="15" spans="2:12" x14ac:dyDescent="0.2">
      <c r="B15" s="70" t="str">
        <f>'Exh. No. AEB-6 CGDCF'!A13</f>
        <v>Duke Energy Corporation</v>
      </c>
      <c r="C15" s="70" t="str">
        <f>'Exh. No. AEB-6 CGDCF'!B13</f>
        <v>DUK</v>
      </c>
      <c r="D15" s="75">
        <f t="shared" si="3"/>
        <v>3.7090000000000005E-2</v>
      </c>
      <c r="E15" s="76">
        <v>0.85</v>
      </c>
      <c r="F15" s="30">
        <f t="shared" si="4"/>
        <v>0.12496298202564052</v>
      </c>
      <c r="G15" s="75">
        <f t="shared" ref="G15:G25" si="5">F15-D15</f>
        <v>8.7872982025640506E-2</v>
      </c>
      <c r="H15" s="75">
        <f t="shared" ref="H15:H25" si="6">IFERROR(G15*E15+D15, "")</f>
        <v>0.11178203472179443</v>
      </c>
      <c r="I15" s="75">
        <f t="shared" ref="I15:I25" si="7">IFERROR((0.25*G15)+(0.75*E15*G15)+D15, "")</f>
        <v>0.11507727154775596</v>
      </c>
      <c r="L15" s="52"/>
    </row>
    <row r="16" spans="2:12" x14ac:dyDescent="0.2">
      <c r="B16" s="70" t="str">
        <f>'Exh. No. AEB-6 CGDCF'!A14</f>
        <v>Entergy Corporation</v>
      </c>
      <c r="C16" s="70" t="str">
        <f>'Exh. No. AEB-6 CGDCF'!B14</f>
        <v>ETR</v>
      </c>
      <c r="D16" s="75">
        <f t="shared" si="3"/>
        <v>3.7090000000000005E-2</v>
      </c>
      <c r="E16" s="76">
        <v>0.95</v>
      </c>
      <c r="F16" s="30">
        <f t="shared" si="4"/>
        <v>0.12496298202564052</v>
      </c>
      <c r="G16" s="75">
        <f t="shared" si="5"/>
        <v>8.7872982025640506E-2</v>
      </c>
      <c r="H16" s="75">
        <f t="shared" si="6"/>
        <v>0.12056933292435848</v>
      </c>
      <c r="I16" s="75">
        <f t="shared" si="7"/>
        <v>0.12166774519967899</v>
      </c>
      <c r="L16" s="52"/>
    </row>
    <row r="17" spans="2:12" x14ac:dyDescent="0.2">
      <c r="B17" s="70" t="str">
        <f>'Exh. No. AEB-6 CGDCF'!A15</f>
        <v>Evergy, Inc.</v>
      </c>
      <c r="C17" s="70" t="str">
        <f>'Exh. No. AEB-6 CGDCF'!B15</f>
        <v>EVRG</v>
      </c>
      <c r="D17" s="75">
        <f t="shared" si="3"/>
        <v>3.7090000000000005E-2</v>
      </c>
      <c r="E17" s="76">
        <v>0.9</v>
      </c>
      <c r="F17" s="30">
        <f t="shared" si="4"/>
        <v>0.12496298202564052</v>
      </c>
      <c r="G17" s="75">
        <f t="shared" si="5"/>
        <v>8.7872982025640506E-2</v>
      </c>
      <c r="H17" s="75">
        <f t="shared" si="6"/>
        <v>0.11617568382307647</v>
      </c>
      <c r="I17" s="75">
        <f t="shared" si="7"/>
        <v>0.11837250837371749</v>
      </c>
      <c r="L17" s="52"/>
    </row>
    <row r="18" spans="2:12" x14ac:dyDescent="0.2">
      <c r="B18" s="70" t="str">
        <f>'Exh. No. AEB-6 CGDCF'!A16</f>
        <v>IDACORP, Inc.</v>
      </c>
      <c r="C18" s="70" t="str">
        <f>'Exh. No. AEB-6 CGDCF'!B16</f>
        <v>IDA</v>
      </c>
      <c r="D18" s="75">
        <f t="shared" si="3"/>
        <v>3.7090000000000005E-2</v>
      </c>
      <c r="E18" s="76">
        <v>0.8</v>
      </c>
      <c r="F18" s="30">
        <f t="shared" si="4"/>
        <v>0.12496298202564052</v>
      </c>
      <c r="G18" s="75">
        <f t="shared" si="5"/>
        <v>8.7872982025640506E-2</v>
      </c>
      <c r="H18" s="75">
        <f t="shared" si="6"/>
        <v>0.10738838562051242</v>
      </c>
      <c r="I18" s="75">
        <f t="shared" si="7"/>
        <v>0.11178203472179446</v>
      </c>
      <c r="L18" s="52"/>
    </row>
    <row r="19" spans="2:12" x14ac:dyDescent="0.2">
      <c r="B19" s="70" t="str">
        <f>'Exh. No. AEB-6 CGDCF'!A17</f>
        <v>NextEra Energy, Inc.</v>
      </c>
      <c r="C19" s="70" t="str">
        <f>'Exh. No. AEB-6 CGDCF'!B17</f>
        <v>NEE</v>
      </c>
      <c r="D19" s="75">
        <f t="shared" si="3"/>
        <v>3.7090000000000005E-2</v>
      </c>
      <c r="E19" s="76">
        <v>0.9</v>
      </c>
      <c r="F19" s="30">
        <f t="shared" si="4"/>
        <v>0.12496298202564052</v>
      </c>
      <c r="G19" s="75">
        <f t="shared" si="5"/>
        <v>8.7872982025640506E-2</v>
      </c>
      <c r="H19" s="75">
        <f t="shared" si="6"/>
        <v>0.11617568382307647</v>
      </c>
      <c r="I19" s="75">
        <f t="shared" si="7"/>
        <v>0.11837250837371749</v>
      </c>
      <c r="L19" s="52"/>
    </row>
    <row r="20" spans="2:12" x14ac:dyDescent="0.2">
      <c r="B20" s="70" t="str">
        <f>'Exh. No. AEB-6 CGDCF'!A18</f>
        <v>NorthWestern Corporation</v>
      </c>
      <c r="C20" s="70" t="str">
        <f>'Exh. No. AEB-6 CGDCF'!B18</f>
        <v>NWE</v>
      </c>
      <c r="D20" s="75">
        <f t="shared" si="3"/>
        <v>3.7090000000000005E-2</v>
      </c>
      <c r="E20" s="76">
        <v>0.9</v>
      </c>
      <c r="F20" s="30">
        <f t="shared" si="4"/>
        <v>0.12496298202564052</v>
      </c>
      <c r="G20" s="75">
        <f t="shared" si="5"/>
        <v>8.7872982025640506E-2</v>
      </c>
      <c r="H20" s="75">
        <f t="shared" si="6"/>
        <v>0.11617568382307647</v>
      </c>
      <c r="I20" s="75">
        <f t="shared" si="7"/>
        <v>0.11837250837371749</v>
      </c>
      <c r="L20" s="52"/>
    </row>
    <row r="21" spans="2:12" x14ac:dyDescent="0.2">
      <c r="B21" s="70" t="str">
        <f>'Exh. No. AEB-6 CGDCF'!A19</f>
        <v>OGE Energy Corporation</v>
      </c>
      <c r="C21" s="70" t="str">
        <f>'Exh. No. AEB-6 CGDCF'!B19</f>
        <v>OGE</v>
      </c>
      <c r="D21" s="75">
        <f t="shared" si="3"/>
        <v>3.7090000000000005E-2</v>
      </c>
      <c r="E21" s="76">
        <v>1</v>
      </c>
      <c r="F21" s="30">
        <f t="shared" si="4"/>
        <v>0.12496298202564052</v>
      </c>
      <c r="G21" s="75">
        <f t="shared" si="5"/>
        <v>8.7872982025640506E-2</v>
      </c>
      <c r="H21" s="75">
        <f t="shared" si="6"/>
        <v>0.12496298202564052</v>
      </c>
      <c r="I21" s="75">
        <f t="shared" si="7"/>
        <v>0.12496298202564052</v>
      </c>
      <c r="L21" s="52"/>
    </row>
    <row r="22" spans="2:12" x14ac:dyDescent="0.2">
      <c r="B22" s="70" t="str">
        <f>'Exh. No. AEB-6 CGDCF'!A20</f>
        <v>Otter Tail Corporation</v>
      </c>
      <c r="C22" s="70" t="str">
        <f>'Exh. No. AEB-6 CGDCF'!B20</f>
        <v>OTTR</v>
      </c>
      <c r="D22" s="75">
        <f t="shared" si="3"/>
        <v>3.7090000000000005E-2</v>
      </c>
      <c r="E22" s="76">
        <v>0.85</v>
      </c>
      <c r="F22" s="30">
        <f t="shared" si="4"/>
        <v>0.12496298202564052</v>
      </c>
      <c r="G22" s="75">
        <f t="shared" si="5"/>
        <v>8.7872982025640506E-2</v>
      </c>
      <c r="H22" s="75">
        <f t="shared" si="6"/>
        <v>0.11178203472179443</v>
      </c>
      <c r="I22" s="75">
        <f t="shared" si="7"/>
        <v>0.11507727154775596</v>
      </c>
      <c r="L22" s="52"/>
    </row>
    <row r="23" spans="2:12" x14ac:dyDescent="0.2">
      <c r="B23" s="70" t="str">
        <f>'Exh. No. AEB-6 CGDCF'!A21</f>
        <v>Portland General Electric Company</v>
      </c>
      <c r="C23" s="70" t="str">
        <f>'Exh. No. AEB-6 CGDCF'!B21</f>
        <v>POR</v>
      </c>
      <c r="D23" s="75">
        <f t="shared" si="3"/>
        <v>3.7090000000000005E-2</v>
      </c>
      <c r="E23" s="76">
        <v>0.85</v>
      </c>
      <c r="F23" s="30">
        <f t="shared" si="4"/>
        <v>0.12496298202564052</v>
      </c>
      <c r="G23" s="75">
        <f t="shared" si="5"/>
        <v>8.7872982025640506E-2</v>
      </c>
      <c r="H23" s="75">
        <f t="shared" si="6"/>
        <v>0.11178203472179443</v>
      </c>
      <c r="I23" s="75">
        <f t="shared" si="7"/>
        <v>0.11507727154775596</v>
      </c>
      <c r="L23" s="52"/>
    </row>
    <row r="24" spans="2:12" x14ac:dyDescent="0.2">
      <c r="B24" s="70" t="str">
        <f>'Exh. No. AEB-6 CGDCF'!A22</f>
        <v>Southern Company</v>
      </c>
      <c r="C24" s="70" t="str">
        <f>'Exh. No. AEB-6 CGDCF'!B22</f>
        <v>SO</v>
      </c>
      <c r="D24" s="75">
        <f t="shared" si="3"/>
        <v>3.7090000000000005E-2</v>
      </c>
      <c r="E24" s="76">
        <v>0.95</v>
      </c>
      <c r="F24" s="30">
        <f t="shared" si="4"/>
        <v>0.12496298202564052</v>
      </c>
      <c r="G24" s="75">
        <f t="shared" si="5"/>
        <v>8.7872982025640506E-2</v>
      </c>
      <c r="H24" s="75">
        <f t="shared" si="6"/>
        <v>0.12056933292435848</v>
      </c>
      <c r="I24" s="75">
        <f t="shared" si="7"/>
        <v>0.12166774519967899</v>
      </c>
      <c r="L24" s="52"/>
    </row>
    <row r="25" spans="2:12" x14ac:dyDescent="0.2">
      <c r="B25" s="70" t="str">
        <f>'Exh. No. AEB-6 CGDCF'!A23</f>
        <v>Xcel Energy Inc.</v>
      </c>
      <c r="C25" s="70" t="str">
        <f>'Exh. No. AEB-6 CGDCF'!B23</f>
        <v>XEL</v>
      </c>
      <c r="D25" s="75">
        <f t="shared" si="3"/>
        <v>3.7090000000000005E-2</v>
      </c>
      <c r="E25" s="76">
        <v>0.8</v>
      </c>
      <c r="F25" s="30">
        <f t="shared" si="4"/>
        <v>0.12496298202564052</v>
      </c>
      <c r="G25" s="75">
        <f t="shared" si="5"/>
        <v>8.7872982025640506E-2</v>
      </c>
      <c r="H25" s="75">
        <f t="shared" si="6"/>
        <v>0.10738838562051242</v>
      </c>
      <c r="I25" s="75">
        <f t="shared" si="7"/>
        <v>0.11178203472179446</v>
      </c>
      <c r="L25" s="52"/>
    </row>
    <row r="26" spans="2:12" x14ac:dyDescent="0.2">
      <c r="B26" s="78" t="s">
        <v>4</v>
      </c>
      <c r="C26" s="78"/>
      <c r="D26" s="78"/>
      <c r="E26" s="74"/>
      <c r="F26" s="78"/>
      <c r="G26" s="78"/>
      <c r="H26" s="79">
        <f>AVERAGE(H9:H25)</f>
        <v>0.1135911843517341</v>
      </c>
      <c r="I26" s="79">
        <f>AVERAGE(I9:I25)</f>
        <v>0.11643413377021071</v>
      </c>
    </row>
    <row r="27" spans="2:12" ht="13.5" thickBot="1" x14ac:dyDescent="0.25">
      <c r="B27" s="80" t="s">
        <v>13</v>
      </c>
      <c r="C27" s="80"/>
      <c r="D27" s="80"/>
      <c r="E27" s="81"/>
      <c r="F27" s="80"/>
      <c r="G27" s="80"/>
      <c r="H27" s="82">
        <f>MEDIAN(H9:H25)</f>
        <v>0.11178203472179443</v>
      </c>
      <c r="I27" s="82">
        <f>MEDIAN(I9:I25)</f>
        <v>0.11507727154775596</v>
      </c>
    </row>
    <row r="29" spans="2:12" x14ac:dyDescent="0.2">
      <c r="B29" s="83" t="s">
        <v>88</v>
      </c>
    </row>
    <row r="30" spans="2:12" x14ac:dyDescent="0.2">
      <c r="B30" s="70" t="s">
        <v>1420</v>
      </c>
    </row>
    <row r="31" spans="2:12" x14ac:dyDescent="0.2">
      <c r="B31" s="70" t="s">
        <v>128</v>
      </c>
    </row>
    <row r="32" spans="2:12" x14ac:dyDescent="0.2">
      <c r="B32" s="70" t="s">
        <v>1324</v>
      </c>
    </row>
    <row r="33" spans="2:9" x14ac:dyDescent="0.2">
      <c r="B33" s="70" t="s">
        <v>129</v>
      </c>
    </row>
    <row r="34" spans="2:9" x14ac:dyDescent="0.2">
      <c r="B34" s="70" t="s">
        <v>130</v>
      </c>
    </row>
    <row r="35" spans="2:9" x14ac:dyDescent="0.2">
      <c r="B35" s="70" t="s">
        <v>131</v>
      </c>
    </row>
    <row r="38" spans="2:9" ht="13.15" customHeight="1" x14ac:dyDescent="0.2">
      <c r="B38" s="354" t="s">
        <v>132</v>
      </c>
      <c r="C38" s="354"/>
      <c r="D38" s="354"/>
      <c r="E38" s="354"/>
      <c r="F38" s="354"/>
      <c r="G38" s="354"/>
      <c r="H38" s="354"/>
      <c r="I38" s="354"/>
    </row>
    <row r="40" spans="2:9" x14ac:dyDescent="0.2">
      <c r="B40" s="354" t="s">
        <v>120</v>
      </c>
      <c r="C40" s="354"/>
      <c r="D40" s="354"/>
      <c r="E40" s="354"/>
      <c r="F40" s="354"/>
      <c r="G40" s="354"/>
      <c r="H40" s="354"/>
      <c r="I40" s="354"/>
    </row>
    <row r="41" spans="2:9" x14ac:dyDescent="0.2">
      <c r="B41" s="354" t="s">
        <v>121</v>
      </c>
      <c r="C41" s="354"/>
      <c r="D41" s="354"/>
      <c r="E41" s="354"/>
      <c r="F41" s="354"/>
      <c r="G41" s="354"/>
      <c r="H41" s="354"/>
      <c r="I41" s="354"/>
    </row>
    <row r="43" spans="2:9" ht="13.5" thickBot="1" x14ac:dyDescent="0.25">
      <c r="D43" s="71" t="s">
        <v>28</v>
      </c>
      <c r="E43" s="71" t="s">
        <v>29</v>
      </c>
      <c r="F43" s="71" t="s">
        <v>30</v>
      </c>
      <c r="G43" s="71" t="s">
        <v>31</v>
      </c>
      <c r="H43" s="71" t="s">
        <v>32</v>
      </c>
      <c r="I43" s="71" t="s">
        <v>33</v>
      </c>
    </row>
    <row r="44" spans="2:9" ht="51" x14ac:dyDescent="0.2">
      <c r="B44" s="23" t="s">
        <v>34</v>
      </c>
      <c r="C44" s="23" t="s">
        <v>35</v>
      </c>
      <c r="D44" s="24" t="s">
        <v>1325</v>
      </c>
      <c r="E44" s="24" t="s">
        <v>123</v>
      </c>
      <c r="F44" s="24" t="s">
        <v>124</v>
      </c>
      <c r="G44" s="24" t="s">
        <v>125</v>
      </c>
      <c r="H44" s="72" t="s">
        <v>126</v>
      </c>
      <c r="I44" s="72" t="s">
        <v>127</v>
      </c>
    </row>
    <row r="45" spans="2:9" x14ac:dyDescent="0.2">
      <c r="B45" s="70" t="str">
        <f t="shared" ref="B45:C61" si="8">B9</f>
        <v>ALLETE, Inc.</v>
      </c>
      <c r="C45" s="70" t="str">
        <f t="shared" si="8"/>
        <v>ALE</v>
      </c>
      <c r="D45" s="75">
        <v>3.8199999999999998E-2</v>
      </c>
      <c r="E45" s="74">
        <f t="shared" ref="E45:F61" si="9">E9</f>
        <v>0.9</v>
      </c>
      <c r="F45" s="75">
        <f t="shared" si="9"/>
        <v>0.12496298202564052</v>
      </c>
      <c r="G45" s="75">
        <f>F45-D45</f>
        <v>8.676298202564052E-2</v>
      </c>
      <c r="H45" s="79">
        <f>IFERROR(G45*E45+D45,"")</f>
        <v>0.11628668382307647</v>
      </c>
      <c r="I45" s="79">
        <f>IFERROR((0.25*G45)+(0.75*E45*G45)+D45,"")</f>
        <v>0.11845575837371748</v>
      </c>
    </row>
    <row r="46" spans="2:9" x14ac:dyDescent="0.2">
      <c r="B46" s="70" t="str">
        <f t="shared" si="8"/>
        <v>Alliant Energy Corporation</v>
      </c>
      <c r="C46" s="70" t="str">
        <f t="shared" si="8"/>
        <v>LNT</v>
      </c>
      <c r="D46" s="75">
        <v>3.8199999999999998E-2</v>
      </c>
      <c r="E46" s="76">
        <f t="shared" si="9"/>
        <v>0.85</v>
      </c>
      <c r="F46" s="75">
        <f t="shared" si="9"/>
        <v>0.12496298202564052</v>
      </c>
      <c r="G46" s="75">
        <f t="shared" ref="G46:G61" si="10">F46-D46</f>
        <v>8.676298202564052E-2</v>
      </c>
      <c r="H46" s="75">
        <f t="shared" ref="H46:H61" si="11">IFERROR(G46*E46+D46,"")</f>
        <v>0.11194853472179443</v>
      </c>
      <c r="I46" s="75">
        <f t="shared" ref="I46:I61" si="12">IFERROR((0.25*G46)+(0.75*E46*G46)+D46,"")</f>
        <v>0.11520214654775596</v>
      </c>
    </row>
    <row r="47" spans="2:9" x14ac:dyDescent="0.2">
      <c r="B47" s="70" t="str">
        <f t="shared" si="8"/>
        <v>Ameren Corporation</v>
      </c>
      <c r="C47" s="70" t="str">
        <f t="shared" si="8"/>
        <v>AEE</v>
      </c>
      <c r="D47" s="75">
        <v>3.8199999999999998E-2</v>
      </c>
      <c r="E47" s="76">
        <f t="shared" si="9"/>
        <v>0.85</v>
      </c>
      <c r="F47" s="75">
        <f t="shared" si="9"/>
        <v>0.12496298202564052</v>
      </c>
      <c r="G47" s="75">
        <f t="shared" si="10"/>
        <v>8.676298202564052E-2</v>
      </c>
      <c r="H47" s="75">
        <f t="shared" si="11"/>
        <v>0.11194853472179443</v>
      </c>
      <c r="I47" s="75">
        <f t="shared" si="12"/>
        <v>0.11520214654775596</v>
      </c>
    </row>
    <row r="48" spans="2:9" x14ac:dyDescent="0.2">
      <c r="B48" s="70" t="str">
        <f t="shared" si="8"/>
        <v>American Electric Power Company, Inc.</v>
      </c>
      <c r="C48" s="70" t="str">
        <f t="shared" si="8"/>
        <v>AEP</v>
      </c>
      <c r="D48" s="75">
        <v>3.8199999999999998E-2</v>
      </c>
      <c r="E48" s="76">
        <f t="shared" si="9"/>
        <v>0.75</v>
      </c>
      <c r="F48" s="75">
        <f t="shared" si="9"/>
        <v>0.12496298202564052</v>
      </c>
      <c r="G48" s="75">
        <f t="shared" si="10"/>
        <v>8.676298202564052E-2</v>
      </c>
      <c r="H48" s="75">
        <f t="shared" si="11"/>
        <v>0.10327223651923038</v>
      </c>
      <c r="I48" s="75">
        <f t="shared" si="12"/>
        <v>0.10869492289583292</v>
      </c>
    </row>
    <row r="49" spans="2:9" x14ac:dyDescent="0.2">
      <c r="B49" s="70" t="str">
        <f t="shared" si="8"/>
        <v>Avista Corporation</v>
      </c>
      <c r="C49" s="70" t="str">
        <f t="shared" si="8"/>
        <v>AVA</v>
      </c>
      <c r="D49" s="75">
        <v>3.8199999999999998E-2</v>
      </c>
      <c r="E49" s="76">
        <f t="shared" si="9"/>
        <v>0.9</v>
      </c>
      <c r="F49" s="75">
        <f t="shared" si="9"/>
        <v>0.12496298202564052</v>
      </c>
      <c r="G49" s="75">
        <f t="shared" si="10"/>
        <v>8.676298202564052E-2</v>
      </c>
      <c r="H49" s="75">
        <f t="shared" si="11"/>
        <v>0.11628668382307647</v>
      </c>
      <c r="I49" s="75">
        <f t="shared" si="12"/>
        <v>0.11845575837371748</v>
      </c>
    </row>
    <row r="50" spans="2:9" x14ac:dyDescent="0.2">
      <c r="B50" s="70" t="str">
        <f t="shared" si="8"/>
        <v>CMS Energy Corporation</v>
      </c>
      <c r="C50" s="70" t="str">
        <f t="shared" si="8"/>
        <v>CMS</v>
      </c>
      <c r="D50" s="75">
        <v>3.8199999999999998E-2</v>
      </c>
      <c r="E50" s="76">
        <f t="shared" si="9"/>
        <v>0.8</v>
      </c>
      <c r="F50" s="75">
        <f t="shared" si="9"/>
        <v>0.12496298202564052</v>
      </c>
      <c r="G50" s="75">
        <f t="shared" si="10"/>
        <v>8.676298202564052E-2</v>
      </c>
      <c r="H50" s="75">
        <f t="shared" si="11"/>
        <v>0.10761038562051242</v>
      </c>
      <c r="I50" s="75">
        <f t="shared" si="12"/>
        <v>0.11194853472179445</v>
      </c>
    </row>
    <row r="51" spans="2:9" x14ac:dyDescent="0.2">
      <c r="B51" s="70" t="str">
        <f t="shared" si="8"/>
        <v>Duke Energy Corporation</v>
      </c>
      <c r="C51" s="70" t="str">
        <f t="shared" si="8"/>
        <v>DUK</v>
      </c>
      <c r="D51" s="75">
        <v>3.8199999999999998E-2</v>
      </c>
      <c r="E51" s="76">
        <f t="shared" si="9"/>
        <v>0.85</v>
      </c>
      <c r="F51" s="75">
        <f t="shared" si="9"/>
        <v>0.12496298202564052</v>
      </c>
      <c r="G51" s="75">
        <f t="shared" si="10"/>
        <v>8.676298202564052E-2</v>
      </c>
      <c r="H51" s="75">
        <f t="shared" si="11"/>
        <v>0.11194853472179443</v>
      </c>
      <c r="I51" s="75">
        <f t="shared" si="12"/>
        <v>0.11520214654775596</v>
      </c>
    </row>
    <row r="52" spans="2:9" x14ac:dyDescent="0.2">
      <c r="B52" s="70" t="str">
        <f t="shared" si="8"/>
        <v>Entergy Corporation</v>
      </c>
      <c r="C52" s="70" t="str">
        <f t="shared" si="8"/>
        <v>ETR</v>
      </c>
      <c r="D52" s="75">
        <v>3.8199999999999998E-2</v>
      </c>
      <c r="E52" s="76">
        <f t="shared" si="9"/>
        <v>0.95</v>
      </c>
      <c r="F52" s="75">
        <f t="shared" si="9"/>
        <v>0.12496298202564052</v>
      </c>
      <c r="G52" s="75">
        <f t="shared" si="10"/>
        <v>8.676298202564052E-2</v>
      </c>
      <c r="H52" s="75">
        <f t="shared" si="11"/>
        <v>0.12062483292435849</v>
      </c>
      <c r="I52" s="75">
        <f t="shared" si="12"/>
        <v>0.12170937019967899</v>
      </c>
    </row>
    <row r="53" spans="2:9" x14ac:dyDescent="0.2">
      <c r="B53" s="70" t="str">
        <f t="shared" si="8"/>
        <v>Evergy, Inc.</v>
      </c>
      <c r="C53" s="70" t="str">
        <f t="shared" si="8"/>
        <v>EVRG</v>
      </c>
      <c r="D53" s="75">
        <v>3.8199999999999998E-2</v>
      </c>
      <c r="E53" s="76">
        <f t="shared" si="9"/>
        <v>0.9</v>
      </c>
      <c r="F53" s="75">
        <f t="shared" si="9"/>
        <v>0.12496298202564052</v>
      </c>
      <c r="G53" s="75">
        <f t="shared" ref="G53" si="13">F53-D53</f>
        <v>8.676298202564052E-2</v>
      </c>
      <c r="H53" s="75">
        <f t="shared" ref="H53" si="14">IFERROR(G53*E53+D53,"")</f>
        <v>0.11628668382307647</v>
      </c>
      <c r="I53" s="75">
        <f t="shared" ref="I53" si="15">IFERROR((0.25*G53)+(0.75*E53*G53)+D53,"")</f>
        <v>0.11845575837371748</v>
      </c>
    </row>
    <row r="54" spans="2:9" x14ac:dyDescent="0.2">
      <c r="B54" s="70" t="str">
        <f t="shared" si="8"/>
        <v>IDACORP, Inc.</v>
      </c>
      <c r="C54" s="70" t="str">
        <f t="shared" si="8"/>
        <v>IDA</v>
      </c>
      <c r="D54" s="75">
        <v>3.8199999999999998E-2</v>
      </c>
      <c r="E54" s="76">
        <f t="shared" si="9"/>
        <v>0.8</v>
      </c>
      <c r="F54" s="75">
        <f t="shared" si="9"/>
        <v>0.12496298202564052</v>
      </c>
      <c r="G54" s="75">
        <f t="shared" si="10"/>
        <v>8.676298202564052E-2</v>
      </c>
      <c r="H54" s="75">
        <f t="shared" si="11"/>
        <v>0.10761038562051242</v>
      </c>
      <c r="I54" s="75">
        <f t="shared" si="12"/>
        <v>0.11194853472179445</v>
      </c>
    </row>
    <row r="55" spans="2:9" x14ac:dyDescent="0.2">
      <c r="B55" s="70" t="str">
        <f t="shared" si="8"/>
        <v>NextEra Energy, Inc.</v>
      </c>
      <c r="C55" s="70" t="str">
        <f t="shared" si="8"/>
        <v>NEE</v>
      </c>
      <c r="D55" s="75">
        <v>3.8199999999999998E-2</v>
      </c>
      <c r="E55" s="76">
        <f t="shared" si="9"/>
        <v>0.9</v>
      </c>
      <c r="F55" s="75">
        <f t="shared" si="9"/>
        <v>0.12496298202564052</v>
      </c>
      <c r="G55" s="75">
        <f t="shared" si="10"/>
        <v>8.676298202564052E-2</v>
      </c>
      <c r="H55" s="75">
        <f t="shared" si="11"/>
        <v>0.11628668382307647</v>
      </c>
      <c r="I55" s="75">
        <f t="shared" si="12"/>
        <v>0.11845575837371748</v>
      </c>
    </row>
    <row r="56" spans="2:9" x14ac:dyDescent="0.2">
      <c r="B56" s="70" t="str">
        <f t="shared" si="8"/>
        <v>NorthWestern Corporation</v>
      </c>
      <c r="C56" s="70" t="str">
        <f t="shared" si="8"/>
        <v>NWE</v>
      </c>
      <c r="D56" s="75">
        <v>3.8199999999999998E-2</v>
      </c>
      <c r="E56" s="76">
        <f t="shared" si="9"/>
        <v>0.9</v>
      </c>
      <c r="F56" s="75">
        <f t="shared" si="9"/>
        <v>0.12496298202564052</v>
      </c>
      <c r="G56" s="75">
        <f t="shared" si="10"/>
        <v>8.676298202564052E-2</v>
      </c>
      <c r="H56" s="75">
        <f t="shared" si="11"/>
        <v>0.11628668382307647</v>
      </c>
      <c r="I56" s="75">
        <f t="shared" si="12"/>
        <v>0.11845575837371748</v>
      </c>
    </row>
    <row r="57" spans="2:9" x14ac:dyDescent="0.2">
      <c r="B57" s="70" t="str">
        <f t="shared" si="8"/>
        <v>OGE Energy Corporation</v>
      </c>
      <c r="C57" s="70" t="str">
        <f t="shared" si="8"/>
        <v>OGE</v>
      </c>
      <c r="D57" s="75">
        <v>3.8199999999999998E-2</v>
      </c>
      <c r="E57" s="76">
        <f t="shared" si="9"/>
        <v>1</v>
      </c>
      <c r="F57" s="75">
        <f t="shared" si="9"/>
        <v>0.12496298202564052</v>
      </c>
      <c r="G57" s="75">
        <f t="shared" si="10"/>
        <v>8.676298202564052E-2</v>
      </c>
      <c r="H57" s="75">
        <f t="shared" si="11"/>
        <v>0.12496298202564052</v>
      </c>
      <c r="I57" s="75">
        <f t="shared" si="12"/>
        <v>0.12496298202564052</v>
      </c>
    </row>
    <row r="58" spans="2:9" x14ac:dyDescent="0.2">
      <c r="B58" s="70" t="str">
        <f t="shared" si="8"/>
        <v>Otter Tail Corporation</v>
      </c>
      <c r="C58" s="70" t="str">
        <f t="shared" si="8"/>
        <v>OTTR</v>
      </c>
      <c r="D58" s="75">
        <v>3.8199999999999998E-2</v>
      </c>
      <c r="E58" s="76">
        <f t="shared" si="9"/>
        <v>0.85</v>
      </c>
      <c r="F58" s="75">
        <f t="shared" si="9"/>
        <v>0.12496298202564052</v>
      </c>
      <c r="G58" s="75">
        <f t="shared" si="10"/>
        <v>8.676298202564052E-2</v>
      </c>
      <c r="H58" s="75">
        <f t="shared" si="11"/>
        <v>0.11194853472179443</v>
      </c>
      <c r="I58" s="75">
        <f t="shared" si="12"/>
        <v>0.11520214654775596</v>
      </c>
    </row>
    <row r="59" spans="2:9" x14ac:dyDescent="0.2">
      <c r="B59" s="70" t="str">
        <f t="shared" si="8"/>
        <v>Portland General Electric Company</v>
      </c>
      <c r="C59" s="70" t="str">
        <f t="shared" si="8"/>
        <v>POR</v>
      </c>
      <c r="D59" s="75">
        <v>3.8199999999999998E-2</v>
      </c>
      <c r="E59" s="76">
        <f t="shared" si="9"/>
        <v>0.85</v>
      </c>
      <c r="F59" s="75">
        <f t="shared" si="9"/>
        <v>0.12496298202564052</v>
      </c>
      <c r="G59" s="75">
        <f t="shared" si="10"/>
        <v>8.676298202564052E-2</v>
      </c>
      <c r="H59" s="75">
        <f t="shared" si="11"/>
        <v>0.11194853472179443</v>
      </c>
      <c r="I59" s="75">
        <f t="shared" si="12"/>
        <v>0.11520214654775596</v>
      </c>
    </row>
    <row r="60" spans="2:9" x14ac:dyDescent="0.2">
      <c r="B60" s="70" t="str">
        <f t="shared" si="8"/>
        <v>Southern Company</v>
      </c>
      <c r="C60" s="70" t="str">
        <f t="shared" si="8"/>
        <v>SO</v>
      </c>
      <c r="D60" s="75">
        <v>3.8199999999999998E-2</v>
      </c>
      <c r="E60" s="76">
        <f t="shared" si="9"/>
        <v>0.95</v>
      </c>
      <c r="F60" s="75">
        <f t="shared" si="9"/>
        <v>0.12496298202564052</v>
      </c>
      <c r="G60" s="75">
        <f t="shared" si="10"/>
        <v>8.676298202564052E-2</v>
      </c>
      <c r="H60" s="75">
        <f t="shared" si="11"/>
        <v>0.12062483292435849</v>
      </c>
      <c r="I60" s="75">
        <f t="shared" si="12"/>
        <v>0.12170937019967899</v>
      </c>
    </row>
    <row r="61" spans="2:9" x14ac:dyDescent="0.2">
      <c r="B61" s="70" t="str">
        <f t="shared" si="8"/>
        <v>Xcel Energy Inc.</v>
      </c>
      <c r="C61" s="70" t="str">
        <f t="shared" si="8"/>
        <v>XEL</v>
      </c>
      <c r="D61" s="75">
        <v>3.8199999999999998E-2</v>
      </c>
      <c r="E61" s="76">
        <f t="shared" si="9"/>
        <v>0.8</v>
      </c>
      <c r="F61" s="75">
        <f t="shared" si="9"/>
        <v>0.12496298202564052</v>
      </c>
      <c r="G61" s="75">
        <f t="shared" si="10"/>
        <v>8.676298202564052E-2</v>
      </c>
      <c r="H61" s="75">
        <f t="shared" si="11"/>
        <v>0.10761038562051242</v>
      </c>
      <c r="I61" s="75">
        <f t="shared" si="12"/>
        <v>0.11194853472179445</v>
      </c>
    </row>
    <row r="62" spans="2:9" x14ac:dyDescent="0.2">
      <c r="B62" s="78" t="s">
        <v>4</v>
      </c>
      <c r="C62" s="78"/>
      <c r="D62" s="78"/>
      <c r="E62" s="74"/>
      <c r="F62" s="78"/>
      <c r="G62" s="78"/>
      <c r="H62" s="79">
        <f>AVERAGE(H45:H61)</f>
        <v>0.11373483141055762</v>
      </c>
      <c r="I62" s="79">
        <f>AVERAGE(I45:I61)</f>
        <v>0.11654186906432837</v>
      </c>
    </row>
    <row r="63" spans="2:9" ht="13.5" thickBot="1" x14ac:dyDescent="0.25">
      <c r="B63" s="80" t="s">
        <v>13</v>
      </c>
      <c r="C63" s="80"/>
      <c r="D63" s="80"/>
      <c r="E63" s="81"/>
      <c r="F63" s="80"/>
      <c r="G63" s="80"/>
      <c r="H63" s="82">
        <f>MEDIAN(H45:H61)</f>
        <v>0.11194853472179443</v>
      </c>
      <c r="I63" s="82">
        <f>MEDIAN(I45:I61)</f>
        <v>0.11520214654775596</v>
      </c>
    </row>
    <row r="65" spans="2:9" x14ac:dyDescent="0.2">
      <c r="B65" s="83" t="s">
        <v>88</v>
      </c>
    </row>
    <row r="66" spans="2:9" x14ac:dyDescent="0.2">
      <c r="B66" s="70" t="s">
        <v>1421</v>
      </c>
    </row>
    <row r="67" spans="2:9" x14ac:dyDescent="0.2">
      <c r="B67" s="70" t="s">
        <v>128</v>
      </c>
    </row>
    <row r="68" spans="2:9" x14ac:dyDescent="0.2">
      <c r="B68" s="70" t="str">
        <f>$B$32</f>
        <v>[3] Source: Market Return</v>
      </c>
    </row>
    <row r="69" spans="2:9" x14ac:dyDescent="0.2">
      <c r="B69" s="70" t="s">
        <v>129</v>
      </c>
    </row>
    <row r="70" spans="2:9" x14ac:dyDescent="0.2">
      <c r="B70" s="70" t="s">
        <v>130</v>
      </c>
    </row>
    <row r="71" spans="2:9" x14ac:dyDescent="0.2">
      <c r="B71" s="70" t="s">
        <v>131</v>
      </c>
    </row>
    <row r="74" spans="2:9" ht="13.15" customHeight="1" x14ac:dyDescent="0.2">
      <c r="B74" s="354" t="s">
        <v>133</v>
      </c>
      <c r="C74" s="354"/>
      <c r="D74" s="354"/>
      <c r="E74" s="354"/>
      <c r="F74" s="354"/>
      <c r="G74" s="354"/>
      <c r="H74" s="354"/>
      <c r="I74" s="354"/>
    </row>
    <row r="76" spans="2:9" x14ac:dyDescent="0.2">
      <c r="B76" s="354" t="s">
        <v>120</v>
      </c>
      <c r="C76" s="354"/>
      <c r="D76" s="354"/>
      <c r="E76" s="354"/>
      <c r="F76" s="354"/>
      <c r="G76" s="354"/>
      <c r="H76" s="354"/>
      <c r="I76" s="354"/>
    </row>
    <row r="77" spans="2:9" x14ac:dyDescent="0.2">
      <c r="B77" s="354" t="s">
        <v>121</v>
      </c>
      <c r="C77" s="354"/>
      <c r="D77" s="354"/>
      <c r="E77" s="354"/>
      <c r="F77" s="354"/>
      <c r="G77" s="354"/>
      <c r="H77" s="354"/>
      <c r="I77" s="354"/>
    </row>
    <row r="79" spans="2:9" ht="13.5" thickBot="1" x14ac:dyDescent="0.25">
      <c r="D79" s="71" t="s">
        <v>28</v>
      </c>
      <c r="E79" s="71" t="s">
        <v>29</v>
      </c>
      <c r="F79" s="71" t="s">
        <v>30</v>
      </c>
      <c r="G79" s="71" t="s">
        <v>31</v>
      </c>
      <c r="H79" s="71" t="s">
        <v>32</v>
      </c>
      <c r="I79" s="71" t="s">
        <v>33</v>
      </c>
    </row>
    <row r="80" spans="2:9" ht="51" x14ac:dyDescent="0.2">
      <c r="B80" s="23" t="s">
        <v>34</v>
      </c>
      <c r="C80" s="23" t="s">
        <v>35</v>
      </c>
      <c r="D80" s="24" t="s">
        <v>134</v>
      </c>
      <c r="E80" s="24" t="s">
        <v>123</v>
      </c>
      <c r="F80" s="24" t="s">
        <v>124</v>
      </c>
      <c r="G80" s="24" t="s">
        <v>125</v>
      </c>
      <c r="H80" s="72" t="s">
        <v>126</v>
      </c>
      <c r="I80" s="72" t="s">
        <v>127</v>
      </c>
    </row>
    <row r="81" spans="2:9" x14ac:dyDescent="0.2">
      <c r="B81" s="78" t="str">
        <f t="shared" ref="B81:C88" si="16">B9</f>
        <v>ALLETE, Inc.</v>
      </c>
      <c r="C81" s="78" t="str">
        <f t="shared" si="16"/>
        <v>ALE</v>
      </c>
      <c r="D81" s="75">
        <v>3.9E-2</v>
      </c>
      <c r="E81" s="74">
        <f t="shared" ref="E81:E86" si="17">E45</f>
        <v>0.9</v>
      </c>
      <c r="F81" s="75">
        <f t="shared" ref="F81:F86" si="18">F9</f>
        <v>0.12496298202564052</v>
      </c>
      <c r="G81" s="75">
        <f>F81-D81</f>
        <v>8.5962982025640511E-2</v>
      </c>
      <c r="H81" s="75">
        <f>IFERROR(G81*E81+D81,"")</f>
        <v>0.11636668382307647</v>
      </c>
      <c r="I81" s="79">
        <f>IFERROR((0.25*G81)+(0.75*E81*G81)+D81,"")</f>
        <v>0.11851575837371747</v>
      </c>
    </row>
    <row r="82" spans="2:9" x14ac:dyDescent="0.2">
      <c r="B82" s="70" t="str">
        <f t="shared" si="16"/>
        <v>Alliant Energy Corporation</v>
      </c>
      <c r="C82" s="70" t="str">
        <f t="shared" si="16"/>
        <v>LNT</v>
      </c>
      <c r="D82" s="75">
        <f>D81</f>
        <v>3.9E-2</v>
      </c>
      <c r="E82" s="76">
        <f t="shared" si="17"/>
        <v>0.85</v>
      </c>
      <c r="F82" s="75">
        <f t="shared" si="18"/>
        <v>0.12496298202564052</v>
      </c>
      <c r="G82" s="75">
        <f t="shared" ref="G82:G86" si="19">F82-D82</f>
        <v>8.5962982025640511E-2</v>
      </c>
      <c r="H82" s="75">
        <f t="shared" ref="H82:H86" si="20">IFERROR(G82*E82+D82,"")</f>
        <v>0.11206853472179443</v>
      </c>
      <c r="I82" s="75">
        <f t="shared" ref="I82:I86" si="21">IFERROR((0.25*G82)+(0.75*E82*G82)+D82,"")</f>
        <v>0.11529214654775596</v>
      </c>
    </row>
    <row r="83" spans="2:9" x14ac:dyDescent="0.2">
      <c r="B83" s="70" t="str">
        <f t="shared" si="16"/>
        <v>Ameren Corporation</v>
      </c>
      <c r="C83" s="70" t="str">
        <f t="shared" si="16"/>
        <v>AEE</v>
      </c>
      <c r="D83" s="75">
        <f t="shared" ref="D83:D97" si="22">D82</f>
        <v>3.9E-2</v>
      </c>
      <c r="E83" s="76">
        <f t="shared" si="17"/>
        <v>0.85</v>
      </c>
      <c r="F83" s="75">
        <f t="shared" si="18"/>
        <v>0.12496298202564052</v>
      </c>
      <c r="G83" s="75">
        <f t="shared" si="19"/>
        <v>8.5962982025640511E-2</v>
      </c>
      <c r="H83" s="75">
        <f t="shared" si="20"/>
        <v>0.11206853472179443</v>
      </c>
      <c r="I83" s="75">
        <f t="shared" si="21"/>
        <v>0.11529214654775596</v>
      </c>
    </row>
    <row r="84" spans="2:9" x14ac:dyDescent="0.2">
      <c r="B84" s="70" t="str">
        <f t="shared" si="16"/>
        <v>American Electric Power Company, Inc.</v>
      </c>
      <c r="C84" s="70" t="str">
        <f t="shared" si="16"/>
        <v>AEP</v>
      </c>
      <c r="D84" s="75">
        <f t="shared" si="22"/>
        <v>3.9E-2</v>
      </c>
      <c r="E84" s="76">
        <f t="shared" si="17"/>
        <v>0.75</v>
      </c>
      <c r="F84" s="75">
        <f t="shared" si="18"/>
        <v>0.12496298202564052</v>
      </c>
      <c r="G84" s="75">
        <f t="shared" si="19"/>
        <v>8.5962982025640511E-2</v>
      </c>
      <c r="H84" s="75">
        <f t="shared" si="20"/>
        <v>0.10347223651923038</v>
      </c>
      <c r="I84" s="75">
        <f t="shared" si="21"/>
        <v>0.10884492289583292</v>
      </c>
    </row>
    <row r="85" spans="2:9" x14ac:dyDescent="0.2">
      <c r="B85" s="70" t="str">
        <f t="shared" si="16"/>
        <v>Avista Corporation</v>
      </c>
      <c r="C85" s="70" t="str">
        <f t="shared" si="16"/>
        <v>AVA</v>
      </c>
      <c r="D85" s="75">
        <f t="shared" si="22"/>
        <v>3.9E-2</v>
      </c>
      <c r="E85" s="76">
        <f t="shared" si="17"/>
        <v>0.9</v>
      </c>
      <c r="F85" s="75">
        <f t="shared" si="18"/>
        <v>0.12496298202564052</v>
      </c>
      <c r="G85" s="75">
        <f t="shared" si="19"/>
        <v>8.5962982025640511E-2</v>
      </c>
      <c r="H85" s="75">
        <f t="shared" si="20"/>
        <v>0.11636668382307647</v>
      </c>
      <c r="I85" s="75">
        <f t="shared" si="21"/>
        <v>0.11851575837371747</v>
      </c>
    </row>
    <row r="86" spans="2:9" x14ac:dyDescent="0.2">
      <c r="B86" s="70" t="str">
        <f t="shared" si="16"/>
        <v>CMS Energy Corporation</v>
      </c>
      <c r="C86" s="70" t="str">
        <f t="shared" si="16"/>
        <v>CMS</v>
      </c>
      <c r="D86" s="75">
        <f t="shared" si="22"/>
        <v>3.9E-2</v>
      </c>
      <c r="E86" s="76">
        <f t="shared" si="17"/>
        <v>0.8</v>
      </c>
      <c r="F86" s="75">
        <f t="shared" si="18"/>
        <v>0.12496298202564052</v>
      </c>
      <c r="G86" s="75">
        <f t="shared" si="19"/>
        <v>8.5962982025640511E-2</v>
      </c>
      <c r="H86" s="75">
        <f t="shared" si="20"/>
        <v>0.10777038562051242</v>
      </c>
      <c r="I86" s="75">
        <f t="shared" si="21"/>
        <v>0.11206853472179445</v>
      </c>
    </row>
    <row r="87" spans="2:9" x14ac:dyDescent="0.2">
      <c r="B87" s="70" t="str">
        <f t="shared" si="16"/>
        <v>Duke Energy Corporation</v>
      </c>
      <c r="C87" s="70" t="str">
        <f t="shared" si="16"/>
        <v>DUK</v>
      </c>
      <c r="D87" s="75">
        <f t="shared" si="22"/>
        <v>3.9E-2</v>
      </c>
      <c r="E87" s="76">
        <f t="shared" ref="E87:E97" si="23">E51</f>
        <v>0.85</v>
      </c>
      <c r="F87" s="75">
        <f t="shared" ref="F87:F97" si="24">F15</f>
        <v>0.12496298202564052</v>
      </c>
      <c r="G87" s="75">
        <f t="shared" ref="G87:G97" si="25">F87-D87</f>
        <v>8.5962982025640511E-2</v>
      </c>
      <c r="H87" s="75">
        <f t="shared" ref="H87:H97" si="26">IFERROR(G87*E87+D87,"")</f>
        <v>0.11206853472179443</v>
      </c>
      <c r="I87" s="75">
        <f t="shared" ref="I87:I97" si="27">IFERROR((0.25*G87)+(0.75*E87*G87)+D87,"")</f>
        <v>0.11529214654775596</v>
      </c>
    </row>
    <row r="88" spans="2:9" x14ac:dyDescent="0.2">
      <c r="B88" s="70" t="str">
        <f t="shared" si="16"/>
        <v>Entergy Corporation</v>
      </c>
      <c r="C88" s="70" t="str">
        <f t="shared" si="16"/>
        <v>ETR</v>
      </c>
      <c r="D88" s="75">
        <f t="shared" si="22"/>
        <v>3.9E-2</v>
      </c>
      <c r="E88" s="76">
        <f t="shared" si="23"/>
        <v>0.95</v>
      </c>
      <c r="F88" s="75">
        <f t="shared" si="24"/>
        <v>0.12496298202564052</v>
      </c>
      <c r="G88" s="75">
        <f t="shared" si="25"/>
        <v>8.5962982025640511E-2</v>
      </c>
      <c r="H88" s="75">
        <f t="shared" si="26"/>
        <v>0.12066483292435848</v>
      </c>
      <c r="I88" s="75">
        <f t="shared" si="27"/>
        <v>0.12173937019967898</v>
      </c>
    </row>
    <row r="89" spans="2:9" x14ac:dyDescent="0.2">
      <c r="B89" s="70" t="str">
        <f t="shared" ref="B89:C89" si="28">B17</f>
        <v>Evergy, Inc.</v>
      </c>
      <c r="C89" s="70" t="str">
        <f t="shared" si="28"/>
        <v>EVRG</v>
      </c>
      <c r="D89" s="75">
        <f t="shared" si="22"/>
        <v>3.9E-2</v>
      </c>
      <c r="E89" s="76">
        <f t="shared" si="23"/>
        <v>0.9</v>
      </c>
      <c r="F89" s="75">
        <f t="shared" si="24"/>
        <v>0.12496298202564052</v>
      </c>
      <c r="G89" s="75">
        <f t="shared" si="25"/>
        <v>8.5962982025640511E-2</v>
      </c>
      <c r="H89" s="75">
        <f t="shared" si="26"/>
        <v>0.11636668382307647</v>
      </c>
      <c r="I89" s="75">
        <f t="shared" si="27"/>
        <v>0.11851575837371747</v>
      </c>
    </row>
    <row r="90" spans="2:9" x14ac:dyDescent="0.2">
      <c r="B90" s="70" t="str">
        <f t="shared" ref="B90:C90" si="29">B18</f>
        <v>IDACORP, Inc.</v>
      </c>
      <c r="C90" s="70" t="str">
        <f t="shared" si="29"/>
        <v>IDA</v>
      </c>
      <c r="D90" s="75">
        <f t="shared" si="22"/>
        <v>3.9E-2</v>
      </c>
      <c r="E90" s="76">
        <f t="shared" si="23"/>
        <v>0.8</v>
      </c>
      <c r="F90" s="75">
        <f t="shared" si="24"/>
        <v>0.12496298202564052</v>
      </c>
      <c r="G90" s="75">
        <f t="shared" si="25"/>
        <v>8.5962982025640511E-2</v>
      </c>
      <c r="H90" s="75">
        <f t="shared" si="26"/>
        <v>0.10777038562051242</v>
      </c>
      <c r="I90" s="75">
        <f t="shared" si="27"/>
        <v>0.11206853472179445</v>
      </c>
    </row>
    <row r="91" spans="2:9" x14ac:dyDescent="0.2">
      <c r="B91" s="70" t="str">
        <f t="shared" ref="B91:C91" si="30">B19</f>
        <v>NextEra Energy, Inc.</v>
      </c>
      <c r="C91" s="70" t="str">
        <f t="shared" si="30"/>
        <v>NEE</v>
      </c>
      <c r="D91" s="75">
        <f t="shared" si="22"/>
        <v>3.9E-2</v>
      </c>
      <c r="E91" s="76">
        <f t="shared" si="23"/>
        <v>0.9</v>
      </c>
      <c r="F91" s="75">
        <f t="shared" si="24"/>
        <v>0.12496298202564052</v>
      </c>
      <c r="G91" s="75">
        <f t="shared" si="25"/>
        <v>8.5962982025640511E-2</v>
      </c>
      <c r="H91" s="75">
        <f t="shared" si="26"/>
        <v>0.11636668382307647</v>
      </c>
      <c r="I91" s="75">
        <f t="shared" si="27"/>
        <v>0.11851575837371747</v>
      </c>
    </row>
    <row r="92" spans="2:9" x14ac:dyDescent="0.2">
      <c r="B92" s="70" t="str">
        <f t="shared" ref="B92:C92" si="31">B20</f>
        <v>NorthWestern Corporation</v>
      </c>
      <c r="C92" s="70" t="str">
        <f t="shared" si="31"/>
        <v>NWE</v>
      </c>
      <c r="D92" s="75">
        <f t="shared" si="22"/>
        <v>3.9E-2</v>
      </c>
      <c r="E92" s="76">
        <f t="shared" si="23"/>
        <v>0.9</v>
      </c>
      <c r="F92" s="75">
        <f t="shared" si="24"/>
        <v>0.12496298202564052</v>
      </c>
      <c r="G92" s="75">
        <f t="shared" si="25"/>
        <v>8.5962982025640511E-2</v>
      </c>
      <c r="H92" s="75">
        <f t="shared" si="26"/>
        <v>0.11636668382307647</v>
      </c>
      <c r="I92" s="75">
        <f t="shared" si="27"/>
        <v>0.11851575837371747</v>
      </c>
    </row>
    <row r="93" spans="2:9" x14ac:dyDescent="0.2">
      <c r="B93" s="70" t="str">
        <f t="shared" ref="B93:C93" si="32">B21</f>
        <v>OGE Energy Corporation</v>
      </c>
      <c r="C93" s="70" t="str">
        <f t="shared" si="32"/>
        <v>OGE</v>
      </c>
      <c r="D93" s="75">
        <f t="shared" si="22"/>
        <v>3.9E-2</v>
      </c>
      <c r="E93" s="76">
        <f t="shared" si="23"/>
        <v>1</v>
      </c>
      <c r="F93" s="75">
        <f t="shared" si="24"/>
        <v>0.12496298202564052</v>
      </c>
      <c r="G93" s="75">
        <f t="shared" si="25"/>
        <v>8.5962982025640511E-2</v>
      </c>
      <c r="H93" s="75">
        <f t="shared" si="26"/>
        <v>0.12496298202564052</v>
      </c>
      <c r="I93" s="75">
        <f t="shared" si="27"/>
        <v>0.12496298202564052</v>
      </c>
    </row>
    <row r="94" spans="2:9" x14ac:dyDescent="0.2">
      <c r="B94" s="70" t="str">
        <f t="shared" ref="B94:C94" si="33">B22</f>
        <v>Otter Tail Corporation</v>
      </c>
      <c r="C94" s="70" t="str">
        <f t="shared" si="33"/>
        <v>OTTR</v>
      </c>
      <c r="D94" s="75">
        <f t="shared" si="22"/>
        <v>3.9E-2</v>
      </c>
      <c r="E94" s="76">
        <f t="shared" si="23"/>
        <v>0.85</v>
      </c>
      <c r="F94" s="75">
        <f t="shared" si="24"/>
        <v>0.12496298202564052</v>
      </c>
      <c r="G94" s="75">
        <f t="shared" si="25"/>
        <v>8.5962982025640511E-2</v>
      </c>
      <c r="H94" s="75">
        <f t="shared" si="26"/>
        <v>0.11206853472179443</v>
      </c>
      <c r="I94" s="75">
        <f t="shared" si="27"/>
        <v>0.11529214654775596</v>
      </c>
    </row>
    <row r="95" spans="2:9" x14ac:dyDescent="0.2">
      <c r="B95" s="70" t="str">
        <f t="shared" ref="B95:C95" si="34">B23</f>
        <v>Portland General Electric Company</v>
      </c>
      <c r="C95" s="70" t="str">
        <f t="shared" si="34"/>
        <v>POR</v>
      </c>
      <c r="D95" s="75">
        <f t="shared" si="22"/>
        <v>3.9E-2</v>
      </c>
      <c r="E95" s="76">
        <f t="shared" si="23"/>
        <v>0.85</v>
      </c>
      <c r="F95" s="75">
        <f t="shared" si="24"/>
        <v>0.12496298202564052</v>
      </c>
      <c r="G95" s="75">
        <f t="shared" si="25"/>
        <v>8.5962982025640511E-2</v>
      </c>
      <c r="H95" s="75">
        <f t="shared" si="26"/>
        <v>0.11206853472179443</v>
      </c>
      <c r="I95" s="75">
        <f t="shared" si="27"/>
        <v>0.11529214654775596</v>
      </c>
    </row>
    <row r="96" spans="2:9" x14ac:dyDescent="0.2">
      <c r="B96" s="70" t="str">
        <f t="shared" ref="B96:C96" si="35">B24</f>
        <v>Southern Company</v>
      </c>
      <c r="C96" s="70" t="str">
        <f t="shared" si="35"/>
        <v>SO</v>
      </c>
      <c r="D96" s="75">
        <f t="shared" si="22"/>
        <v>3.9E-2</v>
      </c>
      <c r="E96" s="76">
        <f t="shared" si="23"/>
        <v>0.95</v>
      </c>
      <c r="F96" s="75">
        <f t="shared" si="24"/>
        <v>0.12496298202564052</v>
      </c>
      <c r="G96" s="75">
        <f t="shared" si="25"/>
        <v>8.5962982025640511E-2</v>
      </c>
      <c r="H96" s="75">
        <f t="shared" si="26"/>
        <v>0.12066483292435848</v>
      </c>
      <c r="I96" s="75">
        <f t="shared" si="27"/>
        <v>0.12173937019967898</v>
      </c>
    </row>
    <row r="97" spans="2:9" x14ac:dyDescent="0.2">
      <c r="B97" s="70" t="str">
        <f t="shared" ref="B97:C97" si="36">B25</f>
        <v>Xcel Energy Inc.</v>
      </c>
      <c r="C97" s="70" t="str">
        <f t="shared" si="36"/>
        <v>XEL</v>
      </c>
      <c r="D97" s="75">
        <f t="shared" si="22"/>
        <v>3.9E-2</v>
      </c>
      <c r="E97" s="76">
        <f t="shared" si="23"/>
        <v>0.8</v>
      </c>
      <c r="F97" s="75">
        <f t="shared" si="24"/>
        <v>0.12496298202564052</v>
      </c>
      <c r="G97" s="75">
        <f t="shared" si="25"/>
        <v>8.5962982025640511E-2</v>
      </c>
      <c r="H97" s="75">
        <f t="shared" si="26"/>
        <v>0.10777038562051242</v>
      </c>
      <c r="I97" s="75">
        <f t="shared" si="27"/>
        <v>0.11206853472179445</v>
      </c>
    </row>
    <row r="98" spans="2:9" x14ac:dyDescent="0.2">
      <c r="B98" s="78" t="s">
        <v>4</v>
      </c>
      <c r="C98" s="78"/>
      <c r="D98" s="78"/>
      <c r="E98" s="74"/>
      <c r="F98" s="78"/>
      <c r="G98" s="78"/>
      <c r="H98" s="79">
        <f>AVERAGE(H81:H97)</f>
        <v>0.11383836082232235</v>
      </c>
      <c r="I98" s="79">
        <f>AVERAGE(I81:I97)</f>
        <v>0.11661951612315188</v>
      </c>
    </row>
    <row r="99" spans="2:9" ht="13.5" thickBot="1" x14ac:dyDescent="0.25">
      <c r="B99" s="80" t="s">
        <v>13</v>
      </c>
      <c r="C99" s="80"/>
      <c r="D99" s="80"/>
      <c r="E99" s="81"/>
      <c r="F99" s="80"/>
      <c r="G99" s="80"/>
      <c r="H99" s="82">
        <f>MEDIAN(H81:H97)</f>
        <v>0.11206853472179443</v>
      </c>
      <c r="I99" s="82">
        <f>MEDIAN(I81:I97)</f>
        <v>0.11529214654775596</v>
      </c>
    </row>
    <row r="101" spans="2:9" x14ac:dyDescent="0.2">
      <c r="B101" s="83" t="s">
        <v>88</v>
      </c>
    </row>
    <row r="102" spans="2:9" x14ac:dyDescent="0.2">
      <c r="B102" s="70" t="s">
        <v>1326</v>
      </c>
    </row>
    <row r="103" spans="2:9" x14ac:dyDescent="0.2">
      <c r="B103" s="70" t="s">
        <v>128</v>
      </c>
    </row>
    <row r="104" spans="2:9" x14ac:dyDescent="0.2">
      <c r="B104" s="70" t="str">
        <f>$B$32</f>
        <v>[3] Source: Market Return</v>
      </c>
    </row>
    <row r="105" spans="2:9" x14ac:dyDescent="0.2">
      <c r="B105" s="70" t="s">
        <v>129</v>
      </c>
    </row>
    <row r="106" spans="2:9" x14ac:dyDescent="0.2">
      <c r="B106" s="70" t="s">
        <v>130</v>
      </c>
    </row>
    <row r="107" spans="2:9" x14ac:dyDescent="0.2">
      <c r="B107" s="70" t="s">
        <v>131</v>
      </c>
    </row>
    <row r="110" spans="2:9" ht="13.15" customHeight="1" x14ac:dyDescent="0.2">
      <c r="B110" s="354" t="s">
        <v>135</v>
      </c>
      <c r="C110" s="354"/>
      <c r="D110" s="354"/>
      <c r="E110" s="354"/>
      <c r="F110" s="354"/>
      <c r="G110" s="354"/>
      <c r="H110" s="354"/>
      <c r="I110" s="354"/>
    </row>
    <row r="112" spans="2:9" x14ac:dyDescent="0.2">
      <c r="B112" s="354" t="s">
        <v>120</v>
      </c>
      <c r="C112" s="354"/>
      <c r="D112" s="354"/>
      <c r="E112" s="354"/>
      <c r="F112" s="354"/>
      <c r="G112" s="354"/>
      <c r="H112" s="354"/>
      <c r="I112" s="354"/>
    </row>
    <row r="113" spans="2:9" x14ac:dyDescent="0.2">
      <c r="B113" s="354" t="s">
        <v>121</v>
      </c>
      <c r="C113" s="354"/>
      <c r="D113" s="354"/>
      <c r="E113" s="354"/>
      <c r="F113" s="354"/>
      <c r="G113" s="354"/>
      <c r="H113" s="354"/>
      <c r="I113" s="354"/>
    </row>
    <row r="115" spans="2:9" ht="13.5" thickBot="1" x14ac:dyDescent="0.25">
      <c r="D115" s="71" t="s">
        <v>28</v>
      </c>
      <c r="E115" s="71" t="s">
        <v>29</v>
      </c>
      <c r="F115" s="71" t="s">
        <v>30</v>
      </c>
      <c r="G115" s="71" t="s">
        <v>31</v>
      </c>
      <c r="H115" s="71" t="s">
        <v>32</v>
      </c>
      <c r="I115" s="71" t="s">
        <v>33</v>
      </c>
    </row>
    <row r="116" spans="2:9" ht="51" x14ac:dyDescent="0.2">
      <c r="B116" s="23" t="s">
        <v>34</v>
      </c>
      <c r="C116" s="23" t="s">
        <v>35</v>
      </c>
      <c r="D116" s="24" t="str">
        <f t="shared" ref="D116:D133" si="37">D8</f>
        <v>Current 30-day average of 30-year U.S. Treasury bond yield</v>
      </c>
      <c r="E116" s="24" t="s">
        <v>123</v>
      </c>
      <c r="F116" s="24" t="s">
        <v>124</v>
      </c>
      <c r="G116" s="24" t="s">
        <v>125</v>
      </c>
      <c r="H116" s="72" t="s">
        <v>126</v>
      </c>
      <c r="I116" s="72" t="s">
        <v>127</v>
      </c>
    </row>
    <row r="117" spans="2:9" x14ac:dyDescent="0.2">
      <c r="B117" s="70" t="str">
        <f>B81</f>
        <v>ALLETE, Inc.</v>
      </c>
      <c r="C117" s="84" t="str">
        <f>C81</f>
        <v>ALE</v>
      </c>
      <c r="D117" s="79">
        <f t="shared" si="37"/>
        <v>3.7090000000000005E-2</v>
      </c>
      <c r="E117" s="74">
        <v>0.83128921600295813</v>
      </c>
      <c r="F117" s="75">
        <f t="shared" ref="F117:F133" si="38">F9</f>
        <v>0.12496298202564052</v>
      </c>
      <c r="G117" s="79">
        <f>F117-D117</f>
        <v>8.7872982025640506E-2</v>
      </c>
      <c r="H117" s="79">
        <f>IFERROR(G117*E117+D117,"")</f>
        <v>0.11013786233593673</v>
      </c>
      <c r="I117" s="79">
        <f>IFERROR((0.25*G117)+(0.75*E117*G117)+D117,"")</f>
        <v>0.11384414225836267</v>
      </c>
    </row>
    <row r="118" spans="2:9" x14ac:dyDescent="0.2">
      <c r="B118" s="70" t="str">
        <f t="shared" ref="B118:C118" si="39">B82</f>
        <v>Alliant Energy Corporation</v>
      </c>
      <c r="C118" s="84" t="str">
        <f t="shared" si="39"/>
        <v>LNT</v>
      </c>
      <c r="D118" s="75">
        <f t="shared" si="37"/>
        <v>3.7090000000000005E-2</v>
      </c>
      <c r="E118" s="76">
        <v>0.79691269655607766</v>
      </c>
      <c r="F118" s="75">
        <f t="shared" si="38"/>
        <v>0.12496298202564052</v>
      </c>
      <c r="G118" s="75">
        <f t="shared" ref="G118:G133" si="40">F118-D118</f>
        <v>8.7872982025640506E-2</v>
      </c>
      <c r="H118" s="75">
        <f t="shared" ref="H118:H133" si="41">IFERROR(G118*E118+D118,"")</f>
        <v>0.10711709506047692</v>
      </c>
      <c r="I118" s="75">
        <f t="shared" ref="I118:I133" si="42">IFERROR((0.25*G118)+(0.75*E118*G118)+D118,"")</f>
        <v>0.11157856680176784</v>
      </c>
    </row>
    <row r="119" spans="2:9" x14ac:dyDescent="0.2">
      <c r="B119" s="70" t="str">
        <f t="shared" ref="B119:C119" si="43">B83</f>
        <v>Ameren Corporation</v>
      </c>
      <c r="C119" s="84" t="str">
        <f t="shared" si="43"/>
        <v>AEE</v>
      </c>
      <c r="D119" s="75">
        <f t="shared" si="37"/>
        <v>3.7090000000000005E-2</v>
      </c>
      <c r="E119" s="76">
        <v>0.75820316513798702</v>
      </c>
      <c r="F119" s="75">
        <f t="shared" si="38"/>
        <v>0.12496298202564052</v>
      </c>
      <c r="G119" s="75">
        <f t="shared" si="40"/>
        <v>8.7872982025640506E-2</v>
      </c>
      <c r="H119" s="75">
        <f t="shared" si="41"/>
        <v>0.10371557310195409</v>
      </c>
      <c r="I119" s="75">
        <f t="shared" si="42"/>
        <v>0.10902742533287568</v>
      </c>
    </row>
    <row r="120" spans="2:9" x14ac:dyDescent="0.2">
      <c r="B120" s="70" t="str">
        <f t="shared" ref="B120:C120" si="44">B84</f>
        <v>American Electric Power Company, Inc.</v>
      </c>
      <c r="C120" s="84" t="str">
        <f t="shared" si="44"/>
        <v>AEP</v>
      </c>
      <c r="D120" s="75">
        <f t="shared" si="37"/>
        <v>3.7090000000000005E-2</v>
      </c>
      <c r="E120" s="76">
        <v>0.77017711863829663</v>
      </c>
      <c r="F120" s="75">
        <f t="shared" si="38"/>
        <v>0.12496298202564052</v>
      </c>
      <c r="G120" s="75">
        <f t="shared" si="40"/>
        <v>8.7872982025640506E-2</v>
      </c>
      <c r="H120" s="75">
        <f t="shared" si="41"/>
        <v>0.10476776010266264</v>
      </c>
      <c r="I120" s="75">
        <f t="shared" si="42"/>
        <v>0.10981656558340711</v>
      </c>
    </row>
    <row r="121" spans="2:9" x14ac:dyDescent="0.2">
      <c r="B121" s="70" t="str">
        <f t="shared" ref="B121:C121" si="45">B85</f>
        <v>Avista Corporation</v>
      </c>
      <c r="C121" s="84" t="str">
        <f t="shared" si="45"/>
        <v>AVA</v>
      </c>
      <c r="D121" s="75">
        <f t="shared" si="37"/>
        <v>3.7090000000000005E-2</v>
      </c>
      <c r="E121" s="76">
        <v>0.75642517441242219</v>
      </c>
      <c r="F121" s="75">
        <f t="shared" si="38"/>
        <v>0.12496298202564052</v>
      </c>
      <c r="G121" s="75">
        <f t="shared" si="40"/>
        <v>8.7872982025640506E-2</v>
      </c>
      <c r="H121" s="75">
        <f t="shared" si="41"/>
        <v>0.10355933575488477</v>
      </c>
      <c r="I121" s="75">
        <f t="shared" si="42"/>
        <v>0.10891024732257371</v>
      </c>
    </row>
    <row r="122" spans="2:9" x14ac:dyDescent="0.2">
      <c r="B122" s="70" t="str">
        <f t="shared" ref="B122:C122" si="46">B86</f>
        <v>CMS Energy Corporation</v>
      </c>
      <c r="C122" s="84" t="str">
        <f t="shared" si="46"/>
        <v>CMS</v>
      </c>
      <c r="D122" s="75">
        <f t="shared" si="37"/>
        <v>3.7090000000000005E-2</v>
      </c>
      <c r="E122" s="76">
        <v>0.75649889922580749</v>
      </c>
      <c r="F122" s="75">
        <f t="shared" si="38"/>
        <v>0.12496298202564052</v>
      </c>
      <c r="G122" s="75">
        <f t="shared" si="40"/>
        <v>8.7872982025640506E-2</v>
      </c>
      <c r="H122" s="75">
        <f t="shared" si="41"/>
        <v>0.10356581417408622</v>
      </c>
      <c r="I122" s="75">
        <f t="shared" si="42"/>
        <v>0.1089151061369748</v>
      </c>
    </row>
    <row r="123" spans="2:9" x14ac:dyDescent="0.2">
      <c r="B123" s="70" t="str">
        <f t="shared" ref="B123:C123" si="47">B87</f>
        <v>Duke Energy Corporation</v>
      </c>
      <c r="C123" s="84" t="str">
        <f t="shared" si="47"/>
        <v>DUK</v>
      </c>
      <c r="D123" s="75">
        <f t="shared" si="37"/>
        <v>3.7090000000000005E-2</v>
      </c>
      <c r="E123" s="76">
        <v>0.72530334454144152</v>
      </c>
      <c r="F123" s="75">
        <f t="shared" si="38"/>
        <v>0.12496298202564052</v>
      </c>
      <c r="G123" s="75">
        <f t="shared" si="40"/>
        <v>8.7872982025640506E-2</v>
      </c>
      <c r="H123" s="75">
        <f t="shared" si="41"/>
        <v>0.10082456775802703</v>
      </c>
      <c r="I123" s="75">
        <f t="shared" si="42"/>
        <v>0.10685917132493042</v>
      </c>
    </row>
    <row r="124" spans="2:9" x14ac:dyDescent="0.2">
      <c r="B124" s="70" t="str">
        <f t="shared" ref="B124:C124" si="48">B88</f>
        <v>Entergy Corporation</v>
      </c>
      <c r="C124" s="84" t="str">
        <f t="shared" si="48"/>
        <v>ETR</v>
      </c>
      <c r="D124" s="75">
        <f t="shared" si="37"/>
        <v>3.7090000000000005E-2</v>
      </c>
      <c r="E124" s="76">
        <v>0.85783774015251246</v>
      </c>
      <c r="F124" s="75">
        <f t="shared" si="38"/>
        <v>0.12496298202564052</v>
      </c>
      <c r="G124" s="75">
        <f t="shared" si="40"/>
        <v>8.7872982025640506E-2</v>
      </c>
      <c r="H124" s="75">
        <f t="shared" si="41"/>
        <v>0.11247076032133779</v>
      </c>
      <c r="I124" s="75">
        <f t="shared" si="42"/>
        <v>0.11559381574741348</v>
      </c>
    </row>
    <row r="125" spans="2:9" x14ac:dyDescent="0.2">
      <c r="B125" s="70" t="str">
        <f t="shared" ref="B125:C125" si="49">B89</f>
        <v>Evergy, Inc.</v>
      </c>
      <c r="C125" s="84" t="str">
        <f t="shared" si="49"/>
        <v>EVRG</v>
      </c>
      <c r="D125" s="75">
        <f t="shared" si="37"/>
        <v>3.7090000000000005E-2</v>
      </c>
      <c r="E125" s="76">
        <v>0.7876731951539262</v>
      </c>
      <c r="F125" s="75">
        <f t="shared" si="38"/>
        <v>0.12496298202564052</v>
      </c>
      <c r="G125" s="75">
        <f t="shared" ref="G125" si="50">F125-D125</f>
        <v>8.7872982025640506E-2</v>
      </c>
      <c r="H125" s="75">
        <f t="shared" ref="H125" si="51">IFERROR(G125*E125+D125,"")</f>
        <v>0.10630519251983978</v>
      </c>
      <c r="I125" s="75">
        <f t="shared" ref="I125" si="52">IFERROR((0.25*G125)+(0.75*E125*G125)+D125,"")</f>
        <v>0.11096963989628997</v>
      </c>
    </row>
    <row r="126" spans="2:9" x14ac:dyDescent="0.2">
      <c r="B126" s="70" t="str">
        <f t="shared" ref="B126:C126" si="53">B90</f>
        <v>IDACORP, Inc.</v>
      </c>
      <c r="C126" s="84" t="str">
        <f t="shared" si="53"/>
        <v>IDA</v>
      </c>
      <c r="D126" s="75">
        <f t="shared" si="37"/>
        <v>3.7090000000000005E-2</v>
      </c>
      <c r="E126" s="76">
        <v>0.8069848241750528</v>
      </c>
      <c r="F126" s="75">
        <f t="shared" si="38"/>
        <v>0.12496298202564052</v>
      </c>
      <c r="G126" s="75">
        <f t="shared" si="40"/>
        <v>8.7872982025640506E-2</v>
      </c>
      <c r="H126" s="75">
        <f t="shared" si="41"/>
        <v>0.10800216294969908</v>
      </c>
      <c r="I126" s="75">
        <f t="shared" si="42"/>
        <v>0.11224236771868445</v>
      </c>
    </row>
    <row r="127" spans="2:9" x14ac:dyDescent="0.2">
      <c r="B127" s="70" t="str">
        <f t="shared" ref="B127:C127" si="54">B91</f>
        <v>NextEra Energy, Inc.</v>
      </c>
      <c r="C127" s="84" t="str">
        <f t="shared" si="54"/>
        <v>NEE</v>
      </c>
      <c r="D127" s="75">
        <f t="shared" si="37"/>
        <v>3.7090000000000005E-2</v>
      </c>
      <c r="E127" s="76">
        <v>0.82258483389619563</v>
      </c>
      <c r="F127" s="75">
        <f t="shared" si="38"/>
        <v>0.12496298202564052</v>
      </c>
      <c r="G127" s="75">
        <f t="shared" si="40"/>
        <v>8.7872982025640506E-2</v>
      </c>
      <c r="H127" s="75">
        <f t="shared" si="41"/>
        <v>0.10937298232352488</v>
      </c>
      <c r="I127" s="75">
        <f t="shared" si="42"/>
        <v>0.11327048224905378</v>
      </c>
    </row>
    <row r="128" spans="2:9" x14ac:dyDescent="0.2">
      <c r="B128" s="70" t="str">
        <f t="shared" ref="B128:C128" si="55">B92</f>
        <v>NorthWestern Corporation</v>
      </c>
      <c r="C128" s="84" t="str">
        <f t="shared" si="55"/>
        <v>NWE</v>
      </c>
      <c r="D128" s="75">
        <f t="shared" si="37"/>
        <v>3.7090000000000005E-2</v>
      </c>
      <c r="E128" s="76">
        <v>0.86341158429737797</v>
      </c>
      <c r="F128" s="75">
        <f t="shared" si="38"/>
        <v>0.12496298202564052</v>
      </c>
      <c r="G128" s="75">
        <f t="shared" si="40"/>
        <v>8.7872982025640506E-2</v>
      </c>
      <c r="H128" s="75">
        <f t="shared" si="41"/>
        <v>0.11296055062769328</v>
      </c>
      <c r="I128" s="75">
        <f t="shared" si="42"/>
        <v>0.11596115847718011</v>
      </c>
    </row>
    <row r="129" spans="2:9" x14ac:dyDescent="0.2">
      <c r="B129" s="70" t="str">
        <f t="shared" ref="B129:C129" si="56">B93</f>
        <v>OGE Energy Corporation</v>
      </c>
      <c r="C129" s="84" t="str">
        <f t="shared" si="56"/>
        <v>OGE</v>
      </c>
      <c r="D129" s="75">
        <f t="shared" si="37"/>
        <v>3.7090000000000005E-2</v>
      </c>
      <c r="E129" s="76">
        <v>0.92891666893844937</v>
      </c>
      <c r="F129" s="75">
        <f t="shared" si="38"/>
        <v>0.12496298202564052</v>
      </c>
      <c r="G129" s="75">
        <f t="shared" si="40"/>
        <v>8.7872982025640506E-2</v>
      </c>
      <c r="H129" s="75">
        <f t="shared" si="41"/>
        <v>0.11871667775294623</v>
      </c>
      <c r="I129" s="75">
        <f t="shared" si="42"/>
        <v>0.12027825382111978</v>
      </c>
    </row>
    <row r="130" spans="2:9" x14ac:dyDescent="0.2">
      <c r="B130" s="70" t="str">
        <f t="shared" ref="B130:C130" si="57">B94</f>
        <v>Otter Tail Corporation</v>
      </c>
      <c r="C130" s="84" t="str">
        <f t="shared" si="57"/>
        <v>OTTR</v>
      </c>
      <c r="D130" s="75">
        <f t="shared" si="37"/>
        <v>3.7090000000000005E-2</v>
      </c>
      <c r="E130" s="76">
        <v>0.88234791148372727</v>
      </c>
      <c r="F130" s="75">
        <f t="shared" si="38"/>
        <v>0.12496298202564052</v>
      </c>
      <c r="G130" s="75">
        <f t="shared" si="40"/>
        <v>8.7872982025640506E-2</v>
      </c>
      <c r="H130" s="75">
        <f t="shared" si="41"/>
        <v>0.11462454216617102</v>
      </c>
      <c r="I130" s="75">
        <f t="shared" si="42"/>
        <v>0.11720915213103839</v>
      </c>
    </row>
    <row r="131" spans="2:9" x14ac:dyDescent="0.2">
      <c r="B131" s="70" t="str">
        <f t="shared" ref="B131:C131" si="58">B95</f>
        <v>Portland General Electric Company</v>
      </c>
      <c r="C131" s="84" t="str">
        <f t="shared" si="58"/>
        <v>POR</v>
      </c>
      <c r="D131" s="75">
        <f t="shared" si="37"/>
        <v>3.7090000000000005E-2</v>
      </c>
      <c r="E131" s="76">
        <v>0.78621016756976703</v>
      </c>
      <c r="F131" s="75">
        <f t="shared" si="38"/>
        <v>0.12496298202564052</v>
      </c>
      <c r="G131" s="75">
        <f t="shared" si="40"/>
        <v>8.7872982025640506E-2</v>
      </c>
      <c r="H131" s="75">
        <f t="shared" si="41"/>
        <v>0.10617663192323396</v>
      </c>
      <c r="I131" s="75">
        <f t="shared" si="42"/>
        <v>0.1108732194488356</v>
      </c>
    </row>
    <row r="132" spans="2:9" x14ac:dyDescent="0.2">
      <c r="B132" s="70" t="str">
        <f t="shared" ref="B132:C132" si="59">B96</f>
        <v>Southern Company</v>
      </c>
      <c r="C132" s="84" t="str">
        <f t="shared" si="59"/>
        <v>SO</v>
      </c>
      <c r="D132" s="75">
        <f t="shared" si="37"/>
        <v>3.7090000000000005E-2</v>
      </c>
      <c r="E132" s="76">
        <v>0.77907482315997834</v>
      </c>
      <c r="F132" s="75">
        <f t="shared" si="38"/>
        <v>0.12496298202564052</v>
      </c>
      <c r="G132" s="75">
        <f t="shared" si="40"/>
        <v>8.7872982025640506E-2</v>
      </c>
      <c r="H132" s="75">
        <f t="shared" si="41"/>
        <v>0.10554962793216582</v>
      </c>
      <c r="I132" s="75">
        <f t="shared" si="42"/>
        <v>0.11040296645553452</v>
      </c>
    </row>
    <row r="133" spans="2:9" x14ac:dyDescent="0.2">
      <c r="B133" s="70" t="str">
        <f t="shared" ref="B133:C133" si="60">B97</f>
        <v>Xcel Energy Inc.</v>
      </c>
      <c r="C133" s="84" t="str">
        <f t="shared" si="60"/>
        <v>XEL</v>
      </c>
      <c r="D133" s="75">
        <f t="shared" si="37"/>
        <v>3.7090000000000005E-2</v>
      </c>
      <c r="E133" s="76">
        <v>0.74822259344446707</v>
      </c>
      <c r="F133" s="75">
        <f t="shared" si="38"/>
        <v>0.12496298202564052</v>
      </c>
      <c r="G133" s="75">
        <f t="shared" si="40"/>
        <v>8.7872982025640506E-2</v>
      </c>
      <c r="H133" s="75">
        <f t="shared" si="41"/>
        <v>0.10283855050492377</v>
      </c>
      <c r="I133" s="75">
        <f t="shared" si="42"/>
        <v>0.10836965838510296</v>
      </c>
    </row>
    <row r="134" spans="2:9" x14ac:dyDescent="0.2">
      <c r="B134" s="78" t="s">
        <v>4</v>
      </c>
      <c r="C134" s="78"/>
      <c r="D134" s="78"/>
      <c r="E134" s="74"/>
      <c r="F134" s="78"/>
      <c r="G134" s="78"/>
      <c r="H134" s="79">
        <f>AVERAGE(H117:H133)</f>
        <v>0.10768856984173907</v>
      </c>
      <c r="I134" s="79">
        <f>AVERAGE(I117:I133)</f>
        <v>0.11200717288771442</v>
      </c>
    </row>
    <row r="135" spans="2:9" ht="13.5" thickBot="1" x14ac:dyDescent="0.25">
      <c r="B135" s="80" t="s">
        <v>13</v>
      </c>
      <c r="C135" s="80"/>
      <c r="D135" s="80"/>
      <c r="E135" s="81"/>
      <c r="F135" s="80"/>
      <c r="G135" s="80"/>
      <c r="H135" s="82">
        <f>MEDIAN(H117:H133)</f>
        <v>0.10630519251983978</v>
      </c>
      <c r="I135" s="82">
        <f>MEDIAN(I117:I133)</f>
        <v>0.11096963989628997</v>
      </c>
    </row>
    <row r="137" spans="2:9" x14ac:dyDescent="0.2">
      <c r="B137" s="83" t="s">
        <v>88</v>
      </c>
    </row>
    <row r="138" spans="2:9" x14ac:dyDescent="0.2">
      <c r="B138" s="70" t="str">
        <f>B30</f>
        <v>[1] Source: Bloomberg Professional, as of Janaury 31, 2023</v>
      </c>
    </row>
    <row r="139" spans="2:9" x14ac:dyDescent="0.2">
      <c r="B139" s="70" t="s">
        <v>136</v>
      </c>
    </row>
    <row r="140" spans="2:9" x14ac:dyDescent="0.2">
      <c r="B140" s="70" t="str">
        <f>$B$32</f>
        <v>[3] Source: Market Return</v>
      </c>
    </row>
    <row r="141" spans="2:9" x14ac:dyDescent="0.2">
      <c r="B141" s="70" t="s">
        <v>129</v>
      </c>
    </row>
    <row r="142" spans="2:9" x14ac:dyDescent="0.2">
      <c r="B142" s="70" t="s">
        <v>130</v>
      </c>
    </row>
    <row r="143" spans="2:9" x14ac:dyDescent="0.2">
      <c r="B143" s="70" t="s">
        <v>131</v>
      </c>
    </row>
    <row r="146" spans="2:9" ht="13.15" customHeight="1" x14ac:dyDescent="0.2">
      <c r="B146" s="354" t="s">
        <v>137</v>
      </c>
      <c r="C146" s="354"/>
      <c r="D146" s="354"/>
      <c r="E146" s="354"/>
      <c r="F146" s="354"/>
      <c r="G146" s="354"/>
      <c r="H146" s="354"/>
      <c r="I146" s="354"/>
    </row>
    <row r="148" spans="2:9" x14ac:dyDescent="0.2">
      <c r="B148" s="354" t="s">
        <v>120</v>
      </c>
      <c r="C148" s="354"/>
      <c r="D148" s="354"/>
      <c r="E148" s="354"/>
      <c r="F148" s="354"/>
      <c r="G148" s="354"/>
      <c r="H148" s="354"/>
      <c r="I148" s="354"/>
    </row>
    <row r="149" spans="2:9" x14ac:dyDescent="0.2">
      <c r="B149" s="354" t="s">
        <v>121</v>
      </c>
      <c r="C149" s="354"/>
      <c r="D149" s="354"/>
      <c r="E149" s="354"/>
      <c r="F149" s="354"/>
      <c r="G149" s="354"/>
      <c r="H149" s="354"/>
      <c r="I149" s="354"/>
    </row>
    <row r="151" spans="2:9" ht="13.5" thickBot="1" x14ac:dyDescent="0.25">
      <c r="D151" s="71" t="s">
        <v>28</v>
      </c>
      <c r="E151" s="71" t="s">
        <v>29</v>
      </c>
      <c r="F151" s="71" t="s">
        <v>30</v>
      </c>
      <c r="G151" s="71" t="s">
        <v>31</v>
      </c>
      <c r="H151" s="71" t="s">
        <v>32</v>
      </c>
      <c r="I151" s="71" t="s">
        <v>33</v>
      </c>
    </row>
    <row r="152" spans="2:9" ht="51" x14ac:dyDescent="0.2">
      <c r="B152" s="23" t="s">
        <v>34</v>
      </c>
      <c r="C152" s="23" t="s">
        <v>35</v>
      </c>
      <c r="D152" s="24" t="str">
        <f t="shared" ref="D152:D160" si="61">D44</f>
        <v>Near-term projected 30-year U.S. Treasury bond yield 
(Q2 2023 - Q2 2024)</v>
      </c>
      <c r="E152" s="24" t="s">
        <v>123</v>
      </c>
      <c r="F152" s="24" t="s">
        <v>124</v>
      </c>
      <c r="G152" s="24" t="s">
        <v>125</v>
      </c>
      <c r="H152" s="72" t="s">
        <v>126</v>
      </c>
      <c r="I152" s="72" t="s">
        <v>127</v>
      </c>
    </row>
    <row r="153" spans="2:9" x14ac:dyDescent="0.2">
      <c r="B153" s="70" t="str">
        <f>B117</f>
        <v>ALLETE, Inc.</v>
      </c>
      <c r="C153" s="84" t="str">
        <f>C117</f>
        <v>ALE</v>
      </c>
      <c r="D153" s="75">
        <f t="shared" si="61"/>
        <v>3.8199999999999998E-2</v>
      </c>
      <c r="E153" s="76">
        <f t="shared" ref="E153:E169" si="62">E117</f>
        <v>0.83128921600295813</v>
      </c>
      <c r="F153" s="79">
        <f t="shared" ref="F153:F169" si="63">F9</f>
        <v>0.12496298202564052</v>
      </c>
      <c r="G153" s="79">
        <f>F153-D153</f>
        <v>8.676298202564052E-2</v>
      </c>
      <c r="H153" s="79">
        <f>IFERROR(G153*E153+D153,"")</f>
        <v>0.11032513130617345</v>
      </c>
      <c r="I153" s="79">
        <f>IFERROR((0.25*G153)+(0.75*E153*G153)+D153,"")</f>
        <v>0.11398459398604022</v>
      </c>
    </row>
    <row r="154" spans="2:9" x14ac:dyDescent="0.2">
      <c r="B154" s="70" t="str">
        <f t="shared" ref="B154:C154" si="64">B118</f>
        <v>Alliant Energy Corporation</v>
      </c>
      <c r="C154" s="84" t="str">
        <f t="shared" si="64"/>
        <v>LNT</v>
      </c>
      <c r="D154" s="75">
        <f t="shared" si="61"/>
        <v>3.8199999999999998E-2</v>
      </c>
      <c r="E154" s="76">
        <f t="shared" si="62"/>
        <v>0.79691269655607766</v>
      </c>
      <c r="F154" s="75">
        <f t="shared" si="63"/>
        <v>0.12496298202564052</v>
      </c>
      <c r="G154" s="75">
        <f t="shared" ref="G154:G169" si="65">F154-D154</f>
        <v>8.676298202564052E-2</v>
      </c>
      <c r="H154" s="75">
        <f t="shared" ref="H154:H169" si="66">IFERROR(G154*E154+D154,"")</f>
        <v>0.10734252196729968</v>
      </c>
      <c r="I154" s="75">
        <f t="shared" ref="I154:I169" si="67">IFERROR((0.25*G154)+(0.75*E154*G154)+D154,"")</f>
        <v>0.11174763698188489</v>
      </c>
    </row>
    <row r="155" spans="2:9" x14ac:dyDescent="0.2">
      <c r="B155" s="70" t="str">
        <f t="shared" ref="B155:C155" si="68">B119</f>
        <v>Ameren Corporation</v>
      </c>
      <c r="C155" s="84" t="str">
        <f t="shared" si="68"/>
        <v>AEE</v>
      </c>
      <c r="D155" s="75">
        <f t="shared" si="61"/>
        <v>3.8199999999999998E-2</v>
      </c>
      <c r="E155" s="76">
        <f t="shared" si="62"/>
        <v>0.75820316513798702</v>
      </c>
      <c r="F155" s="75">
        <f t="shared" si="63"/>
        <v>0.12496298202564052</v>
      </c>
      <c r="G155" s="75">
        <f t="shared" si="65"/>
        <v>8.676298202564052E-2</v>
      </c>
      <c r="H155" s="75">
        <f t="shared" si="66"/>
        <v>0.10398396758865092</v>
      </c>
      <c r="I155" s="75">
        <f t="shared" si="67"/>
        <v>0.10922872119789832</v>
      </c>
    </row>
    <row r="156" spans="2:9" x14ac:dyDescent="0.2">
      <c r="B156" s="70" t="str">
        <f t="shared" ref="B156:C156" si="69">B120</f>
        <v>American Electric Power Company, Inc.</v>
      </c>
      <c r="C156" s="84" t="str">
        <f t="shared" si="69"/>
        <v>AEP</v>
      </c>
      <c r="D156" s="75">
        <f t="shared" si="61"/>
        <v>3.8199999999999998E-2</v>
      </c>
      <c r="E156" s="76">
        <f t="shared" si="62"/>
        <v>0.77017711863829663</v>
      </c>
      <c r="F156" s="75">
        <f t="shared" si="63"/>
        <v>0.12496298202564052</v>
      </c>
      <c r="G156" s="75">
        <f t="shared" si="65"/>
        <v>8.676298202564052E-2</v>
      </c>
      <c r="H156" s="75">
        <f t="shared" si="66"/>
        <v>0.10502286350097413</v>
      </c>
      <c r="I156" s="75">
        <f t="shared" si="67"/>
        <v>0.11000789313214072</v>
      </c>
    </row>
    <row r="157" spans="2:9" x14ac:dyDescent="0.2">
      <c r="B157" s="70" t="str">
        <f t="shared" ref="B157:C157" si="70">B121</f>
        <v>Avista Corporation</v>
      </c>
      <c r="C157" s="84" t="str">
        <f t="shared" si="70"/>
        <v>AVA</v>
      </c>
      <c r="D157" s="75">
        <f t="shared" si="61"/>
        <v>3.8199999999999998E-2</v>
      </c>
      <c r="E157" s="76">
        <f t="shared" si="62"/>
        <v>0.75642517441242219</v>
      </c>
      <c r="F157" s="75">
        <f t="shared" si="63"/>
        <v>0.12496298202564052</v>
      </c>
      <c r="G157" s="75">
        <f t="shared" si="65"/>
        <v>8.676298202564052E-2</v>
      </c>
      <c r="H157" s="75">
        <f t="shared" si="66"/>
        <v>0.10382970381128698</v>
      </c>
      <c r="I157" s="75">
        <f t="shared" si="67"/>
        <v>0.10911302336487536</v>
      </c>
    </row>
    <row r="158" spans="2:9" x14ac:dyDescent="0.2">
      <c r="B158" s="70" t="str">
        <f t="shared" ref="B158:C158" si="71">B122</f>
        <v>CMS Energy Corporation</v>
      </c>
      <c r="C158" s="84" t="str">
        <f t="shared" si="71"/>
        <v>CMS</v>
      </c>
      <c r="D158" s="75">
        <f t="shared" si="61"/>
        <v>3.8199999999999998E-2</v>
      </c>
      <c r="E158" s="76">
        <f t="shared" si="62"/>
        <v>0.75649889922580749</v>
      </c>
      <c r="F158" s="75">
        <f t="shared" si="63"/>
        <v>0.12496298202564052</v>
      </c>
      <c r="G158" s="75">
        <f t="shared" si="65"/>
        <v>8.676298202564052E-2</v>
      </c>
      <c r="H158" s="75">
        <f t="shared" si="66"/>
        <v>0.10383610039594557</v>
      </c>
      <c r="I158" s="75">
        <f t="shared" si="67"/>
        <v>0.10911782080336932</v>
      </c>
    </row>
    <row r="159" spans="2:9" x14ac:dyDescent="0.2">
      <c r="B159" s="70" t="str">
        <f t="shared" ref="B159:C159" si="72">B123</f>
        <v>Duke Energy Corporation</v>
      </c>
      <c r="C159" s="84" t="str">
        <f t="shared" si="72"/>
        <v>DUK</v>
      </c>
      <c r="D159" s="75">
        <f t="shared" si="61"/>
        <v>3.8199999999999998E-2</v>
      </c>
      <c r="E159" s="76">
        <f t="shared" si="62"/>
        <v>0.72530334454144152</v>
      </c>
      <c r="F159" s="75">
        <f t="shared" si="63"/>
        <v>0.12496298202564052</v>
      </c>
      <c r="G159" s="75">
        <f t="shared" si="65"/>
        <v>8.676298202564052E-2</v>
      </c>
      <c r="H159" s="75">
        <f t="shared" si="66"/>
        <v>0.10112948104558604</v>
      </c>
      <c r="I159" s="75">
        <f t="shared" si="67"/>
        <v>0.10708785629059966</v>
      </c>
    </row>
    <row r="160" spans="2:9" x14ac:dyDescent="0.2">
      <c r="B160" s="70" t="str">
        <f t="shared" ref="B160:C160" si="73">B124</f>
        <v>Entergy Corporation</v>
      </c>
      <c r="C160" s="84" t="str">
        <f t="shared" si="73"/>
        <v>ETR</v>
      </c>
      <c r="D160" s="75">
        <f t="shared" si="61"/>
        <v>3.8199999999999998E-2</v>
      </c>
      <c r="E160" s="76">
        <f t="shared" si="62"/>
        <v>0.85783774015251246</v>
      </c>
      <c r="F160" s="75">
        <f t="shared" si="63"/>
        <v>0.12496298202564052</v>
      </c>
      <c r="G160" s="75">
        <f t="shared" si="65"/>
        <v>8.676298202564052E-2</v>
      </c>
      <c r="H160" s="75">
        <f t="shared" si="66"/>
        <v>0.11262856042976852</v>
      </c>
      <c r="I160" s="75">
        <f t="shared" si="67"/>
        <v>0.11571216582873652</v>
      </c>
    </row>
    <row r="161" spans="2:9" x14ac:dyDescent="0.2">
      <c r="B161" s="70" t="str">
        <f t="shared" ref="B161:C161" si="74">B125</f>
        <v>Evergy, Inc.</v>
      </c>
      <c r="C161" s="84" t="str">
        <f t="shared" si="74"/>
        <v>EVRG</v>
      </c>
      <c r="D161" s="75">
        <f>D160</f>
        <v>3.8199999999999998E-2</v>
      </c>
      <c r="E161" s="76">
        <f t="shared" si="62"/>
        <v>0.7876731951539262</v>
      </c>
      <c r="F161" s="75">
        <f t="shared" si="63"/>
        <v>0.12496298202564052</v>
      </c>
      <c r="G161" s="75">
        <f t="shared" ref="G161" si="75">F161-D161</f>
        <v>8.676298202564052E-2</v>
      </c>
      <c r="H161" s="75">
        <f t="shared" ref="H161" si="76">IFERROR(G161*E161+D161,"")</f>
        <v>0.10654087527321894</v>
      </c>
      <c r="I161" s="75">
        <f t="shared" ref="I161" si="77">IFERROR((0.25*G161)+(0.75*E161*G161)+D161,"")</f>
        <v>0.11114640196132433</v>
      </c>
    </row>
    <row r="162" spans="2:9" x14ac:dyDescent="0.2">
      <c r="B162" s="70" t="str">
        <f t="shared" ref="B162:C162" si="78">B126</f>
        <v>IDACORP, Inc.</v>
      </c>
      <c r="C162" s="84" t="str">
        <f t="shared" si="78"/>
        <v>IDA</v>
      </c>
      <c r="D162" s="75">
        <f t="shared" ref="D162:D169" si="79">D54</f>
        <v>3.8199999999999998E-2</v>
      </c>
      <c r="E162" s="76">
        <f t="shared" si="62"/>
        <v>0.8069848241750528</v>
      </c>
      <c r="F162" s="75">
        <f t="shared" si="63"/>
        <v>0.12496298202564052</v>
      </c>
      <c r="G162" s="75">
        <f t="shared" si="65"/>
        <v>8.676298202564052E-2</v>
      </c>
      <c r="H162" s="75">
        <f t="shared" si="66"/>
        <v>0.10821640979486478</v>
      </c>
      <c r="I162" s="75">
        <f t="shared" si="67"/>
        <v>0.11240305285255872</v>
      </c>
    </row>
    <row r="163" spans="2:9" x14ac:dyDescent="0.2">
      <c r="B163" s="70" t="str">
        <f t="shared" ref="B163:C163" si="80">B127</f>
        <v>NextEra Energy, Inc.</v>
      </c>
      <c r="C163" s="84" t="str">
        <f t="shared" si="80"/>
        <v>NEE</v>
      </c>
      <c r="D163" s="75">
        <f t="shared" si="79"/>
        <v>3.8199999999999998E-2</v>
      </c>
      <c r="E163" s="76">
        <f t="shared" si="62"/>
        <v>0.82258483389619563</v>
      </c>
      <c r="F163" s="75">
        <f t="shared" si="63"/>
        <v>0.12496298202564052</v>
      </c>
      <c r="G163" s="75">
        <f t="shared" si="65"/>
        <v>8.676298202564052E-2</v>
      </c>
      <c r="H163" s="75">
        <f t="shared" si="66"/>
        <v>0.10956991315790011</v>
      </c>
      <c r="I163" s="75">
        <f t="shared" si="67"/>
        <v>0.11341818037483521</v>
      </c>
    </row>
    <row r="164" spans="2:9" x14ac:dyDescent="0.2">
      <c r="B164" s="70" t="str">
        <f t="shared" ref="B164:C164" si="81">B128</f>
        <v>NorthWestern Corporation</v>
      </c>
      <c r="C164" s="84" t="str">
        <f t="shared" si="81"/>
        <v>NWE</v>
      </c>
      <c r="D164" s="75">
        <f t="shared" si="79"/>
        <v>3.8199999999999998E-2</v>
      </c>
      <c r="E164" s="76">
        <f t="shared" si="62"/>
        <v>0.86341158429737797</v>
      </c>
      <c r="F164" s="75">
        <f t="shared" si="63"/>
        <v>0.12496298202564052</v>
      </c>
      <c r="G164" s="75">
        <f t="shared" si="65"/>
        <v>8.676298202564052E-2</v>
      </c>
      <c r="H164" s="75">
        <f t="shared" si="66"/>
        <v>0.11311216376912321</v>
      </c>
      <c r="I164" s="75">
        <f t="shared" si="67"/>
        <v>0.11607486833325253</v>
      </c>
    </row>
    <row r="165" spans="2:9" x14ac:dyDescent="0.2">
      <c r="B165" s="70" t="str">
        <f t="shared" ref="B165:C165" si="82">B129</f>
        <v>OGE Energy Corporation</v>
      </c>
      <c r="C165" s="84" t="str">
        <f t="shared" si="82"/>
        <v>OGE</v>
      </c>
      <c r="D165" s="75">
        <f t="shared" si="79"/>
        <v>3.8199999999999998E-2</v>
      </c>
      <c r="E165" s="76">
        <f t="shared" si="62"/>
        <v>0.92891666893844937</v>
      </c>
      <c r="F165" s="75">
        <f t="shared" si="63"/>
        <v>0.12496298202564052</v>
      </c>
      <c r="G165" s="75">
        <f t="shared" si="65"/>
        <v>8.676298202564052E-2</v>
      </c>
      <c r="H165" s="75">
        <f t="shared" si="66"/>
        <v>0.11879558025042454</v>
      </c>
      <c r="I165" s="75">
        <f t="shared" si="67"/>
        <v>0.12033743069422853</v>
      </c>
    </row>
    <row r="166" spans="2:9" x14ac:dyDescent="0.2">
      <c r="B166" s="70" t="str">
        <f t="shared" ref="B166:C166" si="83">B130</f>
        <v>Otter Tail Corporation</v>
      </c>
      <c r="C166" s="84" t="str">
        <f t="shared" si="83"/>
        <v>OTTR</v>
      </c>
      <c r="D166" s="75">
        <f t="shared" si="79"/>
        <v>3.8199999999999998E-2</v>
      </c>
      <c r="E166" s="76">
        <f t="shared" si="62"/>
        <v>0.88234791148372727</v>
      </c>
      <c r="F166" s="75">
        <f t="shared" si="63"/>
        <v>0.12496298202564052</v>
      </c>
      <c r="G166" s="75">
        <f t="shared" si="65"/>
        <v>8.676298202564052E-2</v>
      </c>
      <c r="H166" s="75">
        <f t="shared" si="66"/>
        <v>0.11475513598442408</v>
      </c>
      <c r="I166" s="75">
        <f t="shared" si="67"/>
        <v>0.11730709749472819</v>
      </c>
    </row>
    <row r="167" spans="2:9" x14ac:dyDescent="0.2">
      <c r="B167" s="70" t="str">
        <f t="shared" ref="B167:C167" si="84">B131</f>
        <v>Portland General Electric Company</v>
      </c>
      <c r="C167" s="84" t="str">
        <f t="shared" si="84"/>
        <v>POR</v>
      </c>
      <c r="D167" s="75">
        <f t="shared" si="79"/>
        <v>3.8199999999999998E-2</v>
      </c>
      <c r="E167" s="76">
        <f t="shared" si="62"/>
        <v>0.78621016756976703</v>
      </c>
      <c r="F167" s="75">
        <f t="shared" si="63"/>
        <v>0.12496298202564052</v>
      </c>
      <c r="G167" s="75">
        <f t="shared" si="65"/>
        <v>8.676298202564052E-2</v>
      </c>
      <c r="H167" s="75">
        <f t="shared" si="66"/>
        <v>0.10641393863723152</v>
      </c>
      <c r="I167" s="75">
        <f t="shared" si="67"/>
        <v>0.11105119948433377</v>
      </c>
    </row>
    <row r="168" spans="2:9" x14ac:dyDescent="0.2">
      <c r="B168" s="70" t="str">
        <f t="shared" ref="B168:C168" si="85">B132</f>
        <v>Southern Company</v>
      </c>
      <c r="C168" s="84" t="str">
        <f t="shared" si="85"/>
        <v>SO</v>
      </c>
      <c r="D168" s="75">
        <f t="shared" si="79"/>
        <v>3.8199999999999998E-2</v>
      </c>
      <c r="E168" s="76">
        <f t="shared" si="62"/>
        <v>0.77907482315997834</v>
      </c>
      <c r="F168" s="75">
        <f t="shared" si="63"/>
        <v>0.12496298202564052</v>
      </c>
      <c r="G168" s="75">
        <f t="shared" si="65"/>
        <v>8.676298202564052E-2</v>
      </c>
      <c r="H168" s="75">
        <f t="shared" si="66"/>
        <v>0.10579485487845826</v>
      </c>
      <c r="I168" s="75">
        <f t="shared" si="67"/>
        <v>0.11058688666525382</v>
      </c>
    </row>
    <row r="169" spans="2:9" x14ac:dyDescent="0.2">
      <c r="B169" s="70" t="str">
        <f t="shared" ref="B169:C169" si="86">B133</f>
        <v>Xcel Energy Inc.</v>
      </c>
      <c r="C169" s="84" t="str">
        <f t="shared" si="86"/>
        <v>XEL</v>
      </c>
      <c r="D169" s="75">
        <f t="shared" si="79"/>
        <v>3.8199999999999998E-2</v>
      </c>
      <c r="E169" s="76">
        <f t="shared" si="62"/>
        <v>0.74822259344446707</v>
      </c>
      <c r="F169" s="75">
        <f t="shared" si="63"/>
        <v>0.12496298202564052</v>
      </c>
      <c r="G169" s="75">
        <f t="shared" si="65"/>
        <v>8.676298202564052E-2</v>
      </c>
      <c r="H169" s="75">
        <f t="shared" si="66"/>
        <v>0.10311802342620043</v>
      </c>
      <c r="I169" s="75">
        <f t="shared" si="67"/>
        <v>0.10857926307606044</v>
      </c>
    </row>
    <row r="170" spans="2:9" x14ac:dyDescent="0.2">
      <c r="B170" s="78" t="s">
        <v>4</v>
      </c>
      <c r="C170" s="78"/>
      <c r="D170" s="78"/>
      <c r="E170" s="74"/>
      <c r="F170" s="78"/>
      <c r="G170" s="78"/>
      <c r="H170" s="79">
        <f>AVERAGE(H153:H169)</f>
        <v>0.10790677795397244</v>
      </c>
      <c r="I170" s="79">
        <f>AVERAGE(I153:I169)</f>
        <v>0.11217082897188943</v>
      </c>
    </row>
    <row r="171" spans="2:9" ht="13.5" thickBot="1" x14ac:dyDescent="0.25">
      <c r="B171" s="80" t="s">
        <v>13</v>
      </c>
      <c r="C171" s="80"/>
      <c r="D171" s="80"/>
      <c r="E171" s="81"/>
      <c r="F171" s="80"/>
      <c r="G171" s="80"/>
      <c r="H171" s="82">
        <f>MEDIAN(H153:H169)</f>
        <v>0.10654087527321894</v>
      </c>
      <c r="I171" s="82">
        <f>MEDIAN(I153:I169)</f>
        <v>0.11114640196132433</v>
      </c>
    </row>
    <row r="173" spans="2:9" x14ac:dyDescent="0.2">
      <c r="B173" s="83" t="s">
        <v>88</v>
      </c>
    </row>
    <row r="174" spans="2:9" x14ac:dyDescent="0.2">
      <c r="B174" s="70" t="str">
        <f>B66</f>
        <v>[1] Source: Blue Chip Financial Forecasts, Vol. 42, No. 2, February 1, 2023, at 2</v>
      </c>
    </row>
    <row r="175" spans="2:9" x14ac:dyDescent="0.2">
      <c r="B175" s="70" t="str">
        <f>B139</f>
        <v>[2] Source: Bloomberg Professional, based on 10-year weekly returns</v>
      </c>
    </row>
    <row r="176" spans="2:9" x14ac:dyDescent="0.2">
      <c r="B176" s="70" t="str">
        <f>$B$32</f>
        <v>[3] Source: Market Return</v>
      </c>
    </row>
    <row r="177" spans="2:9" x14ac:dyDescent="0.2">
      <c r="B177" s="70" t="s">
        <v>129</v>
      </c>
    </row>
    <row r="178" spans="2:9" x14ac:dyDescent="0.2">
      <c r="B178" s="70" t="s">
        <v>130</v>
      </c>
    </row>
    <row r="179" spans="2:9" x14ac:dyDescent="0.2">
      <c r="B179" s="70" t="s">
        <v>131</v>
      </c>
    </row>
    <row r="182" spans="2:9" ht="13.15" customHeight="1" x14ac:dyDescent="0.2">
      <c r="B182" s="354" t="s">
        <v>138</v>
      </c>
      <c r="C182" s="354"/>
      <c r="D182" s="354"/>
      <c r="E182" s="354"/>
      <c r="F182" s="354"/>
      <c r="G182" s="354"/>
      <c r="H182" s="354"/>
      <c r="I182" s="354"/>
    </row>
    <row r="184" spans="2:9" x14ac:dyDescent="0.2">
      <c r="B184" s="354" t="s">
        <v>120</v>
      </c>
      <c r="C184" s="354"/>
      <c r="D184" s="354"/>
      <c r="E184" s="354"/>
      <c r="F184" s="354"/>
      <c r="G184" s="354"/>
      <c r="H184" s="354"/>
      <c r="I184" s="354"/>
    </row>
    <row r="185" spans="2:9" x14ac:dyDescent="0.2">
      <c r="B185" s="354" t="s">
        <v>121</v>
      </c>
      <c r="C185" s="354"/>
      <c r="D185" s="354"/>
      <c r="E185" s="354"/>
      <c r="F185" s="354"/>
      <c r="G185" s="354"/>
      <c r="H185" s="354"/>
      <c r="I185" s="354"/>
    </row>
    <row r="187" spans="2:9" ht="13.5" thickBot="1" x14ac:dyDescent="0.25">
      <c r="D187" s="71" t="s">
        <v>28</v>
      </c>
      <c r="E187" s="71" t="s">
        <v>29</v>
      </c>
      <c r="F187" s="71" t="s">
        <v>30</v>
      </c>
      <c r="G187" s="71" t="s">
        <v>31</v>
      </c>
      <c r="H187" s="71" t="s">
        <v>32</v>
      </c>
      <c r="I187" s="71" t="s">
        <v>33</v>
      </c>
    </row>
    <row r="188" spans="2:9" ht="51" x14ac:dyDescent="0.2">
      <c r="B188" s="23" t="s">
        <v>34</v>
      </c>
      <c r="C188" s="23" t="s">
        <v>35</v>
      </c>
      <c r="D188" s="24" t="str">
        <f t="shared" ref="D188:D205" si="87">D80</f>
        <v>Projected 30-year U.S. Treasury bond yield 
(2024 - 2028)</v>
      </c>
      <c r="E188" s="24" t="s">
        <v>123</v>
      </c>
      <c r="F188" s="24" t="s">
        <v>124</v>
      </c>
      <c r="G188" s="24" t="s">
        <v>125</v>
      </c>
      <c r="H188" s="72" t="s">
        <v>126</v>
      </c>
      <c r="I188" s="72" t="s">
        <v>127</v>
      </c>
    </row>
    <row r="189" spans="2:9" x14ac:dyDescent="0.2">
      <c r="B189" s="70" t="str">
        <f>B153</f>
        <v>ALLETE, Inc.</v>
      </c>
      <c r="C189" s="84" t="str">
        <f>C153</f>
        <v>ALE</v>
      </c>
      <c r="D189" s="75">
        <f t="shared" si="87"/>
        <v>3.9E-2</v>
      </c>
      <c r="E189" s="76">
        <f t="shared" ref="E189:E205" si="88">E153</f>
        <v>0.83128921600295813</v>
      </c>
      <c r="F189" s="75">
        <f t="shared" ref="F189:F205" si="89">F9</f>
        <v>0.12496298202564052</v>
      </c>
      <c r="G189" s="75">
        <f>F189-D189</f>
        <v>8.5962982025640511E-2</v>
      </c>
      <c r="H189" s="75">
        <f>IFERROR(G189*E189+D189,"")</f>
        <v>0.11046009993337108</v>
      </c>
      <c r="I189" s="75">
        <f>IFERROR((0.25*G189)+(0.75*E189*G189)+D189,"")</f>
        <v>0.11408582045643845</v>
      </c>
    </row>
    <row r="190" spans="2:9" x14ac:dyDescent="0.2">
      <c r="B190" s="70" t="str">
        <f t="shared" ref="B190:C190" si="90">B154</f>
        <v>Alliant Energy Corporation</v>
      </c>
      <c r="C190" s="84" t="str">
        <f t="shared" si="90"/>
        <v>LNT</v>
      </c>
      <c r="D190" s="75">
        <f t="shared" si="87"/>
        <v>3.9E-2</v>
      </c>
      <c r="E190" s="76">
        <f t="shared" si="88"/>
        <v>0.79691269655607766</v>
      </c>
      <c r="F190" s="75">
        <f t="shared" si="89"/>
        <v>0.12496298202564052</v>
      </c>
      <c r="G190" s="75">
        <f t="shared" ref="G190:G205" si="91">F190-D190</f>
        <v>8.5962982025640511E-2</v>
      </c>
      <c r="H190" s="75">
        <f t="shared" ref="H190:H205" si="92">IFERROR(G190*E190+D190,"")</f>
        <v>0.10750499181005482</v>
      </c>
      <c r="I190" s="75">
        <f t="shared" ref="I190:I205" si="93">IFERROR((0.25*G190)+(0.75*E190*G190)+D190,"")</f>
        <v>0.11186948936395125</v>
      </c>
    </row>
    <row r="191" spans="2:9" x14ac:dyDescent="0.2">
      <c r="B191" s="70" t="str">
        <f t="shared" ref="B191:C191" si="94">B155</f>
        <v>Ameren Corporation</v>
      </c>
      <c r="C191" s="84" t="str">
        <f t="shared" si="94"/>
        <v>AEE</v>
      </c>
      <c r="D191" s="75">
        <f t="shared" si="87"/>
        <v>3.9E-2</v>
      </c>
      <c r="E191" s="76">
        <f t="shared" si="88"/>
        <v>0.75820316513798702</v>
      </c>
      <c r="F191" s="75">
        <f t="shared" si="89"/>
        <v>0.12496298202564052</v>
      </c>
      <c r="G191" s="75">
        <f t="shared" si="91"/>
        <v>8.5962982025640511E-2</v>
      </c>
      <c r="H191" s="75">
        <f t="shared" si="92"/>
        <v>0.10417740505654052</v>
      </c>
      <c r="I191" s="75">
        <f t="shared" si="93"/>
        <v>0.10937379929881552</v>
      </c>
    </row>
    <row r="192" spans="2:9" x14ac:dyDescent="0.2">
      <c r="B192" s="70" t="str">
        <f t="shared" ref="B192:C192" si="95">B156</f>
        <v>American Electric Power Company, Inc.</v>
      </c>
      <c r="C192" s="84" t="str">
        <f t="shared" si="95"/>
        <v>AEP</v>
      </c>
      <c r="D192" s="75">
        <f t="shared" si="87"/>
        <v>3.9E-2</v>
      </c>
      <c r="E192" s="76">
        <f t="shared" si="88"/>
        <v>0.77017711863829663</v>
      </c>
      <c r="F192" s="75">
        <f t="shared" si="89"/>
        <v>0.12496298202564052</v>
      </c>
      <c r="G192" s="75">
        <f t="shared" si="91"/>
        <v>8.5962982025640511E-2</v>
      </c>
      <c r="H192" s="75">
        <f t="shared" si="92"/>
        <v>0.1052067218060635</v>
      </c>
      <c r="I192" s="75">
        <f t="shared" si="93"/>
        <v>0.11014578686095775</v>
      </c>
    </row>
    <row r="193" spans="2:9" x14ac:dyDescent="0.2">
      <c r="B193" s="70" t="str">
        <f t="shared" ref="B193:C193" si="96">B157</f>
        <v>Avista Corporation</v>
      </c>
      <c r="C193" s="84" t="str">
        <f t="shared" si="96"/>
        <v>AVA</v>
      </c>
      <c r="D193" s="75">
        <f t="shared" si="87"/>
        <v>3.9E-2</v>
      </c>
      <c r="E193" s="76">
        <f t="shared" si="88"/>
        <v>0.75642517441242219</v>
      </c>
      <c r="F193" s="75">
        <f t="shared" si="89"/>
        <v>0.12496298202564052</v>
      </c>
      <c r="G193" s="75">
        <f t="shared" si="91"/>
        <v>8.5962982025640511E-2</v>
      </c>
      <c r="H193" s="75">
        <f t="shared" si="92"/>
        <v>0.10402456367175703</v>
      </c>
      <c r="I193" s="75">
        <f t="shared" si="93"/>
        <v>0.10925916826022791</v>
      </c>
    </row>
    <row r="194" spans="2:9" x14ac:dyDescent="0.2">
      <c r="B194" s="70" t="str">
        <f t="shared" ref="B194:C194" si="97">B158</f>
        <v>CMS Energy Corporation</v>
      </c>
      <c r="C194" s="84" t="str">
        <f t="shared" si="97"/>
        <v>CMS</v>
      </c>
      <c r="D194" s="75">
        <f t="shared" si="87"/>
        <v>3.9E-2</v>
      </c>
      <c r="E194" s="76">
        <f t="shared" si="88"/>
        <v>0.75649889922580749</v>
      </c>
      <c r="F194" s="75">
        <f t="shared" si="89"/>
        <v>0.12496298202564052</v>
      </c>
      <c r="G194" s="75">
        <f t="shared" si="91"/>
        <v>8.5962982025640511E-2</v>
      </c>
      <c r="H194" s="75">
        <f t="shared" si="92"/>
        <v>0.10403090127656492</v>
      </c>
      <c r="I194" s="75">
        <f t="shared" si="93"/>
        <v>0.10926392146383382</v>
      </c>
    </row>
    <row r="195" spans="2:9" x14ac:dyDescent="0.2">
      <c r="B195" s="70" t="str">
        <f t="shared" ref="B195:C195" si="98">B159</f>
        <v>Duke Energy Corporation</v>
      </c>
      <c r="C195" s="84" t="str">
        <f t="shared" si="98"/>
        <v>DUK</v>
      </c>
      <c r="D195" s="75">
        <f t="shared" si="87"/>
        <v>3.9E-2</v>
      </c>
      <c r="E195" s="76">
        <f t="shared" si="88"/>
        <v>0.72530334454144152</v>
      </c>
      <c r="F195" s="75">
        <f t="shared" si="89"/>
        <v>0.12496298202564052</v>
      </c>
      <c r="G195" s="75">
        <f t="shared" si="91"/>
        <v>8.5962982025640511E-2</v>
      </c>
      <c r="H195" s="75">
        <f t="shared" si="92"/>
        <v>0.10134923836995288</v>
      </c>
      <c r="I195" s="75">
        <f t="shared" si="93"/>
        <v>0.1072526742838748</v>
      </c>
    </row>
    <row r="196" spans="2:9" x14ac:dyDescent="0.2">
      <c r="B196" s="70" t="str">
        <f t="shared" ref="B196:C196" si="99">B160</f>
        <v>Entergy Corporation</v>
      </c>
      <c r="C196" s="84" t="str">
        <f t="shared" si="99"/>
        <v>ETR</v>
      </c>
      <c r="D196" s="75">
        <f t="shared" si="87"/>
        <v>3.9E-2</v>
      </c>
      <c r="E196" s="76">
        <f t="shared" si="88"/>
        <v>0.85783774015251246</v>
      </c>
      <c r="F196" s="75">
        <f t="shared" si="89"/>
        <v>0.12496298202564052</v>
      </c>
      <c r="G196" s="75">
        <f t="shared" si="91"/>
        <v>8.5962982025640511E-2</v>
      </c>
      <c r="H196" s="75">
        <f t="shared" si="92"/>
        <v>0.11274229023764651</v>
      </c>
      <c r="I196" s="75">
        <f t="shared" si="93"/>
        <v>0.11579746318464501</v>
      </c>
    </row>
    <row r="197" spans="2:9" x14ac:dyDescent="0.2">
      <c r="B197" s="70" t="str">
        <f t="shared" ref="B197:C197" si="100">B161</f>
        <v>Evergy, Inc.</v>
      </c>
      <c r="C197" s="84" t="str">
        <f t="shared" si="100"/>
        <v>EVRG</v>
      </c>
      <c r="D197" s="75">
        <f t="shared" si="87"/>
        <v>3.9E-2</v>
      </c>
      <c r="E197" s="76">
        <f t="shared" si="88"/>
        <v>0.7876731951539262</v>
      </c>
      <c r="F197" s="75">
        <f t="shared" si="89"/>
        <v>0.12496298202564052</v>
      </c>
      <c r="G197" s="75">
        <f t="shared" ref="G197" si="101">F197-D197</f>
        <v>8.5962982025640511E-2</v>
      </c>
      <c r="H197" s="75">
        <f t="shared" ref="H197" si="102">IFERROR(G197*E197+D197,"")</f>
        <v>0.1067107367170958</v>
      </c>
      <c r="I197" s="75">
        <f t="shared" ref="I197" si="103">IFERROR((0.25*G197)+(0.75*E197*G197)+D197,"")</f>
        <v>0.11127379804423196</v>
      </c>
    </row>
    <row r="198" spans="2:9" x14ac:dyDescent="0.2">
      <c r="B198" s="70" t="str">
        <f t="shared" ref="B198:C198" si="104">B162</f>
        <v>IDACORP, Inc.</v>
      </c>
      <c r="C198" s="84" t="str">
        <f t="shared" si="104"/>
        <v>IDA</v>
      </c>
      <c r="D198" s="75">
        <f t="shared" si="87"/>
        <v>3.9E-2</v>
      </c>
      <c r="E198" s="76">
        <f t="shared" si="88"/>
        <v>0.8069848241750528</v>
      </c>
      <c r="F198" s="75">
        <f t="shared" si="89"/>
        <v>0.12496298202564052</v>
      </c>
      <c r="G198" s="75">
        <f t="shared" si="91"/>
        <v>8.5962982025640511E-2</v>
      </c>
      <c r="H198" s="75">
        <f t="shared" si="92"/>
        <v>0.10837082193552472</v>
      </c>
      <c r="I198" s="75">
        <f t="shared" si="93"/>
        <v>0.11251886195805369</v>
      </c>
    </row>
    <row r="199" spans="2:9" x14ac:dyDescent="0.2">
      <c r="B199" s="70" t="str">
        <f t="shared" ref="B199:C199" si="105">B163</f>
        <v>NextEra Energy, Inc.</v>
      </c>
      <c r="C199" s="84" t="str">
        <f t="shared" si="105"/>
        <v>NEE</v>
      </c>
      <c r="D199" s="75">
        <f t="shared" si="87"/>
        <v>3.9E-2</v>
      </c>
      <c r="E199" s="76">
        <f t="shared" si="88"/>
        <v>0.82258483389619563</v>
      </c>
      <c r="F199" s="75">
        <f t="shared" si="89"/>
        <v>0.12496298202564052</v>
      </c>
      <c r="G199" s="75">
        <f t="shared" si="91"/>
        <v>8.5962982025640511E-2</v>
      </c>
      <c r="H199" s="75">
        <f t="shared" si="92"/>
        <v>0.10971184529078315</v>
      </c>
      <c r="I199" s="75">
        <f t="shared" si="93"/>
        <v>0.11352462947449748</v>
      </c>
    </row>
    <row r="200" spans="2:9" x14ac:dyDescent="0.2">
      <c r="B200" s="70" t="str">
        <f t="shared" ref="B200:C200" si="106">B164</f>
        <v>NorthWestern Corporation</v>
      </c>
      <c r="C200" s="84" t="str">
        <f t="shared" si="106"/>
        <v>NWE</v>
      </c>
      <c r="D200" s="75">
        <f t="shared" si="87"/>
        <v>3.9E-2</v>
      </c>
      <c r="E200" s="76">
        <f t="shared" si="88"/>
        <v>0.86341158429737797</v>
      </c>
      <c r="F200" s="75">
        <f t="shared" si="89"/>
        <v>0.12496298202564052</v>
      </c>
      <c r="G200" s="75">
        <f t="shared" si="91"/>
        <v>8.5962982025640511E-2</v>
      </c>
      <c r="H200" s="75">
        <f t="shared" si="92"/>
        <v>0.11322143450168529</v>
      </c>
      <c r="I200" s="75">
        <f t="shared" si="93"/>
        <v>0.11615682138267411</v>
      </c>
    </row>
    <row r="201" spans="2:9" x14ac:dyDescent="0.2">
      <c r="B201" s="70" t="str">
        <f t="shared" ref="B201:C201" si="107">B165</f>
        <v>OGE Energy Corporation</v>
      </c>
      <c r="C201" s="84" t="str">
        <f t="shared" si="107"/>
        <v>OGE</v>
      </c>
      <c r="D201" s="75">
        <f t="shared" si="87"/>
        <v>3.9E-2</v>
      </c>
      <c r="E201" s="76">
        <f t="shared" si="88"/>
        <v>0.92891666893844937</v>
      </c>
      <c r="F201" s="75">
        <f t="shared" si="89"/>
        <v>0.12496298202564052</v>
      </c>
      <c r="G201" s="75">
        <f t="shared" si="91"/>
        <v>8.5962982025640511E-2</v>
      </c>
      <c r="H201" s="75">
        <f t="shared" si="92"/>
        <v>0.11885244691527377</v>
      </c>
      <c r="I201" s="75">
        <f t="shared" si="93"/>
        <v>0.12038008069286546</v>
      </c>
    </row>
    <row r="202" spans="2:9" x14ac:dyDescent="0.2">
      <c r="B202" s="70" t="str">
        <f t="shared" ref="B202:C202" si="108">B166</f>
        <v>Otter Tail Corporation</v>
      </c>
      <c r="C202" s="84" t="str">
        <f t="shared" si="108"/>
        <v>OTTR</v>
      </c>
      <c r="D202" s="75">
        <f t="shared" si="87"/>
        <v>3.9E-2</v>
      </c>
      <c r="E202" s="76">
        <f t="shared" si="88"/>
        <v>0.88234791148372727</v>
      </c>
      <c r="F202" s="75">
        <f t="shared" si="89"/>
        <v>0.12496298202564052</v>
      </c>
      <c r="G202" s="75">
        <f t="shared" si="91"/>
        <v>8.5962982025640511E-2</v>
      </c>
      <c r="H202" s="75">
        <f t="shared" si="92"/>
        <v>0.1148492576552371</v>
      </c>
      <c r="I202" s="75">
        <f t="shared" si="93"/>
        <v>0.11737768874783794</v>
      </c>
    </row>
    <row r="203" spans="2:9" x14ac:dyDescent="0.2">
      <c r="B203" s="70" t="str">
        <f t="shared" ref="B203:C203" si="109">B167</f>
        <v>Portland General Electric Company</v>
      </c>
      <c r="C203" s="84" t="str">
        <f t="shared" si="109"/>
        <v>POR</v>
      </c>
      <c r="D203" s="75">
        <f t="shared" si="87"/>
        <v>3.9E-2</v>
      </c>
      <c r="E203" s="76">
        <f t="shared" si="88"/>
        <v>0.78621016756976703</v>
      </c>
      <c r="F203" s="75">
        <f t="shared" si="89"/>
        <v>0.12496298202564052</v>
      </c>
      <c r="G203" s="75">
        <f t="shared" si="91"/>
        <v>8.5962982025640511E-2</v>
      </c>
      <c r="H203" s="75">
        <f t="shared" si="92"/>
        <v>0.1065849705031757</v>
      </c>
      <c r="I203" s="75">
        <f t="shared" si="93"/>
        <v>0.11117947338379192</v>
      </c>
    </row>
    <row r="204" spans="2:9" x14ac:dyDescent="0.2">
      <c r="B204" s="70" t="str">
        <f t="shared" ref="B204:C204" si="110">B168</f>
        <v>Southern Company</v>
      </c>
      <c r="C204" s="84" t="str">
        <f t="shared" si="110"/>
        <v>SO</v>
      </c>
      <c r="D204" s="75">
        <f t="shared" si="87"/>
        <v>3.9E-2</v>
      </c>
      <c r="E204" s="76">
        <f t="shared" si="88"/>
        <v>0.77907482315997834</v>
      </c>
      <c r="F204" s="75">
        <f t="shared" si="89"/>
        <v>0.12496298202564052</v>
      </c>
      <c r="G204" s="75">
        <f t="shared" si="91"/>
        <v>8.5962982025640511E-2</v>
      </c>
      <c r="H204" s="75">
        <f t="shared" si="92"/>
        <v>0.10597159501993028</v>
      </c>
      <c r="I204" s="75">
        <f t="shared" si="93"/>
        <v>0.11071944177135784</v>
      </c>
    </row>
    <row r="205" spans="2:9" x14ac:dyDescent="0.2">
      <c r="B205" s="70" t="str">
        <f t="shared" ref="B205:C205" si="111">B169</f>
        <v>Xcel Energy Inc.</v>
      </c>
      <c r="C205" s="84" t="str">
        <f t="shared" si="111"/>
        <v>XEL</v>
      </c>
      <c r="D205" s="75">
        <f t="shared" si="87"/>
        <v>3.9E-2</v>
      </c>
      <c r="E205" s="76">
        <f t="shared" si="88"/>
        <v>0.74822259344446707</v>
      </c>
      <c r="F205" s="75">
        <f t="shared" si="89"/>
        <v>0.12496298202564052</v>
      </c>
      <c r="G205" s="75">
        <f t="shared" si="91"/>
        <v>8.5962982025640511E-2</v>
      </c>
      <c r="H205" s="75">
        <f t="shared" si="92"/>
        <v>0.10331944535144486</v>
      </c>
      <c r="I205" s="75">
        <f t="shared" si="93"/>
        <v>0.10873032951999376</v>
      </c>
    </row>
    <row r="206" spans="2:9" x14ac:dyDescent="0.2">
      <c r="B206" s="78" t="s">
        <v>4</v>
      </c>
      <c r="C206" s="78"/>
      <c r="D206" s="78"/>
      <c r="E206" s="74"/>
      <c r="F206" s="78"/>
      <c r="G206" s="78"/>
      <c r="H206" s="79">
        <f>AVERAGE(H189:H205)</f>
        <v>0.10806404506188833</v>
      </c>
      <c r="I206" s="79">
        <f>AVERAGE(I189:I205)</f>
        <v>0.11228877930282638</v>
      </c>
    </row>
    <row r="207" spans="2:9" ht="13.5" thickBot="1" x14ac:dyDescent="0.25">
      <c r="B207" s="80" t="s">
        <v>13</v>
      </c>
      <c r="C207" s="80"/>
      <c r="D207" s="80"/>
      <c r="E207" s="81"/>
      <c r="F207" s="80"/>
      <c r="G207" s="80"/>
      <c r="H207" s="82">
        <f>MEDIAN(H189:H205)</f>
        <v>0.1067107367170958</v>
      </c>
      <c r="I207" s="82">
        <f>MEDIAN(I189:I205)</f>
        <v>0.11127379804423196</v>
      </c>
    </row>
    <row r="209" spans="2:9" x14ac:dyDescent="0.2">
      <c r="B209" s="83" t="s">
        <v>88</v>
      </c>
    </row>
    <row r="210" spans="2:9" x14ac:dyDescent="0.2">
      <c r="B210" s="70" t="str">
        <f>B102</f>
        <v>[1] Source: Blue Chip Financial Forecasts, Vol. 41, No. 12, December 2, 2022, at 14</v>
      </c>
    </row>
    <row r="211" spans="2:9" x14ac:dyDescent="0.2">
      <c r="B211" s="70" t="str">
        <f>B139</f>
        <v>[2] Source: Bloomberg Professional, based on 10-year weekly returns</v>
      </c>
    </row>
    <row r="212" spans="2:9" x14ac:dyDescent="0.2">
      <c r="B212" s="70" t="str">
        <f>$B$32</f>
        <v>[3] Source: Market Return</v>
      </c>
    </row>
    <row r="213" spans="2:9" x14ac:dyDescent="0.2">
      <c r="B213" s="70" t="s">
        <v>129</v>
      </c>
    </row>
    <row r="214" spans="2:9" x14ac:dyDescent="0.2">
      <c r="B214" s="70" t="s">
        <v>130</v>
      </c>
    </row>
    <row r="215" spans="2:9" x14ac:dyDescent="0.2">
      <c r="B215" s="70" t="s">
        <v>131</v>
      </c>
    </row>
    <row r="218" spans="2:9" ht="13.15" customHeight="1" x14ac:dyDescent="0.2">
      <c r="B218" s="354" t="s">
        <v>139</v>
      </c>
      <c r="C218" s="354"/>
      <c r="D218" s="354"/>
      <c r="E218" s="354"/>
      <c r="F218" s="354"/>
      <c r="G218" s="354"/>
      <c r="H218" s="354"/>
      <c r="I218" s="354"/>
    </row>
    <row r="220" spans="2:9" x14ac:dyDescent="0.2">
      <c r="B220" s="354" t="s">
        <v>120</v>
      </c>
      <c r="C220" s="354"/>
      <c r="D220" s="354"/>
      <c r="E220" s="354"/>
      <c r="F220" s="354"/>
      <c r="G220" s="354"/>
      <c r="H220" s="354"/>
      <c r="I220" s="354"/>
    </row>
    <row r="221" spans="2:9" x14ac:dyDescent="0.2">
      <c r="B221" s="354" t="s">
        <v>121</v>
      </c>
      <c r="C221" s="354"/>
      <c r="D221" s="354"/>
      <c r="E221" s="354"/>
      <c r="F221" s="354"/>
      <c r="G221" s="354"/>
      <c r="H221" s="354"/>
      <c r="I221" s="354"/>
    </row>
    <row r="223" spans="2:9" ht="13.5" thickBot="1" x14ac:dyDescent="0.25">
      <c r="D223" s="71" t="s">
        <v>28</v>
      </c>
      <c r="E223" s="71" t="s">
        <v>29</v>
      </c>
      <c r="F223" s="71" t="s">
        <v>30</v>
      </c>
      <c r="G223" s="71" t="s">
        <v>31</v>
      </c>
      <c r="H223" s="71" t="s">
        <v>32</v>
      </c>
      <c r="I223" s="71" t="s">
        <v>33</v>
      </c>
    </row>
    <row r="224" spans="2:9" ht="51" x14ac:dyDescent="0.2">
      <c r="B224" s="23" t="s">
        <v>34</v>
      </c>
      <c r="C224" s="23" t="s">
        <v>35</v>
      </c>
      <c r="D224" s="24" t="str">
        <f t="shared" ref="D224:D241" si="112">D116</f>
        <v>Current 30-day average of 30-year U.S. Treasury bond yield</v>
      </c>
      <c r="E224" s="24" t="s">
        <v>123</v>
      </c>
      <c r="F224" s="24" t="s">
        <v>124</v>
      </c>
      <c r="G224" s="24" t="s">
        <v>125</v>
      </c>
      <c r="H224" s="72" t="s">
        <v>126</v>
      </c>
      <c r="I224" s="72" t="s">
        <v>127</v>
      </c>
    </row>
    <row r="225" spans="2:9" x14ac:dyDescent="0.2">
      <c r="B225" s="70" t="str">
        <f>B189</f>
        <v>ALLETE, Inc.</v>
      </c>
      <c r="C225" s="84" t="str">
        <f>C189</f>
        <v>ALE</v>
      </c>
      <c r="D225" s="75">
        <f t="shared" si="112"/>
        <v>3.7090000000000005E-2</v>
      </c>
      <c r="E225" s="136">
        <f>INDEX('Exh. No. AEB-8 LT Beta'!$M$6:$M$22,MATCH(C225,'Exh. No. AEB-8 LT Beta'!$B$6:$B$22,0))</f>
        <v>0.78500000000000014</v>
      </c>
      <c r="F225" s="75">
        <f t="shared" ref="F225:F241" si="113">F117</f>
        <v>0.12496298202564052</v>
      </c>
      <c r="G225" s="75">
        <f>F225-D225</f>
        <v>8.7872982025640506E-2</v>
      </c>
      <c r="H225" s="75">
        <f>IFERROR(G225*E225+D225,"")</f>
        <v>0.10607029089012782</v>
      </c>
      <c r="I225" s="75">
        <f>IFERROR((0.25*G225)+(0.75*E225*G225)+D225,"")</f>
        <v>0.110793463674006</v>
      </c>
    </row>
    <row r="226" spans="2:9" x14ac:dyDescent="0.2">
      <c r="B226" s="70" t="str">
        <f t="shared" ref="B226:C226" si="114">B190</f>
        <v>Alliant Energy Corporation</v>
      </c>
      <c r="C226" s="84" t="str">
        <f t="shared" si="114"/>
        <v>LNT</v>
      </c>
      <c r="D226" s="75">
        <f t="shared" si="112"/>
        <v>3.7090000000000005E-2</v>
      </c>
      <c r="E226" s="137">
        <f>INDEX('Exh. No. AEB-8 LT Beta'!$M$6:$M$22,MATCH(C226,'Exh. No. AEB-8 LT Beta'!$B$6:$B$22,0))</f>
        <v>0.74999999999999978</v>
      </c>
      <c r="F226" s="75">
        <f t="shared" si="113"/>
        <v>0.12496298202564052</v>
      </c>
      <c r="G226" s="75">
        <f t="shared" ref="G226:G241" si="115">F226-D226</f>
        <v>8.7872982025640506E-2</v>
      </c>
      <c r="H226" s="75">
        <f t="shared" ref="H226:H241" si="116">IFERROR(G226*E226+D226,"")</f>
        <v>0.10299473651923036</v>
      </c>
      <c r="I226" s="75">
        <f t="shared" ref="I226:I241" si="117">IFERROR((0.25*G226)+(0.75*E226*G226)+D226,"")</f>
        <v>0.1084867978958329</v>
      </c>
    </row>
    <row r="227" spans="2:9" x14ac:dyDescent="0.2">
      <c r="B227" s="70" t="str">
        <f t="shared" ref="B227:C227" si="118">B191</f>
        <v>Ameren Corporation</v>
      </c>
      <c r="C227" s="84" t="str">
        <f t="shared" si="118"/>
        <v>AEE</v>
      </c>
      <c r="D227" s="75">
        <f t="shared" si="112"/>
        <v>3.7090000000000005E-2</v>
      </c>
      <c r="E227" s="137">
        <f>INDEX('Exh. No. AEB-8 LT Beta'!$M$6:$M$22,MATCH(C227,'Exh. No. AEB-8 LT Beta'!$B$6:$B$22,0))</f>
        <v>0.72499999999999987</v>
      </c>
      <c r="F227" s="75">
        <f t="shared" si="113"/>
        <v>0.12496298202564052</v>
      </c>
      <c r="G227" s="75">
        <f t="shared" si="115"/>
        <v>8.7872982025640506E-2</v>
      </c>
      <c r="H227" s="75">
        <f t="shared" si="116"/>
        <v>0.10079791196858937</v>
      </c>
      <c r="I227" s="75">
        <f t="shared" si="117"/>
        <v>0.10683917948285215</v>
      </c>
    </row>
    <row r="228" spans="2:9" x14ac:dyDescent="0.2">
      <c r="B228" s="70" t="str">
        <f t="shared" ref="B228:C228" si="119">B192</f>
        <v>American Electric Power Company, Inc.</v>
      </c>
      <c r="C228" s="84" t="str">
        <f t="shared" si="119"/>
        <v>AEP</v>
      </c>
      <c r="D228" s="75">
        <f t="shared" si="112"/>
        <v>3.7090000000000005E-2</v>
      </c>
      <c r="E228" s="137">
        <f>INDEX('Exh. No. AEB-8 LT Beta'!$M$6:$M$22,MATCH(C228,'Exh. No. AEB-8 LT Beta'!$B$6:$B$22,0))</f>
        <v>0.67499999999999993</v>
      </c>
      <c r="F228" s="75">
        <f t="shared" si="113"/>
        <v>0.12496298202564052</v>
      </c>
      <c r="G228" s="75">
        <f t="shared" si="115"/>
        <v>8.7872982025640506E-2</v>
      </c>
      <c r="H228" s="75">
        <f t="shared" si="116"/>
        <v>9.6404262867307342E-2</v>
      </c>
      <c r="I228" s="75">
        <f t="shared" si="117"/>
        <v>0.10354394265689063</v>
      </c>
    </row>
    <row r="229" spans="2:9" x14ac:dyDescent="0.2">
      <c r="B229" s="70" t="str">
        <f t="shared" ref="B229:C229" si="120">B193</f>
        <v>Avista Corporation</v>
      </c>
      <c r="C229" s="84" t="str">
        <f t="shared" si="120"/>
        <v>AVA</v>
      </c>
      <c r="D229" s="75">
        <f t="shared" si="112"/>
        <v>3.7090000000000005E-2</v>
      </c>
      <c r="E229" s="137">
        <f>INDEX('Exh. No. AEB-8 LT Beta'!$M$6:$M$22,MATCH(C229,'Exh. No. AEB-8 LT Beta'!$B$6:$B$22,0))</f>
        <v>0.78500000000000003</v>
      </c>
      <c r="F229" s="75">
        <f t="shared" si="113"/>
        <v>0.12496298202564052</v>
      </c>
      <c r="G229" s="75">
        <f t="shared" si="115"/>
        <v>8.7872982025640506E-2</v>
      </c>
      <c r="H229" s="75">
        <f t="shared" si="116"/>
        <v>0.10607029089012782</v>
      </c>
      <c r="I229" s="75">
        <f t="shared" si="117"/>
        <v>0.11079346367400597</v>
      </c>
    </row>
    <row r="230" spans="2:9" x14ac:dyDescent="0.2">
      <c r="B230" s="70" t="str">
        <f t="shared" ref="B230:C230" si="121">B194</f>
        <v>CMS Energy Corporation</v>
      </c>
      <c r="C230" s="84" t="str">
        <f t="shared" si="121"/>
        <v>CMS</v>
      </c>
      <c r="D230" s="75">
        <f t="shared" si="112"/>
        <v>3.7090000000000005E-2</v>
      </c>
      <c r="E230" s="137">
        <f>INDEX('Exh. No. AEB-8 LT Beta'!$M$6:$M$22,MATCH(C230,'Exh. No. AEB-8 LT Beta'!$B$6:$B$22,0))</f>
        <v>0.69</v>
      </c>
      <c r="F230" s="75">
        <f t="shared" si="113"/>
        <v>0.12496298202564052</v>
      </c>
      <c r="G230" s="75">
        <f t="shared" si="115"/>
        <v>8.7872982025640506E-2</v>
      </c>
      <c r="H230" s="75">
        <f t="shared" si="116"/>
        <v>9.7722357597691947E-2</v>
      </c>
      <c r="I230" s="75">
        <f t="shared" si="117"/>
        <v>0.10453251370467909</v>
      </c>
    </row>
    <row r="231" spans="2:9" x14ac:dyDescent="0.2">
      <c r="B231" s="70" t="str">
        <f t="shared" ref="B231:C231" si="122">B195</f>
        <v>Duke Energy Corporation</v>
      </c>
      <c r="C231" s="84" t="str">
        <f t="shared" si="122"/>
        <v>DUK</v>
      </c>
      <c r="D231" s="75">
        <f t="shared" si="112"/>
        <v>3.7090000000000005E-2</v>
      </c>
      <c r="E231" s="137">
        <f>INDEX('Exh. No. AEB-8 LT Beta'!$M$6:$M$22,MATCH(C231,'Exh. No. AEB-8 LT Beta'!$B$6:$B$22,0))</f>
        <v>0.66499999999999981</v>
      </c>
      <c r="F231" s="75">
        <f t="shared" si="113"/>
        <v>0.12496298202564052</v>
      </c>
      <c r="G231" s="75">
        <f t="shared" si="115"/>
        <v>8.7872982025640506E-2</v>
      </c>
      <c r="H231" s="75">
        <f t="shared" si="116"/>
        <v>9.5525533047050915E-2</v>
      </c>
      <c r="I231" s="75">
        <f t="shared" si="117"/>
        <v>0.10288489529169834</v>
      </c>
    </row>
    <row r="232" spans="2:9" x14ac:dyDescent="0.2">
      <c r="B232" s="70" t="str">
        <f t="shared" ref="B232:C232" si="123">B196</f>
        <v>Entergy Corporation</v>
      </c>
      <c r="C232" s="84" t="str">
        <f t="shared" si="123"/>
        <v>ETR</v>
      </c>
      <c r="D232" s="75">
        <f t="shared" si="112"/>
        <v>3.7090000000000005E-2</v>
      </c>
      <c r="E232" s="137">
        <f>INDEX('Exh. No. AEB-8 LT Beta'!$M$6:$M$22,MATCH(C232,'Exh. No. AEB-8 LT Beta'!$B$6:$B$22,0))</f>
        <v>0.745</v>
      </c>
      <c r="F232" s="75">
        <f t="shared" si="113"/>
        <v>0.12496298202564052</v>
      </c>
      <c r="G232" s="75">
        <f t="shared" si="115"/>
        <v>8.7872982025640506E-2</v>
      </c>
      <c r="H232" s="75">
        <f t="shared" si="116"/>
        <v>0.10255537160910219</v>
      </c>
      <c r="I232" s="75">
        <f t="shared" si="117"/>
        <v>0.10815727421323676</v>
      </c>
    </row>
    <row r="233" spans="2:9" x14ac:dyDescent="0.2">
      <c r="B233" s="70" t="str">
        <f t="shared" ref="B233:C233" si="124">B197</f>
        <v>Evergy, Inc.</v>
      </c>
      <c r="C233" s="84" t="str">
        <f t="shared" si="124"/>
        <v>EVRG</v>
      </c>
      <c r="D233" s="75">
        <f t="shared" si="112"/>
        <v>3.7090000000000005E-2</v>
      </c>
      <c r="E233" s="137">
        <f>INDEX('Exh. No. AEB-8 LT Beta'!$M$6:$M$22,MATCH(C233,'Exh. No. AEB-8 LT Beta'!$B$6:$B$22,0))</f>
        <v>0.95000000000000007</v>
      </c>
      <c r="F233" s="75">
        <f t="shared" si="113"/>
        <v>0.12496298202564052</v>
      </c>
      <c r="G233" s="75">
        <f t="shared" ref="G233" si="125">F233-D233</f>
        <v>8.7872982025640506E-2</v>
      </c>
      <c r="H233" s="75">
        <f t="shared" ref="H233" si="126">IFERROR(G233*E233+D233,"")</f>
        <v>0.12056933292435848</v>
      </c>
      <c r="I233" s="75">
        <f t="shared" ref="I233" si="127">IFERROR((0.25*G233)+(0.75*E233*G233)+D233,"")</f>
        <v>0.12166774519967899</v>
      </c>
    </row>
    <row r="234" spans="2:9" x14ac:dyDescent="0.2">
      <c r="B234" s="70" t="str">
        <f t="shared" ref="B234:C234" si="128">B198</f>
        <v>IDACORP, Inc.</v>
      </c>
      <c r="C234" s="84" t="str">
        <f t="shared" si="128"/>
        <v>IDA</v>
      </c>
      <c r="D234" s="75">
        <f t="shared" si="112"/>
        <v>3.7090000000000005E-2</v>
      </c>
      <c r="E234" s="137">
        <f>INDEX('Exh. No. AEB-8 LT Beta'!$M$6:$M$22,MATCH(C234,'Exh. No. AEB-8 LT Beta'!$B$6:$B$22,0))</f>
        <v>0.72999999999999987</v>
      </c>
      <c r="F234" s="75">
        <f t="shared" si="113"/>
        <v>0.12496298202564052</v>
      </c>
      <c r="G234" s="75">
        <f t="shared" si="115"/>
        <v>8.7872982025640506E-2</v>
      </c>
      <c r="H234" s="75">
        <f t="shared" si="116"/>
        <v>0.10123727687871756</v>
      </c>
      <c r="I234" s="75">
        <f t="shared" si="117"/>
        <v>0.1071687031654483</v>
      </c>
    </row>
    <row r="235" spans="2:9" x14ac:dyDescent="0.2">
      <c r="B235" s="70" t="str">
        <f t="shared" ref="B235:C235" si="129">B199</f>
        <v>NextEra Energy, Inc.</v>
      </c>
      <c r="C235" s="84" t="str">
        <f t="shared" si="129"/>
        <v>NEE</v>
      </c>
      <c r="D235" s="75">
        <f t="shared" si="112"/>
        <v>3.7090000000000005E-2</v>
      </c>
      <c r="E235" s="137">
        <f>INDEX('Exh. No. AEB-8 LT Beta'!$M$6:$M$22,MATCH(C235,'Exh. No. AEB-8 LT Beta'!$B$6:$B$22,0))</f>
        <v>0.73000000000000009</v>
      </c>
      <c r="F235" s="75">
        <f t="shared" si="113"/>
        <v>0.12496298202564052</v>
      </c>
      <c r="G235" s="75">
        <f t="shared" si="115"/>
        <v>8.7872982025640506E-2</v>
      </c>
      <c r="H235" s="75">
        <f t="shared" si="116"/>
        <v>0.10123727687871759</v>
      </c>
      <c r="I235" s="75">
        <f t="shared" si="117"/>
        <v>0.10716870316544833</v>
      </c>
    </row>
    <row r="236" spans="2:9" x14ac:dyDescent="0.2">
      <c r="B236" s="70" t="str">
        <f t="shared" ref="B236:C236" si="130">B200</f>
        <v>NorthWestern Corporation</v>
      </c>
      <c r="C236" s="84" t="str">
        <f t="shared" si="130"/>
        <v>NWE</v>
      </c>
      <c r="D236" s="75">
        <f t="shared" si="112"/>
        <v>3.7090000000000005E-2</v>
      </c>
      <c r="E236" s="137">
        <f>INDEX('Exh. No. AEB-8 LT Beta'!$M$6:$M$22,MATCH(C236,'Exh. No. AEB-8 LT Beta'!$B$6:$B$22,0))</f>
        <v>0.745</v>
      </c>
      <c r="F236" s="75">
        <f t="shared" si="113"/>
        <v>0.12496298202564052</v>
      </c>
      <c r="G236" s="75">
        <f t="shared" si="115"/>
        <v>8.7872982025640506E-2</v>
      </c>
      <c r="H236" s="75">
        <f t="shared" si="116"/>
        <v>0.10255537160910219</v>
      </c>
      <c r="I236" s="75">
        <f t="shared" si="117"/>
        <v>0.10815727421323676</v>
      </c>
    </row>
    <row r="237" spans="2:9" x14ac:dyDescent="0.2">
      <c r="B237" s="70" t="str">
        <f t="shared" ref="B237:C237" si="131">B201</f>
        <v>OGE Energy Corporation</v>
      </c>
      <c r="C237" s="84" t="str">
        <f t="shared" si="131"/>
        <v>OGE</v>
      </c>
      <c r="D237" s="75">
        <f t="shared" si="112"/>
        <v>3.7090000000000005E-2</v>
      </c>
      <c r="E237" s="137">
        <f>INDEX('Exh. No. AEB-8 LT Beta'!$M$6:$M$22,MATCH(C237,'Exh. No. AEB-8 LT Beta'!$B$6:$B$22,0))</f>
        <v>0.93</v>
      </c>
      <c r="F237" s="75">
        <f t="shared" si="113"/>
        <v>0.12496298202564052</v>
      </c>
      <c r="G237" s="75">
        <f t="shared" si="115"/>
        <v>8.7872982025640506E-2</v>
      </c>
      <c r="H237" s="75">
        <f t="shared" si="116"/>
        <v>0.11881187328384568</v>
      </c>
      <c r="I237" s="75">
        <f t="shared" si="117"/>
        <v>0.12034965046929438</v>
      </c>
    </row>
    <row r="238" spans="2:9" x14ac:dyDescent="0.2">
      <c r="B238" s="70" t="str">
        <f t="shared" ref="B238:C238" si="132">B202</f>
        <v>Otter Tail Corporation</v>
      </c>
      <c r="C238" s="84" t="str">
        <f t="shared" si="132"/>
        <v>OTTR</v>
      </c>
      <c r="D238" s="75">
        <f t="shared" si="112"/>
        <v>3.7090000000000005E-2</v>
      </c>
      <c r="E238" s="137">
        <f>INDEX('Exh. No. AEB-8 LT Beta'!$M$6:$M$22,MATCH(C238,'Exh. No. AEB-8 LT Beta'!$B$6:$B$22,0))</f>
        <v>0.85</v>
      </c>
      <c r="F238" s="75">
        <f t="shared" si="113"/>
        <v>0.12496298202564052</v>
      </c>
      <c r="G238" s="75">
        <f t="shared" si="115"/>
        <v>8.7872982025640506E-2</v>
      </c>
      <c r="H238" s="75">
        <f t="shared" si="116"/>
        <v>0.11178203472179443</v>
      </c>
      <c r="I238" s="75">
        <f t="shared" si="117"/>
        <v>0.11507727154775596</v>
      </c>
    </row>
    <row r="239" spans="2:9" x14ac:dyDescent="0.2">
      <c r="B239" s="70" t="str">
        <f t="shared" ref="B239:C239" si="133">B203</f>
        <v>Portland General Electric Company</v>
      </c>
      <c r="C239" s="84" t="str">
        <f t="shared" si="133"/>
        <v>POR</v>
      </c>
      <c r="D239" s="75">
        <f t="shared" si="112"/>
        <v>3.7090000000000005E-2</v>
      </c>
      <c r="E239" s="137">
        <f>INDEX('Exh. No. AEB-8 LT Beta'!$M$6:$M$22,MATCH(C239,'Exh. No. AEB-8 LT Beta'!$B$6:$B$22,0))</f>
        <v>0.74999999999999989</v>
      </c>
      <c r="F239" s="75">
        <f t="shared" si="113"/>
        <v>0.12496298202564052</v>
      </c>
      <c r="G239" s="75">
        <f t="shared" si="115"/>
        <v>8.7872982025640506E-2</v>
      </c>
      <c r="H239" s="75">
        <f t="shared" si="116"/>
        <v>0.10299473651923038</v>
      </c>
      <c r="I239" s="75">
        <f t="shared" si="117"/>
        <v>0.1084867978958329</v>
      </c>
    </row>
    <row r="240" spans="2:9" x14ac:dyDescent="0.2">
      <c r="B240" s="70" t="str">
        <f t="shared" ref="B240:C240" si="134">B204</f>
        <v>Southern Company</v>
      </c>
      <c r="C240" s="84" t="str">
        <f t="shared" si="134"/>
        <v>SO</v>
      </c>
      <c r="D240" s="75">
        <f t="shared" si="112"/>
        <v>3.7090000000000005E-2</v>
      </c>
      <c r="E240" s="137">
        <f>INDEX('Exh. No. AEB-8 LT Beta'!$M$6:$M$22,MATCH(C240,'Exh. No. AEB-8 LT Beta'!$B$6:$B$22,0))</f>
        <v>0.65500000000000003</v>
      </c>
      <c r="F240" s="75">
        <f t="shared" si="113"/>
        <v>0.12496298202564052</v>
      </c>
      <c r="G240" s="75">
        <f t="shared" si="115"/>
        <v>8.7872982025640506E-2</v>
      </c>
      <c r="H240" s="75">
        <f t="shared" si="116"/>
        <v>9.4646803226794529E-2</v>
      </c>
      <c r="I240" s="75">
        <f t="shared" si="117"/>
        <v>0.10222584792650605</v>
      </c>
    </row>
    <row r="241" spans="2:9" x14ac:dyDescent="0.2">
      <c r="B241" s="70" t="str">
        <f t="shared" ref="B241:C241" si="135">B205</f>
        <v>Xcel Energy Inc.</v>
      </c>
      <c r="C241" s="84" t="str">
        <f t="shared" si="135"/>
        <v>XEL</v>
      </c>
      <c r="D241" s="75">
        <f t="shared" si="112"/>
        <v>3.7090000000000005E-2</v>
      </c>
      <c r="E241" s="85">
        <f>INDEX('Exh. No. AEB-8 LT Beta'!$M$6:$M$22,MATCH(C241,'Exh. No. AEB-8 LT Beta'!$B$6:$B$22,0))</f>
        <v>0.65500000000000003</v>
      </c>
      <c r="F241" s="75">
        <f t="shared" si="113"/>
        <v>0.12496298202564052</v>
      </c>
      <c r="G241" s="75">
        <f t="shared" si="115"/>
        <v>8.7872982025640506E-2</v>
      </c>
      <c r="H241" s="75">
        <f t="shared" si="116"/>
        <v>9.4646803226794529E-2</v>
      </c>
      <c r="I241" s="75">
        <f t="shared" si="117"/>
        <v>0.10222584792650605</v>
      </c>
    </row>
    <row r="242" spans="2:9" x14ac:dyDescent="0.2">
      <c r="B242" s="78" t="s">
        <v>4</v>
      </c>
      <c r="C242" s="78"/>
      <c r="D242" s="78"/>
      <c r="E242" s="76"/>
      <c r="F242" s="78"/>
      <c r="G242" s="78"/>
      <c r="H242" s="79">
        <f>AVERAGE(H225:H241)</f>
        <v>0.10333072145050487</v>
      </c>
      <c r="I242" s="79">
        <f>AVERAGE(I225:I241)</f>
        <v>0.1087387865942888</v>
      </c>
    </row>
    <row r="243" spans="2:9" ht="13.5" thickBot="1" x14ac:dyDescent="0.25">
      <c r="B243" s="80" t="s">
        <v>13</v>
      </c>
      <c r="C243" s="80"/>
      <c r="D243" s="80"/>
      <c r="E243" s="81"/>
      <c r="F243" s="80"/>
      <c r="G243" s="80"/>
      <c r="H243" s="82">
        <f>MEDIAN(H225:H241)</f>
        <v>0.10255537160910219</v>
      </c>
      <c r="I243" s="82">
        <f>MEDIAN(I225:I241)</f>
        <v>0.10815727421323676</v>
      </c>
    </row>
    <row r="245" spans="2:9" x14ac:dyDescent="0.2">
      <c r="B245" s="83" t="s">
        <v>88</v>
      </c>
    </row>
    <row r="246" spans="2:9" x14ac:dyDescent="0.2">
      <c r="B246" s="70" t="str">
        <f>B138</f>
        <v>[1] Source: Bloomberg Professional, as of Janaury 31, 2023</v>
      </c>
    </row>
    <row r="247" spans="2:9" x14ac:dyDescent="0.2">
      <c r="B247" s="70" t="s">
        <v>1327</v>
      </c>
    </row>
    <row r="248" spans="2:9" x14ac:dyDescent="0.2">
      <c r="B248" s="70" t="str">
        <f>$B$32</f>
        <v>[3] Source: Market Return</v>
      </c>
    </row>
    <row r="249" spans="2:9" x14ac:dyDescent="0.2">
      <c r="B249" s="70" t="s">
        <v>129</v>
      </c>
    </row>
    <row r="250" spans="2:9" x14ac:dyDescent="0.2">
      <c r="B250" s="70" t="s">
        <v>130</v>
      </c>
    </row>
    <row r="251" spans="2:9" x14ac:dyDescent="0.2">
      <c r="B251" s="70" t="s">
        <v>131</v>
      </c>
    </row>
    <row r="254" spans="2:9" ht="13.15" customHeight="1" x14ac:dyDescent="0.2">
      <c r="B254" s="354" t="s">
        <v>140</v>
      </c>
      <c r="C254" s="354"/>
      <c r="D254" s="354"/>
      <c r="E254" s="354"/>
      <c r="F254" s="354"/>
      <c r="G254" s="354"/>
      <c r="H254" s="354"/>
      <c r="I254" s="354"/>
    </row>
    <row r="256" spans="2:9" x14ac:dyDescent="0.2">
      <c r="B256" s="354" t="s">
        <v>120</v>
      </c>
      <c r="C256" s="354"/>
      <c r="D256" s="354"/>
      <c r="E256" s="354"/>
      <c r="F256" s="354"/>
      <c r="G256" s="354"/>
      <c r="H256" s="354"/>
      <c r="I256" s="354"/>
    </row>
    <row r="257" spans="2:12" x14ac:dyDescent="0.2">
      <c r="B257" s="354" t="s">
        <v>121</v>
      </c>
      <c r="C257" s="354"/>
      <c r="D257" s="354"/>
      <c r="E257" s="354"/>
      <c r="F257" s="354"/>
      <c r="G257" s="354"/>
      <c r="H257" s="354"/>
      <c r="I257" s="354"/>
    </row>
    <row r="259" spans="2:12" ht="13.5" thickBot="1" x14ac:dyDescent="0.25">
      <c r="D259" s="71" t="s">
        <v>28</v>
      </c>
      <c r="E259" s="71" t="s">
        <v>29</v>
      </c>
      <c r="F259" s="71" t="s">
        <v>30</v>
      </c>
      <c r="G259" s="71" t="s">
        <v>31</v>
      </c>
      <c r="H259" s="71" t="s">
        <v>32</v>
      </c>
      <c r="I259" s="71" t="s">
        <v>33</v>
      </c>
    </row>
    <row r="260" spans="2:12" ht="51" x14ac:dyDescent="0.2">
      <c r="B260" s="23" t="s">
        <v>34</v>
      </c>
      <c r="C260" s="23" t="s">
        <v>35</v>
      </c>
      <c r="D260" s="24" t="str">
        <f t="shared" ref="D260:D277" si="136">D152</f>
        <v>Near-term projected 30-year U.S. Treasury bond yield 
(Q2 2023 - Q2 2024)</v>
      </c>
      <c r="E260" s="24" t="s">
        <v>123</v>
      </c>
      <c r="F260" s="24" t="s">
        <v>124</v>
      </c>
      <c r="G260" s="24" t="s">
        <v>125</v>
      </c>
      <c r="H260" s="72" t="s">
        <v>126</v>
      </c>
      <c r="I260" s="72" t="s">
        <v>127</v>
      </c>
    </row>
    <row r="261" spans="2:12" x14ac:dyDescent="0.2">
      <c r="B261" s="70" t="str">
        <f>B225</f>
        <v>ALLETE, Inc.</v>
      </c>
      <c r="C261" s="84" t="str">
        <f>C225</f>
        <v>ALE</v>
      </c>
      <c r="D261" s="75">
        <f t="shared" si="136"/>
        <v>3.8199999999999998E-2</v>
      </c>
      <c r="E261" s="74">
        <f t="shared" ref="E261:E277" si="137">E225</f>
        <v>0.78500000000000014</v>
      </c>
      <c r="F261" s="79">
        <f t="shared" ref="F261:F277" si="138">F117</f>
        <v>0.12496298202564052</v>
      </c>
      <c r="G261" s="79">
        <f>F261-D261</f>
        <v>8.676298202564052E-2</v>
      </c>
      <c r="H261" s="79">
        <f>IFERROR(G261*E261+D261,"")</f>
        <v>0.10630894089012782</v>
      </c>
      <c r="I261" s="79">
        <f>IFERROR((0.25*G261)+(0.75*E261*G261)+D261,"")</f>
        <v>0.11097245117400599</v>
      </c>
      <c r="L261" s="86"/>
    </row>
    <row r="262" spans="2:12" x14ac:dyDescent="0.2">
      <c r="B262" s="70" t="str">
        <f t="shared" ref="B262:C262" si="139">B226</f>
        <v>Alliant Energy Corporation</v>
      </c>
      <c r="C262" s="84" t="str">
        <f t="shared" si="139"/>
        <v>LNT</v>
      </c>
      <c r="D262" s="75">
        <f t="shared" si="136"/>
        <v>3.8199999999999998E-2</v>
      </c>
      <c r="E262" s="87">
        <f t="shared" si="137"/>
        <v>0.74999999999999978</v>
      </c>
      <c r="F262" s="75">
        <f t="shared" si="138"/>
        <v>0.12496298202564052</v>
      </c>
      <c r="G262" s="75">
        <f t="shared" ref="G262:G277" si="140">F262-D262</f>
        <v>8.676298202564052E-2</v>
      </c>
      <c r="H262" s="75">
        <f t="shared" ref="H262:H277" si="141">IFERROR(G262*E262+D262,"")</f>
        <v>0.10327223651923037</v>
      </c>
      <c r="I262" s="75">
        <f t="shared" ref="I262:I277" si="142">IFERROR((0.25*G262)+(0.75*E262*G262)+D262,"")</f>
        <v>0.10869492289583291</v>
      </c>
    </row>
    <row r="263" spans="2:12" x14ac:dyDescent="0.2">
      <c r="B263" s="70" t="str">
        <f t="shared" ref="B263:C263" si="143">B227</f>
        <v>Ameren Corporation</v>
      </c>
      <c r="C263" s="84" t="str">
        <f t="shared" si="143"/>
        <v>AEE</v>
      </c>
      <c r="D263" s="75">
        <f t="shared" si="136"/>
        <v>3.8199999999999998E-2</v>
      </c>
      <c r="E263" s="87">
        <f t="shared" si="137"/>
        <v>0.72499999999999987</v>
      </c>
      <c r="F263" s="75">
        <f t="shared" si="138"/>
        <v>0.12496298202564052</v>
      </c>
      <c r="G263" s="75">
        <f t="shared" si="140"/>
        <v>8.676298202564052E-2</v>
      </c>
      <c r="H263" s="75">
        <f t="shared" si="141"/>
        <v>0.10110316196858936</v>
      </c>
      <c r="I263" s="75">
        <f t="shared" si="142"/>
        <v>0.10706811698285215</v>
      </c>
    </row>
    <row r="264" spans="2:12" x14ac:dyDescent="0.2">
      <c r="B264" s="70" t="str">
        <f t="shared" ref="B264:C264" si="144">B228</f>
        <v>American Electric Power Company, Inc.</v>
      </c>
      <c r="C264" s="84" t="str">
        <f t="shared" si="144"/>
        <v>AEP</v>
      </c>
      <c r="D264" s="75">
        <f t="shared" si="136"/>
        <v>3.8199999999999998E-2</v>
      </c>
      <c r="E264" s="87">
        <f t="shared" si="137"/>
        <v>0.67499999999999993</v>
      </c>
      <c r="F264" s="75">
        <f t="shared" si="138"/>
        <v>0.12496298202564052</v>
      </c>
      <c r="G264" s="75">
        <f t="shared" si="140"/>
        <v>8.676298202564052E-2</v>
      </c>
      <c r="H264" s="75">
        <f t="shared" si="141"/>
        <v>9.6765012867307348E-2</v>
      </c>
      <c r="I264" s="75">
        <f t="shared" si="142"/>
        <v>0.10381450515689064</v>
      </c>
    </row>
    <row r="265" spans="2:12" x14ac:dyDescent="0.2">
      <c r="B265" s="70" t="str">
        <f t="shared" ref="B265:C265" si="145">B229</f>
        <v>Avista Corporation</v>
      </c>
      <c r="C265" s="84" t="str">
        <f t="shared" si="145"/>
        <v>AVA</v>
      </c>
      <c r="D265" s="75">
        <f t="shared" si="136"/>
        <v>3.8199999999999998E-2</v>
      </c>
      <c r="E265" s="87">
        <f t="shared" si="137"/>
        <v>0.78500000000000003</v>
      </c>
      <c r="F265" s="75">
        <f t="shared" si="138"/>
        <v>0.12496298202564052</v>
      </c>
      <c r="G265" s="75">
        <f t="shared" si="140"/>
        <v>8.676298202564052E-2</v>
      </c>
      <c r="H265" s="75">
        <f t="shared" si="141"/>
        <v>0.10630894089012781</v>
      </c>
      <c r="I265" s="75">
        <f t="shared" si="142"/>
        <v>0.11097245117400599</v>
      </c>
    </row>
    <row r="266" spans="2:12" x14ac:dyDescent="0.2">
      <c r="B266" s="70" t="str">
        <f t="shared" ref="B266:C266" si="146">B230</f>
        <v>CMS Energy Corporation</v>
      </c>
      <c r="C266" s="84" t="str">
        <f t="shared" si="146"/>
        <v>CMS</v>
      </c>
      <c r="D266" s="75">
        <f t="shared" si="136"/>
        <v>3.8199999999999998E-2</v>
      </c>
      <c r="E266" s="87">
        <f t="shared" si="137"/>
        <v>0.69</v>
      </c>
      <c r="F266" s="75">
        <f t="shared" si="138"/>
        <v>0.12496298202564052</v>
      </c>
      <c r="G266" s="75">
        <f t="shared" si="140"/>
        <v>8.676298202564052E-2</v>
      </c>
      <c r="H266" s="75">
        <f t="shared" si="141"/>
        <v>9.8066457597691947E-2</v>
      </c>
      <c r="I266" s="75">
        <f t="shared" si="142"/>
        <v>0.1047905887046791</v>
      </c>
    </row>
    <row r="267" spans="2:12" x14ac:dyDescent="0.2">
      <c r="B267" s="70" t="str">
        <f t="shared" ref="B267:C267" si="147">B231</f>
        <v>Duke Energy Corporation</v>
      </c>
      <c r="C267" s="84" t="str">
        <f t="shared" si="147"/>
        <v>DUK</v>
      </c>
      <c r="D267" s="75">
        <f t="shared" si="136"/>
        <v>3.8199999999999998E-2</v>
      </c>
      <c r="E267" s="87">
        <f t="shared" si="137"/>
        <v>0.66499999999999981</v>
      </c>
      <c r="F267" s="75">
        <f t="shared" si="138"/>
        <v>0.12496298202564052</v>
      </c>
      <c r="G267" s="75">
        <f t="shared" si="140"/>
        <v>8.676298202564052E-2</v>
      </c>
      <c r="H267" s="75">
        <f t="shared" si="141"/>
        <v>9.5897383047050921E-2</v>
      </c>
      <c r="I267" s="75">
        <f t="shared" si="142"/>
        <v>0.10316378279169833</v>
      </c>
    </row>
    <row r="268" spans="2:12" x14ac:dyDescent="0.2">
      <c r="B268" s="70" t="str">
        <f t="shared" ref="B268:C268" si="148">B232</f>
        <v>Entergy Corporation</v>
      </c>
      <c r="C268" s="84" t="str">
        <f t="shared" si="148"/>
        <v>ETR</v>
      </c>
      <c r="D268" s="75">
        <f t="shared" si="136"/>
        <v>3.8199999999999998E-2</v>
      </c>
      <c r="E268" s="87">
        <f t="shared" si="137"/>
        <v>0.745</v>
      </c>
      <c r="F268" s="75">
        <f t="shared" si="138"/>
        <v>0.12496298202564052</v>
      </c>
      <c r="G268" s="75">
        <f t="shared" si="140"/>
        <v>8.676298202564052E-2</v>
      </c>
      <c r="H268" s="75">
        <f t="shared" si="141"/>
        <v>0.10283842160910218</v>
      </c>
      <c r="I268" s="75">
        <f t="shared" si="142"/>
        <v>0.10836956171323676</v>
      </c>
    </row>
    <row r="269" spans="2:12" x14ac:dyDescent="0.2">
      <c r="B269" s="70" t="str">
        <f t="shared" ref="B269:C269" si="149">B233</f>
        <v>Evergy, Inc.</v>
      </c>
      <c r="C269" s="84" t="str">
        <f t="shared" si="149"/>
        <v>EVRG</v>
      </c>
      <c r="D269" s="75">
        <f t="shared" si="136"/>
        <v>3.8199999999999998E-2</v>
      </c>
      <c r="E269" s="87">
        <f t="shared" si="137"/>
        <v>0.95000000000000007</v>
      </c>
      <c r="F269" s="75">
        <f t="shared" si="138"/>
        <v>0.12496298202564052</v>
      </c>
      <c r="G269" s="75">
        <f t="shared" ref="G269" si="150">F269-D269</f>
        <v>8.676298202564052E-2</v>
      </c>
      <c r="H269" s="75">
        <f t="shared" ref="H269" si="151">IFERROR(G269*E269+D269,"")</f>
        <v>0.12062483292435849</v>
      </c>
      <c r="I269" s="75">
        <f t="shared" ref="I269" si="152">IFERROR((0.25*G269)+(0.75*E269*G269)+D269,"")</f>
        <v>0.12170937019967901</v>
      </c>
    </row>
    <row r="270" spans="2:12" x14ac:dyDescent="0.2">
      <c r="B270" s="70" t="str">
        <f t="shared" ref="B270:C270" si="153">B234</f>
        <v>IDACORP, Inc.</v>
      </c>
      <c r="C270" s="84" t="str">
        <f t="shared" si="153"/>
        <v>IDA</v>
      </c>
      <c r="D270" s="75">
        <f t="shared" si="136"/>
        <v>3.8199999999999998E-2</v>
      </c>
      <c r="E270" s="87">
        <f t="shared" si="137"/>
        <v>0.72999999999999987</v>
      </c>
      <c r="F270" s="75">
        <f t="shared" si="138"/>
        <v>0.12496298202564052</v>
      </c>
      <c r="G270" s="75">
        <f t="shared" si="140"/>
        <v>8.676298202564052E-2</v>
      </c>
      <c r="H270" s="75">
        <f t="shared" si="141"/>
        <v>0.10153697687871757</v>
      </c>
      <c r="I270" s="75">
        <f t="shared" si="142"/>
        <v>0.10739347816544831</v>
      </c>
    </row>
    <row r="271" spans="2:12" x14ac:dyDescent="0.2">
      <c r="B271" s="70" t="str">
        <f t="shared" ref="B271:C271" si="154">B235</f>
        <v>NextEra Energy, Inc.</v>
      </c>
      <c r="C271" s="84" t="str">
        <f t="shared" si="154"/>
        <v>NEE</v>
      </c>
      <c r="D271" s="75">
        <f t="shared" si="136"/>
        <v>3.8199999999999998E-2</v>
      </c>
      <c r="E271" s="87">
        <f t="shared" si="137"/>
        <v>0.73000000000000009</v>
      </c>
      <c r="F271" s="75">
        <f t="shared" si="138"/>
        <v>0.12496298202564052</v>
      </c>
      <c r="G271" s="75">
        <f t="shared" si="140"/>
        <v>8.676298202564052E-2</v>
      </c>
      <c r="H271" s="75">
        <f t="shared" si="141"/>
        <v>0.10153697687871759</v>
      </c>
      <c r="I271" s="75">
        <f t="shared" si="142"/>
        <v>0.10739347816544832</v>
      </c>
    </row>
    <row r="272" spans="2:12" x14ac:dyDescent="0.2">
      <c r="B272" s="70" t="str">
        <f t="shared" ref="B272:C272" si="155">B236</f>
        <v>NorthWestern Corporation</v>
      </c>
      <c r="C272" s="84" t="str">
        <f t="shared" si="155"/>
        <v>NWE</v>
      </c>
      <c r="D272" s="75">
        <f t="shared" si="136"/>
        <v>3.8199999999999998E-2</v>
      </c>
      <c r="E272" s="87">
        <f t="shared" si="137"/>
        <v>0.745</v>
      </c>
      <c r="F272" s="75">
        <f t="shared" si="138"/>
        <v>0.12496298202564052</v>
      </c>
      <c r="G272" s="75">
        <f t="shared" si="140"/>
        <v>8.676298202564052E-2</v>
      </c>
      <c r="H272" s="75">
        <f t="shared" si="141"/>
        <v>0.10283842160910218</v>
      </c>
      <c r="I272" s="75">
        <f t="shared" si="142"/>
        <v>0.10836956171323676</v>
      </c>
    </row>
    <row r="273" spans="2:9" x14ac:dyDescent="0.2">
      <c r="B273" s="70" t="str">
        <f t="shared" ref="B273:C273" si="156">B237</f>
        <v>OGE Energy Corporation</v>
      </c>
      <c r="C273" s="84" t="str">
        <f t="shared" si="156"/>
        <v>OGE</v>
      </c>
      <c r="D273" s="75">
        <f t="shared" si="136"/>
        <v>3.8199999999999998E-2</v>
      </c>
      <c r="E273" s="87">
        <f t="shared" si="137"/>
        <v>0.93</v>
      </c>
      <c r="F273" s="75">
        <f t="shared" si="138"/>
        <v>0.12496298202564052</v>
      </c>
      <c r="G273" s="75">
        <f t="shared" si="140"/>
        <v>8.676298202564052E-2</v>
      </c>
      <c r="H273" s="75">
        <f t="shared" si="141"/>
        <v>0.11888957328384568</v>
      </c>
      <c r="I273" s="75">
        <f t="shared" si="142"/>
        <v>0.12040792546929439</v>
      </c>
    </row>
    <row r="274" spans="2:9" x14ac:dyDescent="0.2">
      <c r="B274" s="70" t="str">
        <f t="shared" ref="B274:C274" si="157">B238</f>
        <v>Otter Tail Corporation</v>
      </c>
      <c r="C274" s="84" t="str">
        <f t="shared" si="157"/>
        <v>OTTR</v>
      </c>
      <c r="D274" s="75">
        <f t="shared" si="136"/>
        <v>3.8199999999999998E-2</v>
      </c>
      <c r="E274" s="87">
        <f t="shared" si="137"/>
        <v>0.85</v>
      </c>
      <c r="F274" s="75">
        <f t="shared" si="138"/>
        <v>0.12496298202564052</v>
      </c>
      <c r="G274" s="75">
        <f t="shared" si="140"/>
        <v>8.676298202564052E-2</v>
      </c>
      <c r="H274" s="75">
        <f t="shared" si="141"/>
        <v>0.11194853472179443</v>
      </c>
      <c r="I274" s="75">
        <f t="shared" si="142"/>
        <v>0.11520214654775596</v>
      </c>
    </row>
    <row r="275" spans="2:9" x14ac:dyDescent="0.2">
      <c r="B275" s="70" t="str">
        <f t="shared" ref="B275:C275" si="158">B239</f>
        <v>Portland General Electric Company</v>
      </c>
      <c r="C275" s="84" t="str">
        <f t="shared" si="158"/>
        <v>POR</v>
      </c>
      <c r="D275" s="75">
        <f t="shared" si="136"/>
        <v>3.8199999999999998E-2</v>
      </c>
      <c r="E275" s="87">
        <f t="shared" si="137"/>
        <v>0.74999999999999989</v>
      </c>
      <c r="F275" s="75">
        <f t="shared" si="138"/>
        <v>0.12496298202564052</v>
      </c>
      <c r="G275" s="75">
        <f t="shared" si="140"/>
        <v>8.676298202564052E-2</v>
      </c>
      <c r="H275" s="75">
        <f t="shared" si="141"/>
        <v>0.10327223651923038</v>
      </c>
      <c r="I275" s="75">
        <f t="shared" si="142"/>
        <v>0.10869492289583291</v>
      </c>
    </row>
    <row r="276" spans="2:9" x14ac:dyDescent="0.2">
      <c r="B276" s="70" t="str">
        <f t="shared" ref="B276:C276" si="159">B240</f>
        <v>Southern Company</v>
      </c>
      <c r="C276" s="84" t="str">
        <f t="shared" si="159"/>
        <v>SO</v>
      </c>
      <c r="D276" s="75">
        <f t="shared" si="136"/>
        <v>3.8199999999999998E-2</v>
      </c>
      <c r="E276" s="87">
        <f t="shared" si="137"/>
        <v>0.65500000000000003</v>
      </c>
      <c r="F276" s="75">
        <f t="shared" si="138"/>
        <v>0.12496298202564052</v>
      </c>
      <c r="G276" s="75">
        <f t="shared" si="140"/>
        <v>8.676298202564052E-2</v>
      </c>
      <c r="H276" s="75">
        <f t="shared" si="141"/>
        <v>9.502975322679455E-2</v>
      </c>
      <c r="I276" s="75">
        <f t="shared" si="142"/>
        <v>0.10251306042650603</v>
      </c>
    </row>
    <row r="277" spans="2:9" x14ac:dyDescent="0.2">
      <c r="B277" s="70" t="str">
        <f t="shared" ref="B277:C277" si="160">B241</f>
        <v>Xcel Energy Inc.</v>
      </c>
      <c r="C277" s="84" t="str">
        <f t="shared" si="160"/>
        <v>XEL</v>
      </c>
      <c r="D277" s="75">
        <f t="shared" si="136"/>
        <v>3.8199999999999998E-2</v>
      </c>
      <c r="E277" s="87">
        <f t="shared" si="137"/>
        <v>0.65500000000000003</v>
      </c>
      <c r="F277" s="75">
        <f t="shared" si="138"/>
        <v>0.12496298202564052</v>
      </c>
      <c r="G277" s="75">
        <f t="shared" si="140"/>
        <v>8.676298202564052E-2</v>
      </c>
      <c r="H277" s="75">
        <f t="shared" si="141"/>
        <v>9.502975322679455E-2</v>
      </c>
      <c r="I277" s="75">
        <f t="shared" si="142"/>
        <v>0.10251306042650603</v>
      </c>
    </row>
    <row r="278" spans="2:9" x14ac:dyDescent="0.2">
      <c r="B278" s="78" t="s">
        <v>4</v>
      </c>
      <c r="C278" s="78"/>
      <c r="D278" s="78"/>
      <c r="E278" s="74"/>
      <c r="F278" s="78"/>
      <c r="G278" s="78"/>
      <c r="H278" s="79">
        <f>AVERAGE(H261:H277)</f>
        <v>0.10360397733285784</v>
      </c>
      <c r="I278" s="79">
        <f>AVERAGE(I261:I277)</f>
        <v>0.10894372850605352</v>
      </c>
    </row>
    <row r="279" spans="2:9" ht="13.5" thickBot="1" x14ac:dyDescent="0.25">
      <c r="B279" s="80" t="s">
        <v>13</v>
      </c>
      <c r="C279" s="80"/>
      <c r="D279" s="80"/>
      <c r="E279" s="81"/>
      <c r="F279" s="80"/>
      <c r="G279" s="80"/>
      <c r="H279" s="82">
        <f>MEDIAN(H261:H277)</f>
        <v>0.10283842160910218</v>
      </c>
      <c r="I279" s="82">
        <f>MEDIAN(I261:I277)</f>
        <v>0.10836956171323676</v>
      </c>
    </row>
    <row r="281" spans="2:9" x14ac:dyDescent="0.2">
      <c r="B281" s="83" t="s">
        <v>88</v>
      </c>
    </row>
    <row r="282" spans="2:9" x14ac:dyDescent="0.2">
      <c r="B282" s="70" t="str">
        <f>B174</f>
        <v>[1] Source: Blue Chip Financial Forecasts, Vol. 42, No. 2, February 1, 2023, at 2</v>
      </c>
    </row>
    <row r="283" spans="2:9" x14ac:dyDescent="0.2">
      <c r="B283" s="70" t="str">
        <f>B247</f>
        <v>[2] Source: LT Beta</v>
      </c>
    </row>
    <row r="284" spans="2:9" x14ac:dyDescent="0.2">
      <c r="B284" s="70" t="str">
        <f>$B$32</f>
        <v>[3] Source: Market Return</v>
      </c>
    </row>
    <row r="285" spans="2:9" x14ac:dyDescent="0.2">
      <c r="B285" s="70" t="s">
        <v>129</v>
      </c>
    </row>
    <row r="286" spans="2:9" x14ac:dyDescent="0.2">
      <c r="B286" s="70" t="s">
        <v>130</v>
      </c>
    </row>
    <row r="287" spans="2:9" x14ac:dyDescent="0.2">
      <c r="B287" s="70" t="s">
        <v>131</v>
      </c>
    </row>
    <row r="290" spans="2:9" ht="13.15" customHeight="1" x14ac:dyDescent="0.2">
      <c r="B290" s="354" t="s">
        <v>141</v>
      </c>
      <c r="C290" s="354"/>
      <c r="D290" s="354"/>
      <c r="E290" s="354"/>
      <c r="F290" s="354"/>
      <c r="G290" s="354"/>
      <c r="H290" s="354"/>
      <c r="I290" s="354"/>
    </row>
    <row r="292" spans="2:9" x14ac:dyDescent="0.2">
      <c r="B292" s="354" t="s">
        <v>120</v>
      </c>
      <c r="C292" s="354"/>
      <c r="D292" s="354"/>
      <c r="E292" s="354"/>
      <c r="F292" s="354"/>
      <c r="G292" s="354"/>
      <c r="H292" s="354"/>
      <c r="I292" s="354"/>
    </row>
    <row r="293" spans="2:9" x14ac:dyDescent="0.2">
      <c r="B293" s="354" t="s">
        <v>121</v>
      </c>
      <c r="C293" s="354"/>
      <c r="D293" s="354"/>
      <c r="E293" s="354"/>
      <c r="F293" s="354"/>
      <c r="G293" s="354"/>
      <c r="H293" s="354"/>
      <c r="I293" s="354"/>
    </row>
    <row r="295" spans="2:9" ht="13.5" thickBot="1" x14ac:dyDescent="0.25">
      <c r="D295" s="71" t="s">
        <v>28</v>
      </c>
      <c r="E295" s="71" t="s">
        <v>29</v>
      </c>
      <c r="F295" s="71" t="s">
        <v>30</v>
      </c>
      <c r="G295" s="71" t="s">
        <v>31</v>
      </c>
      <c r="H295" s="71" t="s">
        <v>32</v>
      </c>
      <c r="I295" s="71" t="s">
        <v>33</v>
      </c>
    </row>
    <row r="296" spans="2:9" ht="51" x14ac:dyDescent="0.2">
      <c r="B296" s="23" t="s">
        <v>34</v>
      </c>
      <c r="C296" s="23" t="s">
        <v>35</v>
      </c>
      <c r="D296" s="24" t="str">
        <f t="shared" ref="D296:D313" si="161">D188</f>
        <v>Projected 30-year U.S. Treasury bond yield 
(2024 - 2028)</v>
      </c>
      <c r="E296" s="24" t="s">
        <v>123</v>
      </c>
      <c r="F296" s="24" t="s">
        <v>124</v>
      </c>
      <c r="G296" s="24" t="s">
        <v>125</v>
      </c>
      <c r="H296" s="72" t="s">
        <v>126</v>
      </c>
      <c r="I296" s="72" t="s">
        <v>127</v>
      </c>
    </row>
    <row r="297" spans="2:9" x14ac:dyDescent="0.2">
      <c r="B297" s="70" t="str">
        <f>B261</f>
        <v>ALLETE, Inc.</v>
      </c>
      <c r="C297" s="84" t="str">
        <f>C261</f>
        <v>ALE</v>
      </c>
      <c r="D297" s="75">
        <f t="shared" si="161"/>
        <v>3.9E-2</v>
      </c>
      <c r="E297" s="76">
        <f t="shared" ref="E297:E313" si="162">E261</f>
        <v>0.78500000000000014</v>
      </c>
      <c r="F297" s="79">
        <f t="shared" ref="F297:F313" si="163">F117</f>
        <v>0.12496298202564052</v>
      </c>
      <c r="G297" s="79">
        <f>F297-D297</f>
        <v>8.5962982025640511E-2</v>
      </c>
      <c r="H297" s="79">
        <f>IFERROR(G297*E297+D297,"")</f>
        <v>0.1064809408901278</v>
      </c>
      <c r="I297" s="79">
        <f>IFERROR((0.25*G297)+(0.75*E297*G297)+D297,"")</f>
        <v>0.11110145117400599</v>
      </c>
    </row>
    <row r="298" spans="2:9" x14ac:dyDescent="0.2">
      <c r="B298" s="70" t="str">
        <f t="shared" ref="B298:C298" si="164">B262</f>
        <v>Alliant Energy Corporation</v>
      </c>
      <c r="C298" s="84" t="str">
        <f t="shared" si="164"/>
        <v>LNT</v>
      </c>
      <c r="D298" s="75">
        <f t="shared" si="161"/>
        <v>3.9E-2</v>
      </c>
      <c r="E298" s="76">
        <f t="shared" si="162"/>
        <v>0.74999999999999978</v>
      </c>
      <c r="F298" s="75">
        <f t="shared" si="163"/>
        <v>0.12496298202564052</v>
      </c>
      <c r="G298" s="75">
        <f t="shared" ref="G298:G313" si="165">F298-D298</f>
        <v>8.5962982025640511E-2</v>
      </c>
      <c r="H298" s="75">
        <f t="shared" ref="H298:H313" si="166">IFERROR(G298*E298+D298,"")</f>
        <v>0.10347223651923038</v>
      </c>
      <c r="I298" s="75">
        <f t="shared" ref="I298:I313" si="167">IFERROR((0.25*G298)+(0.75*E298*G298)+D298,"")</f>
        <v>0.10884492289583289</v>
      </c>
    </row>
    <row r="299" spans="2:9" x14ac:dyDescent="0.2">
      <c r="B299" s="70" t="str">
        <f t="shared" ref="B299:C299" si="168">B263</f>
        <v>Ameren Corporation</v>
      </c>
      <c r="C299" s="84" t="str">
        <f t="shared" si="168"/>
        <v>AEE</v>
      </c>
      <c r="D299" s="75">
        <f t="shared" si="161"/>
        <v>3.9E-2</v>
      </c>
      <c r="E299" s="76">
        <f t="shared" si="162"/>
        <v>0.72499999999999987</v>
      </c>
      <c r="F299" s="75">
        <f t="shared" si="163"/>
        <v>0.12496298202564052</v>
      </c>
      <c r="G299" s="75">
        <f t="shared" si="165"/>
        <v>8.5962982025640511E-2</v>
      </c>
      <c r="H299" s="75">
        <f t="shared" si="166"/>
        <v>0.10132316196858936</v>
      </c>
      <c r="I299" s="75">
        <f t="shared" si="167"/>
        <v>0.10723311698285215</v>
      </c>
    </row>
    <row r="300" spans="2:9" x14ac:dyDescent="0.2">
      <c r="B300" s="70" t="str">
        <f t="shared" ref="B300:C300" si="169">B264</f>
        <v>American Electric Power Company, Inc.</v>
      </c>
      <c r="C300" s="84" t="str">
        <f t="shared" si="169"/>
        <v>AEP</v>
      </c>
      <c r="D300" s="75">
        <f t="shared" si="161"/>
        <v>3.9E-2</v>
      </c>
      <c r="E300" s="76">
        <f t="shared" si="162"/>
        <v>0.67499999999999993</v>
      </c>
      <c r="F300" s="75">
        <f t="shared" si="163"/>
        <v>0.12496298202564052</v>
      </c>
      <c r="G300" s="75">
        <f t="shared" si="165"/>
        <v>8.5962982025640511E-2</v>
      </c>
      <c r="H300" s="75">
        <f t="shared" si="166"/>
        <v>9.7025012867307331E-2</v>
      </c>
      <c r="I300" s="75">
        <f t="shared" si="167"/>
        <v>0.10400950515689064</v>
      </c>
    </row>
    <row r="301" spans="2:9" x14ac:dyDescent="0.2">
      <c r="B301" s="70" t="str">
        <f t="shared" ref="B301:C301" si="170">B265</f>
        <v>Avista Corporation</v>
      </c>
      <c r="C301" s="84" t="str">
        <f t="shared" si="170"/>
        <v>AVA</v>
      </c>
      <c r="D301" s="75">
        <f t="shared" si="161"/>
        <v>3.9E-2</v>
      </c>
      <c r="E301" s="76">
        <f t="shared" si="162"/>
        <v>0.78500000000000003</v>
      </c>
      <c r="F301" s="75">
        <f t="shared" si="163"/>
        <v>0.12496298202564052</v>
      </c>
      <c r="G301" s="75">
        <f t="shared" si="165"/>
        <v>8.5962982025640511E-2</v>
      </c>
      <c r="H301" s="75">
        <f t="shared" si="166"/>
        <v>0.1064809408901278</v>
      </c>
      <c r="I301" s="75">
        <f t="shared" si="167"/>
        <v>0.11110145117400599</v>
      </c>
    </row>
    <row r="302" spans="2:9" x14ac:dyDescent="0.2">
      <c r="B302" s="70" t="str">
        <f t="shared" ref="B302:C302" si="171">B266</f>
        <v>CMS Energy Corporation</v>
      </c>
      <c r="C302" s="84" t="str">
        <f t="shared" si="171"/>
        <v>CMS</v>
      </c>
      <c r="D302" s="75">
        <f t="shared" si="161"/>
        <v>3.9E-2</v>
      </c>
      <c r="E302" s="76">
        <f t="shared" si="162"/>
        <v>0.69</v>
      </c>
      <c r="F302" s="75">
        <f t="shared" si="163"/>
        <v>0.12496298202564052</v>
      </c>
      <c r="G302" s="75">
        <f t="shared" si="165"/>
        <v>8.5962982025640511E-2</v>
      </c>
      <c r="H302" s="75">
        <f t="shared" si="166"/>
        <v>9.8314457597691945E-2</v>
      </c>
      <c r="I302" s="75">
        <f t="shared" si="167"/>
        <v>0.1049765887046791</v>
      </c>
    </row>
    <row r="303" spans="2:9" x14ac:dyDescent="0.2">
      <c r="B303" s="70" t="str">
        <f t="shared" ref="B303:C303" si="172">B267</f>
        <v>Duke Energy Corporation</v>
      </c>
      <c r="C303" s="84" t="str">
        <f t="shared" si="172"/>
        <v>DUK</v>
      </c>
      <c r="D303" s="75">
        <f t="shared" si="161"/>
        <v>3.9E-2</v>
      </c>
      <c r="E303" s="76">
        <f t="shared" si="162"/>
        <v>0.66499999999999981</v>
      </c>
      <c r="F303" s="75">
        <f t="shared" si="163"/>
        <v>0.12496298202564052</v>
      </c>
      <c r="G303" s="75">
        <f t="shared" si="165"/>
        <v>8.5962982025640511E-2</v>
      </c>
      <c r="H303" s="75">
        <f t="shared" si="166"/>
        <v>9.6165383047050926E-2</v>
      </c>
      <c r="I303" s="75">
        <f t="shared" si="167"/>
        <v>0.10336478279169833</v>
      </c>
    </row>
    <row r="304" spans="2:9" x14ac:dyDescent="0.2">
      <c r="B304" s="70" t="str">
        <f t="shared" ref="B304:C304" si="173">B268</f>
        <v>Entergy Corporation</v>
      </c>
      <c r="C304" s="84" t="str">
        <f t="shared" si="173"/>
        <v>ETR</v>
      </c>
      <c r="D304" s="75">
        <f t="shared" si="161"/>
        <v>3.9E-2</v>
      </c>
      <c r="E304" s="76">
        <f t="shared" si="162"/>
        <v>0.745</v>
      </c>
      <c r="F304" s="75">
        <f t="shared" si="163"/>
        <v>0.12496298202564052</v>
      </c>
      <c r="G304" s="75">
        <f t="shared" si="165"/>
        <v>8.5962982025640511E-2</v>
      </c>
      <c r="H304" s="75">
        <f t="shared" si="166"/>
        <v>0.10304242160910218</v>
      </c>
      <c r="I304" s="75">
        <f t="shared" si="167"/>
        <v>0.10852256171323676</v>
      </c>
    </row>
    <row r="305" spans="2:9" x14ac:dyDescent="0.2">
      <c r="B305" s="70" t="str">
        <f t="shared" ref="B305:C305" si="174">B269</f>
        <v>Evergy, Inc.</v>
      </c>
      <c r="C305" s="84" t="str">
        <f t="shared" si="174"/>
        <v>EVRG</v>
      </c>
      <c r="D305" s="75">
        <f t="shared" si="161"/>
        <v>3.9E-2</v>
      </c>
      <c r="E305" s="76">
        <f t="shared" si="162"/>
        <v>0.95000000000000007</v>
      </c>
      <c r="F305" s="75">
        <f t="shared" si="163"/>
        <v>0.12496298202564052</v>
      </c>
      <c r="G305" s="75">
        <f t="shared" ref="G305" si="175">F305-D305</f>
        <v>8.5962982025640511E-2</v>
      </c>
      <c r="H305" s="75">
        <f t="shared" ref="H305" si="176">IFERROR(G305*E305+D305,"")</f>
        <v>0.12066483292435848</v>
      </c>
      <c r="I305" s="75">
        <f t="shared" ref="I305" si="177">IFERROR((0.25*G305)+(0.75*E305*G305)+D305,"")</f>
        <v>0.12173937019967901</v>
      </c>
    </row>
    <row r="306" spans="2:9" x14ac:dyDescent="0.2">
      <c r="B306" s="70" t="str">
        <f t="shared" ref="B306:C306" si="178">B270</f>
        <v>IDACORP, Inc.</v>
      </c>
      <c r="C306" s="84" t="str">
        <f t="shared" si="178"/>
        <v>IDA</v>
      </c>
      <c r="D306" s="75">
        <f t="shared" si="161"/>
        <v>3.9E-2</v>
      </c>
      <c r="E306" s="76">
        <f t="shared" si="162"/>
        <v>0.72999999999999987</v>
      </c>
      <c r="F306" s="75">
        <f t="shared" si="163"/>
        <v>0.12496298202564052</v>
      </c>
      <c r="G306" s="75">
        <f t="shared" si="165"/>
        <v>8.5962982025640511E-2</v>
      </c>
      <c r="H306" s="75">
        <f t="shared" si="166"/>
        <v>0.10175297687871757</v>
      </c>
      <c r="I306" s="75">
        <f t="shared" si="167"/>
        <v>0.1075554781654483</v>
      </c>
    </row>
    <row r="307" spans="2:9" x14ac:dyDescent="0.2">
      <c r="B307" s="70" t="str">
        <f t="shared" ref="B307:C307" si="179">B271</f>
        <v>NextEra Energy, Inc.</v>
      </c>
      <c r="C307" s="84" t="str">
        <f t="shared" si="179"/>
        <v>NEE</v>
      </c>
      <c r="D307" s="75">
        <f t="shared" si="161"/>
        <v>3.9E-2</v>
      </c>
      <c r="E307" s="76">
        <f t="shared" si="162"/>
        <v>0.73000000000000009</v>
      </c>
      <c r="F307" s="75">
        <f t="shared" si="163"/>
        <v>0.12496298202564052</v>
      </c>
      <c r="G307" s="75">
        <f t="shared" si="165"/>
        <v>8.5962982025640511E-2</v>
      </c>
      <c r="H307" s="75">
        <f t="shared" si="166"/>
        <v>0.10175297687871759</v>
      </c>
      <c r="I307" s="75">
        <f t="shared" si="167"/>
        <v>0.10755547816544833</v>
      </c>
    </row>
    <row r="308" spans="2:9" x14ac:dyDescent="0.2">
      <c r="B308" s="70" t="str">
        <f t="shared" ref="B308:C308" si="180">B272</f>
        <v>NorthWestern Corporation</v>
      </c>
      <c r="C308" s="84" t="str">
        <f t="shared" si="180"/>
        <v>NWE</v>
      </c>
      <c r="D308" s="75">
        <f t="shared" si="161"/>
        <v>3.9E-2</v>
      </c>
      <c r="E308" s="76">
        <f t="shared" si="162"/>
        <v>0.745</v>
      </c>
      <c r="F308" s="75">
        <f t="shared" si="163"/>
        <v>0.12496298202564052</v>
      </c>
      <c r="G308" s="75">
        <f t="shared" si="165"/>
        <v>8.5962982025640511E-2</v>
      </c>
      <c r="H308" s="75">
        <f t="shared" si="166"/>
        <v>0.10304242160910218</v>
      </c>
      <c r="I308" s="75">
        <f t="shared" si="167"/>
        <v>0.10852256171323676</v>
      </c>
    </row>
    <row r="309" spans="2:9" x14ac:dyDescent="0.2">
      <c r="B309" s="70" t="str">
        <f t="shared" ref="B309:C309" si="181">B273</f>
        <v>OGE Energy Corporation</v>
      </c>
      <c r="C309" s="84" t="str">
        <f t="shared" si="181"/>
        <v>OGE</v>
      </c>
      <c r="D309" s="75">
        <f t="shared" si="161"/>
        <v>3.9E-2</v>
      </c>
      <c r="E309" s="76">
        <f t="shared" si="162"/>
        <v>0.93</v>
      </c>
      <c r="F309" s="75">
        <f t="shared" si="163"/>
        <v>0.12496298202564052</v>
      </c>
      <c r="G309" s="75">
        <f t="shared" si="165"/>
        <v>8.5962982025640511E-2</v>
      </c>
      <c r="H309" s="75">
        <f t="shared" si="166"/>
        <v>0.11894557328384567</v>
      </c>
      <c r="I309" s="75">
        <f t="shared" si="167"/>
        <v>0.12044992546929439</v>
      </c>
    </row>
    <row r="310" spans="2:9" x14ac:dyDescent="0.2">
      <c r="B310" s="70" t="str">
        <f t="shared" ref="B310:C310" si="182">B274</f>
        <v>Otter Tail Corporation</v>
      </c>
      <c r="C310" s="84" t="str">
        <f t="shared" si="182"/>
        <v>OTTR</v>
      </c>
      <c r="D310" s="75">
        <f t="shared" si="161"/>
        <v>3.9E-2</v>
      </c>
      <c r="E310" s="76">
        <f t="shared" si="162"/>
        <v>0.85</v>
      </c>
      <c r="F310" s="75">
        <f t="shared" si="163"/>
        <v>0.12496298202564052</v>
      </c>
      <c r="G310" s="75">
        <f t="shared" si="165"/>
        <v>8.5962982025640511E-2</v>
      </c>
      <c r="H310" s="75">
        <f t="shared" si="166"/>
        <v>0.11206853472179443</v>
      </c>
      <c r="I310" s="75">
        <f t="shared" si="167"/>
        <v>0.11529214654775596</v>
      </c>
    </row>
    <row r="311" spans="2:9" x14ac:dyDescent="0.2">
      <c r="B311" s="70" t="str">
        <f t="shared" ref="B311:C311" si="183">B275</f>
        <v>Portland General Electric Company</v>
      </c>
      <c r="C311" s="84" t="str">
        <f t="shared" si="183"/>
        <v>POR</v>
      </c>
      <c r="D311" s="75">
        <f t="shared" si="161"/>
        <v>3.9E-2</v>
      </c>
      <c r="E311" s="76">
        <f t="shared" si="162"/>
        <v>0.74999999999999989</v>
      </c>
      <c r="F311" s="75">
        <f t="shared" si="163"/>
        <v>0.12496298202564052</v>
      </c>
      <c r="G311" s="75">
        <f t="shared" si="165"/>
        <v>8.5962982025640511E-2</v>
      </c>
      <c r="H311" s="75">
        <f t="shared" si="166"/>
        <v>0.10347223651923038</v>
      </c>
      <c r="I311" s="75">
        <f t="shared" si="167"/>
        <v>0.10884492289583292</v>
      </c>
    </row>
    <row r="312" spans="2:9" x14ac:dyDescent="0.2">
      <c r="B312" s="70" t="str">
        <f t="shared" ref="B312:C312" si="184">B276</f>
        <v>Southern Company</v>
      </c>
      <c r="C312" s="84" t="str">
        <f t="shared" si="184"/>
        <v>SO</v>
      </c>
      <c r="D312" s="75">
        <f t="shared" si="161"/>
        <v>3.9E-2</v>
      </c>
      <c r="E312" s="76">
        <f t="shared" si="162"/>
        <v>0.65500000000000003</v>
      </c>
      <c r="F312" s="75">
        <f t="shared" si="163"/>
        <v>0.12496298202564052</v>
      </c>
      <c r="G312" s="75">
        <f t="shared" si="165"/>
        <v>8.5962982025640511E-2</v>
      </c>
      <c r="H312" s="75">
        <f t="shared" si="166"/>
        <v>9.5305753226794535E-2</v>
      </c>
      <c r="I312" s="75">
        <f t="shared" si="167"/>
        <v>0.10272006042650603</v>
      </c>
    </row>
    <row r="313" spans="2:9" x14ac:dyDescent="0.2">
      <c r="B313" s="70" t="str">
        <f t="shared" ref="B313:C313" si="185">B277</f>
        <v>Xcel Energy Inc.</v>
      </c>
      <c r="C313" s="84" t="str">
        <f t="shared" si="185"/>
        <v>XEL</v>
      </c>
      <c r="D313" s="75">
        <f t="shared" si="161"/>
        <v>3.9E-2</v>
      </c>
      <c r="E313" s="76">
        <f t="shared" si="162"/>
        <v>0.65500000000000003</v>
      </c>
      <c r="F313" s="75">
        <f t="shared" si="163"/>
        <v>0.12496298202564052</v>
      </c>
      <c r="G313" s="75">
        <f t="shared" si="165"/>
        <v>8.5962982025640511E-2</v>
      </c>
      <c r="H313" s="75">
        <f t="shared" si="166"/>
        <v>9.5305753226794535E-2</v>
      </c>
      <c r="I313" s="75">
        <f t="shared" si="167"/>
        <v>0.10272006042650603</v>
      </c>
    </row>
    <row r="314" spans="2:9" x14ac:dyDescent="0.2">
      <c r="B314" s="78" t="s">
        <v>4</v>
      </c>
      <c r="C314" s="78"/>
      <c r="D314" s="78"/>
      <c r="E314" s="74"/>
      <c r="F314" s="78"/>
      <c r="G314" s="78"/>
      <c r="H314" s="79">
        <f>AVERAGE(H297:H313)</f>
        <v>0.1038009185093284</v>
      </c>
      <c r="I314" s="79">
        <f>AVERAGE(I297:I313)</f>
        <v>0.10909143438840643</v>
      </c>
    </row>
    <row r="315" spans="2:9" ht="13.5" thickBot="1" x14ac:dyDescent="0.25">
      <c r="B315" s="80" t="s">
        <v>13</v>
      </c>
      <c r="C315" s="80"/>
      <c r="D315" s="80"/>
      <c r="E315" s="81"/>
      <c r="F315" s="80"/>
      <c r="G315" s="80"/>
      <c r="H315" s="82">
        <f>MEDIAN(H297:H313)</f>
        <v>0.10304242160910218</v>
      </c>
      <c r="I315" s="82">
        <f>MEDIAN(I297:I313)</f>
        <v>0.10852256171323676</v>
      </c>
    </row>
    <row r="316" spans="2:9" x14ac:dyDescent="0.2">
      <c r="H316" s="88"/>
      <c r="I316" s="88"/>
    </row>
    <row r="317" spans="2:9" x14ac:dyDescent="0.2">
      <c r="B317" s="83" t="s">
        <v>88</v>
      </c>
    </row>
    <row r="318" spans="2:9" x14ac:dyDescent="0.2">
      <c r="B318" s="70" t="str">
        <f>B210</f>
        <v>[1] Source: Blue Chip Financial Forecasts, Vol. 41, No. 12, December 2, 2022, at 14</v>
      </c>
    </row>
    <row r="319" spans="2:9" x14ac:dyDescent="0.2">
      <c r="B319" s="70" t="str">
        <f>B247</f>
        <v>[2] Source: LT Beta</v>
      </c>
    </row>
    <row r="320" spans="2:9" x14ac:dyDescent="0.2">
      <c r="B320" s="70" t="str">
        <f>$B$32</f>
        <v>[3] Source: Market Return</v>
      </c>
    </row>
    <row r="321" spans="2:2" x14ac:dyDescent="0.2">
      <c r="B321" s="70" t="s">
        <v>129</v>
      </c>
    </row>
    <row r="322" spans="2:2" x14ac:dyDescent="0.2">
      <c r="B322" s="70" t="s">
        <v>130</v>
      </c>
    </row>
    <row r="323" spans="2:2" x14ac:dyDescent="0.2">
      <c r="B323" s="70" t="s">
        <v>131</v>
      </c>
    </row>
  </sheetData>
  <mergeCells count="27">
    <mergeCell ref="B290:I290"/>
    <mergeCell ref="B292:I292"/>
    <mergeCell ref="B293:I293"/>
    <mergeCell ref="B218:I218"/>
    <mergeCell ref="B220:I220"/>
    <mergeCell ref="B221:I221"/>
    <mergeCell ref="B254:I254"/>
    <mergeCell ref="B256:I256"/>
    <mergeCell ref="B257:I257"/>
    <mergeCell ref="B185:I185"/>
    <mergeCell ref="B74:I74"/>
    <mergeCell ref="B76:I76"/>
    <mergeCell ref="B77:I77"/>
    <mergeCell ref="B110:I110"/>
    <mergeCell ref="B112:I112"/>
    <mergeCell ref="B113:I113"/>
    <mergeCell ref="B146:I146"/>
    <mergeCell ref="B148:I148"/>
    <mergeCell ref="B149:I149"/>
    <mergeCell ref="B182:I182"/>
    <mergeCell ref="B184:I184"/>
    <mergeCell ref="B41:I41"/>
    <mergeCell ref="B2:I2"/>
    <mergeCell ref="B4:I4"/>
    <mergeCell ref="B5:I5"/>
    <mergeCell ref="B38:I38"/>
    <mergeCell ref="B40:I40"/>
  </mergeCells>
  <pageMargins left="0.7" right="0.7" top="0.75" bottom="0.75" header="0.3" footer="0.3"/>
  <pageSetup scale="51" orientation="portrait" useFirstPageNumber="1" r:id="rId1"/>
  <headerFooter>
    <oddHeader>&amp;LREFILED April 19, 2023</oddHeader>
  </headerFooter>
  <rowBreaks count="4" manualBreakCount="4">
    <brk id="72" max="16383" man="1"/>
    <brk id="144" max="16383" man="1"/>
    <brk id="216" max="16383" man="1"/>
    <brk id="28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R36"/>
  <sheetViews>
    <sheetView view="pageLayout" zoomScaleNormal="100" workbookViewId="0">
      <selection activeCell="E12" sqref="E12"/>
    </sheetView>
  </sheetViews>
  <sheetFormatPr defaultColWidth="8.7109375" defaultRowHeight="12.75" x14ac:dyDescent="0.2"/>
  <cols>
    <col min="1" max="1" width="43.42578125" style="65" customWidth="1"/>
    <col min="2" max="2" width="8.7109375" style="65"/>
    <col min="3" max="12" width="11.7109375" style="65" customWidth="1"/>
    <col min="13" max="16384" width="8.7109375" style="65"/>
  </cols>
  <sheetData>
    <row r="2" spans="1:18" x14ac:dyDescent="0.2">
      <c r="A2" s="355" t="s">
        <v>1321</v>
      </c>
      <c r="B2" s="355"/>
      <c r="C2" s="355"/>
      <c r="D2" s="355"/>
      <c r="E2" s="355"/>
      <c r="F2" s="355"/>
      <c r="G2" s="355"/>
      <c r="H2" s="355"/>
      <c r="I2" s="355"/>
      <c r="J2" s="355"/>
      <c r="K2" s="355"/>
      <c r="L2" s="355"/>
      <c r="M2" s="355"/>
    </row>
    <row r="4" spans="1:18" ht="13.5" thickBot="1" x14ac:dyDescent="0.25">
      <c r="A4" s="89"/>
      <c r="B4" s="89"/>
      <c r="C4" s="38" t="s">
        <v>28</v>
      </c>
      <c r="D4" s="38" t="s">
        <v>29</v>
      </c>
      <c r="E4" s="38" t="s">
        <v>30</v>
      </c>
      <c r="F4" s="38" t="s">
        <v>31</v>
      </c>
      <c r="G4" s="38" t="s">
        <v>32</v>
      </c>
      <c r="H4" s="38" t="s">
        <v>33</v>
      </c>
      <c r="I4" s="38" t="s">
        <v>93</v>
      </c>
      <c r="J4" s="38" t="s">
        <v>94</v>
      </c>
      <c r="K4" s="38" t="s">
        <v>95</v>
      </c>
      <c r="L4" s="38" t="s">
        <v>96</v>
      </c>
      <c r="M4" s="38" t="s">
        <v>97</v>
      </c>
    </row>
    <row r="5" spans="1:18" x14ac:dyDescent="0.2">
      <c r="A5" s="90" t="s">
        <v>34</v>
      </c>
      <c r="B5" s="23" t="s">
        <v>35</v>
      </c>
      <c r="C5" s="91">
        <v>41639</v>
      </c>
      <c r="D5" s="91">
        <v>42004</v>
      </c>
      <c r="E5" s="91">
        <v>42369</v>
      </c>
      <c r="F5" s="91">
        <v>42735</v>
      </c>
      <c r="G5" s="92">
        <v>43100</v>
      </c>
      <c r="H5" s="91">
        <v>43465</v>
      </c>
      <c r="I5" s="92">
        <v>43830</v>
      </c>
      <c r="J5" s="91">
        <v>44196</v>
      </c>
      <c r="K5" s="91">
        <v>44561</v>
      </c>
      <c r="L5" s="91">
        <v>44926</v>
      </c>
      <c r="M5" s="91" t="s">
        <v>142</v>
      </c>
    </row>
    <row r="6" spans="1:18" x14ac:dyDescent="0.2">
      <c r="A6" s="135" t="str">
        <f>'Exh. No. AEB-6 CGDCF'!A7</f>
        <v>ALLETE, Inc.</v>
      </c>
      <c r="B6" s="135" t="str">
        <f>'Exh. No. AEB-6 CGDCF'!B7</f>
        <v>ALE</v>
      </c>
      <c r="C6" s="228">
        <v>0.75</v>
      </c>
      <c r="D6" s="229">
        <v>0.8</v>
      </c>
      <c r="E6" s="229">
        <v>0.8</v>
      </c>
      <c r="F6" s="228">
        <v>0.75</v>
      </c>
      <c r="G6" s="228">
        <v>0.8</v>
      </c>
      <c r="H6" s="228">
        <v>0.65</v>
      </c>
      <c r="I6" s="228">
        <v>0.65</v>
      </c>
      <c r="J6" s="228">
        <v>0.85</v>
      </c>
      <c r="K6" s="228">
        <v>0.9</v>
      </c>
      <c r="L6" s="228">
        <v>0.9</v>
      </c>
      <c r="M6" s="93">
        <f>AVERAGE(C6:L6)</f>
        <v>0.78500000000000014</v>
      </c>
    </row>
    <row r="7" spans="1:18" x14ac:dyDescent="0.2">
      <c r="A7" s="135" t="str">
        <f>'Exh. No. AEB-6 CGDCF'!A8</f>
        <v>Alliant Energy Corporation</v>
      </c>
      <c r="B7" s="135" t="str">
        <f>'Exh. No. AEB-6 CGDCF'!B8</f>
        <v>LNT</v>
      </c>
      <c r="C7" s="228">
        <v>0.75</v>
      </c>
      <c r="D7" s="229">
        <v>0.8</v>
      </c>
      <c r="E7" s="229">
        <v>0.8</v>
      </c>
      <c r="F7" s="228">
        <v>0.7</v>
      </c>
      <c r="G7" s="228">
        <v>0.7</v>
      </c>
      <c r="H7" s="228">
        <v>0.6</v>
      </c>
      <c r="I7" s="228">
        <v>0.6</v>
      </c>
      <c r="J7" s="228">
        <v>0.85</v>
      </c>
      <c r="K7" s="228">
        <v>0.85</v>
      </c>
      <c r="L7" s="228">
        <v>0.85</v>
      </c>
      <c r="M7" s="93">
        <f t="shared" ref="M7:M22" si="0">AVERAGE(C7:L7)</f>
        <v>0.74999999999999978</v>
      </c>
    </row>
    <row r="8" spans="1:18" x14ac:dyDescent="0.2">
      <c r="A8" s="135" t="str">
        <f>'Exh. No. AEB-6 CGDCF'!A9</f>
        <v>Ameren Corporation</v>
      </c>
      <c r="B8" s="135" t="str">
        <f>'Exh. No. AEB-6 CGDCF'!B9</f>
        <v>AEE</v>
      </c>
      <c r="C8" s="228">
        <v>0.8</v>
      </c>
      <c r="D8" s="229">
        <v>0.75</v>
      </c>
      <c r="E8" s="229">
        <v>0.75</v>
      </c>
      <c r="F8" s="228">
        <v>0.65</v>
      </c>
      <c r="G8" s="228">
        <v>0.7</v>
      </c>
      <c r="H8" s="228">
        <v>0.55000000000000004</v>
      </c>
      <c r="I8" s="228">
        <v>0.55000000000000004</v>
      </c>
      <c r="J8" s="228">
        <v>0.85</v>
      </c>
      <c r="K8" s="228">
        <v>0.8</v>
      </c>
      <c r="L8" s="228">
        <v>0.85</v>
      </c>
      <c r="M8" s="93">
        <f t="shared" si="0"/>
        <v>0.72499999999999987</v>
      </c>
    </row>
    <row r="9" spans="1:18" x14ac:dyDescent="0.2">
      <c r="A9" s="135" t="str">
        <f>'Exh. No. AEB-6 CGDCF'!A10</f>
        <v>American Electric Power Company, Inc.</v>
      </c>
      <c r="B9" s="135" t="str">
        <f>'Exh. No. AEB-6 CGDCF'!B10</f>
        <v>AEP</v>
      </c>
      <c r="C9" s="228">
        <v>0.7</v>
      </c>
      <c r="D9" s="229">
        <v>0.7</v>
      </c>
      <c r="E9" s="229">
        <v>0.7</v>
      </c>
      <c r="F9" s="228">
        <v>0.65</v>
      </c>
      <c r="G9" s="228">
        <v>0.65</v>
      </c>
      <c r="H9" s="228">
        <v>0.55000000000000004</v>
      </c>
      <c r="I9" s="228">
        <v>0.55000000000000004</v>
      </c>
      <c r="J9" s="228">
        <v>0.75</v>
      </c>
      <c r="K9" s="228">
        <v>0.75</v>
      </c>
      <c r="L9" s="228">
        <v>0.75</v>
      </c>
      <c r="M9" s="93">
        <f t="shared" si="0"/>
        <v>0.67499999999999993</v>
      </c>
    </row>
    <row r="10" spans="1:18" x14ac:dyDescent="0.2">
      <c r="A10" s="135" t="str">
        <f>'Exh. No. AEB-6 CGDCF'!A11</f>
        <v>Avista Corporation</v>
      </c>
      <c r="B10" s="135" t="str">
        <f>'Exh. No. AEB-6 CGDCF'!B11</f>
        <v>AVA</v>
      </c>
      <c r="C10" s="228">
        <v>0.75</v>
      </c>
      <c r="D10" s="229">
        <v>0.8</v>
      </c>
      <c r="E10" s="229">
        <v>0.8</v>
      </c>
      <c r="F10" s="228">
        <v>0.7</v>
      </c>
      <c r="G10" s="228">
        <v>0.75</v>
      </c>
      <c r="H10" s="228">
        <v>0.65</v>
      </c>
      <c r="I10" s="228">
        <v>0.6</v>
      </c>
      <c r="J10" s="228">
        <v>0.95</v>
      </c>
      <c r="K10" s="228">
        <v>0.95</v>
      </c>
      <c r="L10" s="228">
        <v>0.9</v>
      </c>
      <c r="M10" s="93">
        <f t="shared" si="0"/>
        <v>0.78500000000000003</v>
      </c>
    </row>
    <row r="11" spans="1:18" x14ac:dyDescent="0.2">
      <c r="A11" s="135" t="str">
        <f>'Exh. No. AEB-6 CGDCF'!A12</f>
        <v>CMS Energy Corporation</v>
      </c>
      <c r="B11" s="135" t="str">
        <f>'Exh. No. AEB-6 CGDCF'!B12</f>
        <v>CMS</v>
      </c>
      <c r="C11" s="228">
        <v>0.7</v>
      </c>
      <c r="D11" s="229">
        <v>0.7</v>
      </c>
      <c r="E11" s="229">
        <v>0.75</v>
      </c>
      <c r="F11" s="228">
        <v>0.65</v>
      </c>
      <c r="G11" s="228">
        <v>0.65</v>
      </c>
      <c r="H11" s="228">
        <v>0.55000000000000004</v>
      </c>
      <c r="I11" s="228">
        <v>0.5</v>
      </c>
      <c r="J11" s="228">
        <v>0.8</v>
      </c>
      <c r="K11" s="228">
        <v>0.8</v>
      </c>
      <c r="L11" s="228">
        <v>0.8</v>
      </c>
      <c r="M11" s="93">
        <f t="shared" si="0"/>
        <v>0.69</v>
      </c>
    </row>
    <row r="12" spans="1:18" x14ac:dyDescent="0.2">
      <c r="A12" s="135" t="str">
        <f>'Exh. No. AEB-6 CGDCF'!A13</f>
        <v>Duke Energy Corporation</v>
      </c>
      <c r="B12" s="135" t="str">
        <f>'Exh. No. AEB-6 CGDCF'!B13</f>
        <v>DUK</v>
      </c>
      <c r="C12" s="228">
        <v>0.65</v>
      </c>
      <c r="D12" s="229">
        <v>0.6</v>
      </c>
      <c r="E12" s="229">
        <v>0.65</v>
      </c>
      <c r="F12" s="228">
        <v>0.6</v>
      </c>
      <c r="G12" s="228">
        <v>0.6</v>
      </c>
      <c r="H12" s="228">
        <v>0.5</v>
      </c>
      <c r="I12" s="228">
        <v>0.5</v>
      </c>
      <c r="J12" s="228">
        <v>0.85</v>
      </c>
      <c r="K12" s="228">
        <v>0.85</v>
      </c>
      <c r="L12" s="228">
        <v>0.85</v>
      </c>
      <c r="M12" s="93">
        <f t="shared" si="0"/>
        <v>0.66499999999999981</v>
      </c>
    </row>
    <row r="13" spans="1:18" s="94" customFormat="1" x14ac:dyDescent="0.2">
      <c r="A13" s="135" t="str">
        <f>'Exh. No. AEB-6 CGDCF'!A14</f>
        <v>Entergy Corporation</v>
      </c>
      <c r="B13" s="135" t="str">
        <f>'Exh. No. AEB-6 CGDCF'!B14</f>
        <v>ETR</v>
      </c>
      <c r="C13" s="228">
        <v>0.7</v>
      </c>
      <c r="D13" s="229">
        <v>0.7</v>
      </c>
      <c r="E13" s="229">
        <v>0.7</v>
      </c>
      <c r="F13" s="228">
        <v>0.65</v>
      </c>
      <c r="G13" s="228">
        <v>0.65</v>
      </c>
      <c r="H13" s="228">
        <v>0.6</v>
      </c>
      <c r="I13" s="228">
        <v>0.6</v>
      </c>
      <c r="J13" s="228">
        <v>0.95</v>
      </c>
      <c r="K13" s="228">
        <v>0.95</v>
      </c>
      <c r="L13" s="228">
        <v>0.95</v>
      </c>
      <c r="M13" s="93">
        <f t="shared" si="0"/>
        <v>0.745</v>
      </c>
      <c r="N13" s="65"/>
      <c r="Q13" s="65"/>
      <c r="R13" s="65"/>
    </row>
    <row r="14" spans="1:18" s="94" customFormat="1" x14ac:dyDescent="0.2">
      <c r="A14" s="135" t="str">
        <f>'Exh. No. AEB-6 CGDCF'!A15</f>
        <v>Evergy, Inc.</v>
      </c>
      <c r="B14" s="135" t="str">
        <f>'Exh. No. AEB-6 CGDCF'!B15</f>
        <v>EVRG</v>
      </c>
      <c r="C14" s="228"/>
      <c r="D14" s="229"/>
      <c r="E14" s="229"/>
      <c r="F14" s="228"/>
      <c r="G14" s="228"/>
      <c r="H14" s="228" t="s">
        <v>1424</v>
      </c>
      <c r="I14" s="228" t="s">
        <v>1424</v>
      </c>
      <c r="J14" s="228">
        <v>1</v>
      </c>
      <c r="K14" s="228">
        <v>0.95</v>
      </c>
      <c r="L14" s="228">
        <v>0.9</v>
      </c>
      <c r="M14" s="93">
        <f t="shared" si="0"/>
        <v>0.95000000000000007</v>
      </c>
      <c r="N14" s="65"/>
      <c r="Q14" s="65"/>
      <c r="R14" s="65"/>
    </row>
    <row r="15" spans="1:18" s="94" customFormat="1" x14ac:dyDescent="0.2">
      <c r="A15" s="135" t="str">
        <f>'Exh. No. AEB-6 CGDCF'!A16</f>
        <v>IDACORP, Inc.</v>
      </c>
      <c r="B15" s="135" t="str">
        <f>'Exh. No. AEB-6 CGDCF'!B16</f>
        <v>IDA</v>
      </c>
      <c r="C15" s="228">
        <v>0.75</v>
      </c>
      <c r="D15" s="229">
        <v>0.8</v>
      </c>
      <c r="E15" s="229">
        <v>0.8</v>
      </c>
      <c r="F15" s="228">
        <v>0.75</v>
      </c>
      <c r="G15" s="228">
        <v>0.7</v>
      </c>
      <c r="H15" s="228">
        <v>0.55000000000000004</v>
      </c>
      <c r="I15" s="228">
        <v>0.55000000000000004</v>
      </c>
      <c r="J15" s="228">
        <v>0.8</v>
      </c>
      <c r="K15" s="228">
        <v>0.8</v>
      </c>
      <c r="L15" s="228">
        <v>0.8</v>
      </c>
      <c r="M15" s="93">
        <f t="shared" si="0"/>
        <v>0.72999999999999987</v>
      </c>
      <c r="N15" s="65"/>
      <c r="Q15" s="65"/>
      <c r="R15" s="65"/>
    </row>
    <row r="16" spans="1:18" x14ac:dyDescent="0.2">
      <c r="A16" s="135" t="str">
        <f>'Exh. No. AEB-6 CGDCF'!A17</f>
        <v>NextEra Energy, Inc.</v>
      </c>
      <c r="B16" s="135" t="str">
        <f>'Exh. No. AEB-6 CGDCF'!B17</f>
        <v>NEE</v>
      </c>
      <c r="C16" s="228">
        <v>0.7</v>
      </c>
      <c r="D16" s="229">
        <v>0.7</v>
      </c>
      <c r="E16" s="229">
        <v>0.75</v>
      </c>
      <c r="F16" s="228">
        <v>0.65</v>
      </c>
      <c r="G16" s="228">
        <v>0.65</v>
      </c>
      <c r="H16" s="228">
        <v>0.55000000000000004</v>
      </c>
      <c r="I16" s="228">
        <v>0.55000000000000004</v>
      </c>
      <c r="J16" s="228">
        <v>0.9</v>
      </c>
      <c r="K16" s="228">
        <v>0.9</v>
      </c>
      <c r="L16" s="228">
        <v>0.95</v>
      </c>
      <c r="M16" s="93">
        <f t="shared" si="0"/>
        <v>0.73000000000000009</v>
      </c>
    </row>
    <row r="17" spans="1:13" x14ac:dyDescent="0.2">
      <c r="A17" s="135" t="str">
        <f>'Exh. No. AEB-6 CGDCF'!A18</f>
        <v>NorthWestern Corporation</v>
      </c>
      <c r="B17" s="135" t="str">
        <f>'Exh. No. AEB-6 CGDCF'!B18</f>
        <v>NWE</v>
      </c>
      <c r="C17" s="228">
        <v>0.7</v>
      </c>
      <c r="D17" s="229">
        <v>0.7</v>
      </c>
      <c r="E17" s="229">
        <v>0.7</v>
      </c>
      <c r="F17" s="228">
        <v>0.7</v>
      </c>
      <c r="G17" s="228">
        <v>0.7</v>
      </c>
      <c r="H17" s="228">
        <v>0.55000000000000004</v>
      </c>
      <c r="I17" s="228">
        <v>0.6</v>
      </c>
      <c r="J17" s="228">
        <v>0.95</v>
      </c>
      <c r="K17" s="228">
        <v>0.95</v>
      </c>
      <c r="L17" s="228">
        <v>0.9</v>
      </c>
      <c r="M17" s="93">
        <f t="shared" si="0"/>
        <v>0.745</v>
      </c>
    </row>
    <row r="18" spans="1:13" x14ac:dyDescent="0.2">
      <c r="A18" s="135" t="str">
        <f>'Exh. No. AEB-6 CGDCF'!A19</f>
        <v>OGE Energy Corporation</v>
      </c>
      <c r="B18" s="135" t="str">
        <f>'Exh. No. AEB-6 CGDCF'!B19</f>
        <v>OGE</v>
      </c>
      <c r="C18" s="228">
        <v>0.85</v>
      </c>
      <c r="D18" s="229">
        <v>0.9</v>
      </c>
      <c r="E18" s="229">
        <v>0.95</v>
      </c>
      <c r="F18" s="228">
        <v>0.9</v>
      </c>
      <c r="G18" s="228">
        <v>0.95</v>
      </c>
      <c r="H18" s="228">
        <v>0.85</v>
      </c>
      <c r="I18" s="228">
        <v>0.75</v>
      </c>
      <c r="J18" s="228">
        <v>1.1000000000000001</v>
      </c>
      <c r="K18" s="228">
        <v>1.05</v>
      </c>
      <c r="L18" s="228">
        <v>1</v>
      </c>
      <c r="M18" s="93">
        <f t="shared" si="0"/>
        <v>0.93</v>
      </c>
    </row>
    <row r="19" spans="1:13" x14ac:dyDescent="0.2">
      <c r="A19" s="135" t="str">
        <f>'Exh. No. AEB-6 CGDCF'!A20</f>
        <v>Otter Tail Corporation</v>
      </c>
      <c r="B19" s="135" t="str">
        <f>'Exh. No. AEB-6 CGDCF'!B20</f>
        <v>OTTR</v>
      </c>
      <c r="C19" s="228">
        <v>0.95</v>
      </c>
      <c r="D19" s="229">
        <v>0.9</v>
      </c>
      <c r="E19" s="229">
        <v>0.85</v>
      </c>
      <c r="F19" s="228">
        <v>0.85</v>
      </c>
      <c r="G19" s="228">
        <v>0.9</v>
      </c>
      <c r="H19" s="228">
        <v>0.75</v>
      </c>
      <c r="I19" s="228">
        <v>0.7</v>
      </c>
      <c r="J19" s="228">
        <v>0.85</v>
      </c>
      <c r="K19" s="228">
        <v>0.9</v>
      </c>
      <c r="L19" s="228">
        <v>0.85</v>
      </c>
      <c r="M19" s="93">
        <f t="shared" si="0"/>
        <v>0.85</v>
      </c>
    </row>
    <row r="20" spans="1:13" x14ac:dyDescent="0.2">
      <c r="A20" s="135" t="str">
        <f>'Exh. No. AEB-6 CGDCF'!A21</f>
        <v>Portland General Electric Company</v>
      </c>
      <c r="B20" s="135" t="str">
        <f>'Exh. No. AEB-6 CGDCF'!B21</f>
        <v>POR</v>
      </c>
      <c r="C20" s="228">
        <v>0.75</v>
      </c>
      <c r="D20" s="229">
        <v>0.8</v>
      </c>
      <c r="E20" s="229">
        <v>0.8</v>
      </c>
      <c r="F20" s="228">
        <v>0.7</v>
      </c>
      <c r="G20" s="228">
        <v>0.7</v>
      </c>
      <c r="H20" s="228">
        <v>0.6</v>
      </c>
      <c r="I20" s="228">
        <v>0.55000000000000004</v>
      </c>
      <c r="J20" s="228">
        <v>0.85</v>
      </c>
      <c r="K20" s="228">
        <v>0.9</v>
      </c>
      <c r="L20" s="228">
        <v>0.85</v>
      </c>
      <c r="M20" s="93">
        <f t="shared" si="0"/>
        <v>0.74999999999999989</v>
      </c>
    </row>
    <row r="21" spans="1:13" x14ac:dyDescent="0.2">
      <c r="A21" s="135" t="str">
        <f>'Exh. No. AEB-6 CGDCF'!A22</f>
        <v>Southern Company</v>
      </c>
      <c r="B21" s="135" t="str">
        <f>'Exh. No. AEB-6 CGDCF'!B22</f>
        <v>SO</v>
      </c>
      <c r="C21" s="228">
        <v>0.55000000000000004</v>
      </c>
      <c r="D21" s="229">
        <v>0.55000000000000004</v>
      </c>
      <c r="E21" s="229">
        <v>0.6</v>
      </c>
      <c r="F21" s="228">
        <v>0.55000000000000004</v>
      </c>
      <c r="G21" s="228">
        <v>0.55000000000000004</v>
      </c>
      <c r="H21" s="228">
        <v>0.5</v>
      </c>
      <c r="I21" s="228">
        <v>0.5</v>
      </c>
      <c r="J21" s="228">
        <v>0.9</v>
      </c>
      <c r="K21" s="228">
        <v>0.95</v>
      </c>
      <c r="L21" s="228">
        <v>0.9</v>
      </c>
      <c r="M21" s="93">
        <f t="shared" si="0"/>
        <v>0.65500000000000003</v>
      </c>
    </row>
    <row r="22" spans="1:13" x14ac:dyDescent="0.2">
      <c r="A22" s="77" t="str">
        <f>'Exh. No. AEB-6 CGDCF'!A23</f>
        <v>Xcel Energy Inc.</v>
      </c>
      <c r="B22" s="77" t="str">
        <f>'Exh. No. AEB-6 CGDCF'!B23</f>
        <v>XEL</v>
      </c>
      <c r="C22" s="228">
        <v>0.65</v>
      </c>
      <c r="D22" s="229">
        <v>0.65</v>
      </c>
      <c r="E22" s="229">
        <v>0.65</v>
      </c>
      <c r="F22" s="228">
        <v>0.6</v>
      </c>
      <c r="G22" s="228">
        <v>0.6</v>
      </c>
      <c r="H22" s="228">
        <v>0.5</v>
      </c>
      <c r="I22" s="228">
        <v>0.5</v>
      </c>
      <c r="J22" s="228">
        <v>0.8</v>
      </c>
      <c r="K22" s="228">
        <v>0.8</v>
      </c>
      <c r="L22" s="228">
        <v>0.8</v>
      </c>
      <c r="M22" s="93">
        <f t="shared" si="0"/>
        <v>0.65500000000000003</v>
      </c>
    </row>
    <row r="23" spans="1:13" x14ac:dyDescent="0.2">
      <c r="A23" s="77" t="s">
        <v>4</v>
      </c>
      <c r="B23" s="227"/>
      <c r="C23" s="95">
        <f t="shared" ref="C23:M23" si="1">AVERAGE(C6:C22)</f>
        <v>0.73125000000000007</v>
      </c>
      <c r="D23" s="95">
        <f t="shared" si="1"/>
        <v>0.74062500000000009</v>
      </c>
      <c r="E23" s="95">
        <f t="shared" si="1"/>
        <v>0.75312499999999993</v>
      </c>
      <c r="F23" s="95">
        <f t="shared" si="1"/>
        <v>0.69062500000000004</v>
      </c>
      <c r="G23" s="95">
        <f t="shared" si="1"/>
        <v>0.703125</v>
      </c>
      <c r="H23" s="95">
        <f t="shared" si="1"/>
        <v>0.59374999999999989</v>
      </c>
      <c r="I23" s="95">
        <f t="shared" si="1"/>
        <v>0.578125</v>
      </c>
      <c r="J23" s="95">
        <f t="shared" si="1"/>
        <v>0.88235294117647056</v>
      </c>
      <c r="K23" s="95">
        <f t="shared" si="1"/>
        <v>0.8852941176470589</v>
      </c>
      <c r="L23" s="95">
        <f t="shared" si="1"/>
        <v>0.87058823529411766</v>
      </c>
      <c r="M23" s="95">
        <f t="shared" si="1"/>
        <v>0.75382352941176456</v>
      </c>
    </row>
    <row r="25" spans="1:13" x14ac:dyDescent="0.2">
      <c r="A25" s="96" t="s">
        <v>88</v>
      </c>
      <c r="M25" s="97"/>
    </row>
    <row r="26" spans="1:13" x14ac:dyDescent="0.2">
      <c r="A26" s="45" t="s">
        <v>143</v>
      </c>
    </row>
    <row r="27" spans="1:13" x14ac:dyDescent="0.2">
      <c r="A27" s="45" t="s">
        <v>144</v>
      </c>
    </row>
    <row r="28" spans="1:13" x14ac:dyDescent="0.2">
      <c r="A28" s="45" t="s">
        <v>145</v>
      </c>
    </row>
    <row r="29" spans="1:13" x14ac:dyDescent="0.2">
      <c r="A29" s="45" t="s">
        <v>146</v>
      </c>
    </row>
    <row r="30" spans="1:13" x14ac:dyDescent="0.2">
      <c r="A30" s="65" t="s">
        <v>147</v>
      </c>
    </row>
    <row r="31" spans="1:13" x14ac:dyDescent="0.2">
      <c r="A31" s="65" t="s">
        <v>148</v>
      </c>
    </row>
    <row r="32" spans="1:13" x14ac:dyDescent="0.2">
      <c r="A32" s="66" t="s">
        <v>149</v>
      </c>
    </row>
    <row r="33" spans="1:1" x14ac:dyDescent="0.2">
      <c r="A33" s="65" t="s">
        <v>150</v>
      </c>
    </row>
    <row r="34" spans="1:1" x14ac:dyDescent="0.2">
      <c r="A34" s="65" t="s">
        <v>151</v>
      </c>
    </row>
    <row r="35" spans="1:1" x14ac:dyDescent="0.2">
      <c r="A35" s="65" t="s">
        <v>1322</v>
      </c>
    </row>
    <row r="36" spans="1:1" x14ac:dyDescent="0.2">
      <c r="A36" s="65" t="s">
        <v>1323</v>
      </c>
    </row>
  </sheetData>
  <mergeCells count="1">
    <mergeCell ref="A2:M2"/>
  </mergeCells>
  <conditionalFormatting sqref="A6:B22">
    <cfRule type="expression" dxfId="11" priority="1">
      <formula>"(blank)"</formula>
    </cfRule>
  </conditionalFormatting>
  <conditionalFormatting sqref="A6:B22">
    <cfRule type="expression" dxfId="10" priority="2">
      <formula>#REF!</formula>
    </cfRule>
  </conditionalFormatting>
  <pageMargins left="0.7" right="0.7" top="0.75" bottom="0.75" header="0.3" footer="0.3"/>
  <pageSetup scale="64" orientation="landscape" useFirstPageNumber="1" r:id="rId1"/>
  <headerFooter>
    <oddHeader>&amp;LREFILED April 19, 2023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36"/>
  <sheetViews>
    <sheetView view="pageLayout" zoomScale="85" zoomScaleNormal="100" zoomScaleSheetLayoutView="85" zoomScalePageLayoutView="85" workbookViewId="0">
      <selection activeCell="A363" sqref="A363"/>
    </sheetView>
  </sheetViews>
  <sheetFormatPr defaultColWidth="9.140625" defaultRowHeight="12.75" x14ac:dyDescent="0.2"/>
  <cols>
    <col min="1" max="1" width="49.28515625" style="98" customWidth="1"/>
    <col min="2" max="2" width="15.5703125" style="98" customWidth="1"/>
    <col min="3" max="3" width="10.42578125" style="98" customWidth="1"/>
    <col min="4" max="4" width="12.5703125" style="98" bestFit="1" customWidth="1"/>
    <col min="5" max="5" width="12.7109375" style="98" bestFit="1" customWidth="1"/>
    <col min="6" max="6" width="10.85546875" style="98" bestFit="1" customWidth="1"/>
    <col min="7" max="7" width="12.28515625" style="98" bestFit="1" customWidth="1"/>
    <col min="8" max="8" width="12.42578125" style="98" bestFit="1" customWidth="1"/>
    <col min="9" max="9" width="10.28515625" style="98" bestFit="1" customWidth="1"/>
    <col min="10" max="10" width="13" style="98" bestFit="1" customWidth="1"/>
    <col min="11" max="16384" width="9.140625" style="98"/>
  </cols>
  <sheetData>
    <row r="1" spans="1:10" x14ac:dyDescent="0.2">
      <c r="A1" s="356" t="s">
        <v>152</v>
      </c>
      <c r="B1" s="356"/>
      <c r="C1" s="356"/>
      <c r="D1" s="356"/>
      <c r="E1" s="356"/>
      <c r="F1" s="356"/>
      <c r="G1" s="356"/>
    </row>
    <row r="2" spans="1:10" s="99" customFormat="1" x14ac:dyDescent="0.2"/>
    <row r="3" spans="1:10" s="99" customFormat="1" x14ac:dyDescent="0.2">
      <c r="A3" s="325"/>
    </row>
    <row r="4" spans="1:10" s="99" customFormat="1" x14ac:dyDescent="0.2">
      <c r="A4" s="325" t="s">
        <v>153</v>
      </c>
      <c r="B4" s="357">
        <f>SUM(H19:H521)</f>
        <v>1.7512066548992778E-2</v>
      </c>
      <c r="C4" s="358"/>
    </row>
    <row r="5" spans="1:10" s="99" customFormat="1" x14ac:dyDescent="0.2">
      <c r="A5" s="325"/>
    </row>
    <row r="6" spans="1:10" s="99" customFormat="1" x14ac:dyDescent="0.2">
      <c r="A6" s="325" t="s">
        <v>154</v>
      </c>
      <c r="B6" s="357">
        <f>SUM(J19:J521)</f>
        <v>0.10651823823829251</v>
      </c>
      <c r="C6" s="358"/>
    </row>
    <row r="7" spans="1:10" s="99" customFormat="1" x14ac:dyDescent="0.2">
      <c r="A7" s="325"/>
    </row>
    <row r="8" spans="1:10" s="99" customFormat="1" x14ac:dyDescent="0.2">
      <c r="A8" s="325" t="s">
        <v>155</v>
      </c>
      <c r="B8" s="359">
        <f>B4*(1+0.5*B6)+B6</f>
        <v>0.12496298202564052</v>
      </c>
      <c r="C8" s="360"/>
    </row>
    <row r="9" spans="1:10" s="99" customFormat="1" x14ac:dyDescent="0.2">
      <c r="A9" s="325"/>
    </row>
    <row r="10" spans="1:10" s="99" customFormat="1" x14ac:dyDescent="0.2">
      <c r="A10" s="325"/>
    </row>
    <row r="11" spans="1:10" s="99" customFormat="1" x14ac:dyDescent="0.2"/>
    <row r="12" spans="1:10" x14ac:dyDescent="0.2">
      <c r="A12" s="100" t="s">
        <v>156</v>
      </c>
      <c r="B12" s="100"/>
      <c r="C12" s="100"/>
      <c r="D12" s="100"/>
      <c r="E12" s="100"/>
      <c r="F12" s="100"/>
      <c r="G12" s="100"/>
      <c r="H12" s="100"/>
      <c r="I12" s="100"/>
      <c r="J12" s="100"/>
    </row>
    <row r="14" spans="1:10" ht="13.5" thickBot="1" x14ac:dyDescent="0.25">
      <c r="C14" s="101" t="s">
        <v>31</v>
      </c>
      <c r="D14" s="101" t="s">
        <v>32</v>
      </c>
      <c r="E14" s="101" t="s">
        <v>33</v>
      </c>
      <c r="F14" s="101" t="s">
        <v>93</v>
      </c>
      <c r="G14" s="101" t="s">
        <v>94</v>
      </c>
      <c r="H14" s="101" t="s">
        <v>95</v>
      </c>
      <c r="I14" s="101" t="s">
        <v>96</v>
      </c>
      <c r="J14" s="101" t="s">
        <v>97</v>
      </c>
    </row>
    <row r="15" spans="1:10" x14ac:dyDescent="0.2">
      <c r="A15" s="102"/>
      <c r="B15" s="102"/>
      <c r="C15" s="102"/>
      <c r="D15" s="102"/>
      <c r="E15" s="102"/>
      <c r="F15" s="103"/>
      <c r="G15" s="104"/>
      <c r="H15" s="102"/>
      <c r="I15" s="105" t="s">
        <v>157</v>
      </c>
      <c r="J15" s="105" t="s">
        <v>158</v>
      </c>
    </row>
    <row r="16" spans="1:10" x14ac:dyDescent="0.2">
      <c r="C16" s="101" t="s">
        <v>159</v>
      </c>
      <c r="E16" s="101" t="s">
        <v>160</v>
      </c>
      <c r="F16" s="26" t="s">
        <v>161</v>
      </c>
      <c r="G16" s="26" t="s">
        <v>162</v>
      </c>
      <c r="H16" s="101" t="s">
        <v>163</v>
      </c>
      <c r="I16" s="26" t="s">
        <v>164</v>
      </c>
      <c r="J16" s="101" t="s">
        <v>164</v>
      </c>
    </row>
    <row r="17" spans="1:12" x14ac:dyDescent="0.2">
      <c r="A17" s="106" t="s">
        <v>165</v>
      </c>
      <c r="B17" s="106" t="s">
        <v>35</v>
      </c>
      <c r="C17" s="106" t="s">
        <v>166</v>
      </c>
      <c r="D17" s="106" t="s">
        <v>167</v>
      </c>
      <c r="E17" s="106" t="s">
        <v>168</v>
      </c>
      <c r="F17" s="107" t="s">
        <v>169</v>
      </c>
      <c r="G17" s="107" t="s">
        <v>100</v>
      </c>
      <c r="H17" s="106" t="s">
        <v>100</v>
      </c>
      <c r="I17" s="107" t="s">
        <v>170</v>
      </c>
      <c r="J17" s="106" t="s">
        <v>170</v>
      </c>
    </row>
    <row r="18" spans="1:12" s="99" customFormat="1" x14ac:dyDescent="0.2"/>
    <row r="19" spans="1:12" x14ac:dyDescent="0.2">
      <c r="A19" s="99" t="s">
        <v>712</v>
      </c>
      <c r="B19" s="108" t="s">
        <v>713</v>
      </c>
      <c r="C19" s="109">
        <v>325.62400000000002</v>
      </c>
      <c r="D19" s="109">
        <v>96.69</v>
      </c>
      <c r="E19" s="109">
        <f>IFERROR(C19*D19,"")</f>
        <v>31484.584560000003</v>
      </c>
      <c r="F19" s="110">
        <f>IF(AND(ISNUMBER($I19)), IF(AND($I19&lt;=20%,$I19&gt;0%), $E19/SUMIFS($E$19:$E$521,$I$19:$I$521, "&gt;"&amp;0%,$I$19:$I$521, "&lt;="&amp;20%),""),"")</f>
        <v>1.11292129463038E-3</v>
      </c>
      <c r="G19" s="111">
        <v>4.9229496328472434E-2</v>
      </c>
      <c r="H19" s="110">
        <f t="shared" ref="H19:H82" si="0">IFERROR($G19*$F19,"")</f>
        <v>5.4788554787885077E-5</v>
      </c>
      <c r="I19" s="111">
        <v>3.5000000000000003E-2</v>
      </c>
      <c r="J19" s="110">
        <f t="shared" ref="J19:J82" si="1">IFERROR($I19*$F19,"")</f>
        <v>3.8952245312063302E-5</v>
      </c>
      <c r="L19" s="112"/>
    </row>
    <row r="20" spans="1:12" x14ac:dyDescent="0.2">
      <c r="A20" s="99" t="s">
        <v>938</v>
      </c>
      <c r="B20" s="108" t="s">
        <v>939</v>
      </c>
      <c r="C20" s="109">
        <v>62.929000000000002</v>
      </c>
      <c r="D20" s="109">
        <v>128.94999999999999</v>
      </c>
      <c r="E20" s="109">
        <f t="shared" ref="E20:E83" si="2">IFERROR(C20*D20,"")</f>
        <v>8114.6945499999993</v>
      </c>
      <c r="F20" s="110">
        <f t="shared" ref="F20:F83" si="3">IF(AND(ISNUMBER($I20)), IF(AND($I20&lt;=20%,$I20&gt;0%), $E20/SUMIFS($E$19:$E$521,$I$19:$I$521, "&gt;"&amp;0%,$I$19:$I$521, "&lt;="&amp;20%),""),"")</f>
        <v>2.8683930534022857E-4</v>
      </c>
      <c r="G20" s="111">
        <v>2.1713842574641335E-2</v>
      </c>
      <c r="H20" s="110">
        <f t="shared" si="0"/>
        <v>6.2283835203772006E-6</v>
      </c>
      <c r="I20" s="111">
        <v>0.14499999999999999</v>
      </c>
      <c r="J20" s="110">
        <f t="shared" si="1"/>
        <v>4.1591699274333142E-5</v>
      </c>
      <c r="L20" s="112"/>
    </row>
    <row r="21" spans="1:12" x14ac:dyDescent="0.2">
      <c r="A21" s="99" t="s">
        <v>267</v>
      </c>
      <c r="B21" s="108" t="s">
        <v>268</v>
      </c>
      <c r="C21" s="109">
        <v>743</v>
      </c>
      <c r="D21" s="109">
        <v>174.93</v>
      </c>
      <c r="E21" s="109">
        <f t="shared" si="2"/>
        <v>129972.99</v>
      </c>
      <c r="F21" s="110">
        <f t="shared" si="3"/>
        <v>4.5943025871001495E-3</v>
      </c>
      <c r="G21" s="111">
        <v>1.1890470473903847E-2</v>
      </c>
      <c r="H21" s="110">
        <f t="shared" si="0"/>
        <v>5.4628419260094388E-5</v>
      </c>
      <c r="I21" s="111">
        <v>0.1</v>
      </c>
      <c r="J21" s="110">
        <f t="shared" si="1"/>
        <v>4.5943025871001498E-4</v>
      </c>
      <c r="L21" s="112"/>
    </row>
    <row r="22" spans="1:12" x14ac:dyDescent="0.2">
      <c r="A22" s="99" t="s">
        <v>1070</v>
      </c>
      <c r="B22" s="108" t="s">
        <v>1071</v>
      </c>
      <c r="C22" s="109">
        <v>4200</v>
      </c>
      <c r="D22" s="109">
        <v>41.57</v>
      </c>
      <c r="E22" s="109">
        <f t="shared" si="2"/>
        <v>174594</v>
      </c>
      <c r="F22" s="110">
        <f t="shared" si="3"/>
        <v>6.1715720003991861E-3</v>
      </c>
      <c r="G22" s="111">
        <v>6.2785662737551109E-2</v>
      </c>
      <c r="H22" s="110">
        <f t="shared" si="0"/>
        <v>3.8748623817757693E-4</v>
      </c>
      <c r="I22" s="111">
        <v>2.5000000000000001E-2</v>
      </c>
      <c r="J22" s="110">
        <f t="shared" si="1"/>
        <v>1.5428930000997967E-4</v>
      </c>
      <c r="L22" s="112"/>
    </row>
    <row r="23" spans="1:12" x14ac:dyDescent="0.2">
      <c r="A23" s="99" t="s">
        <v>261</v>
      </c>
      <c r="B23" s="108" t="s">
        <v>262</v>
      </c>
      <c r="C23" s="109">
        <v>417.88600000000002</v>
      </c>
      <c r="D23" s="109">
        <v>585.01</v>
      </c>
      <c r="E23" s="109">
        <f t="shared" si="2"/>
        <v>244467.48886000001</v>
      </c>
      <c r="F23" s="110" t="str">
        <f t="shared" si="3"/>
        <v/>
      </c>
      <c r="G23" s="111">
        <v>3.1452453804208476E-2</v>
      </c>
      <c r="H23" s="110" t="str">
        <f t="shared" si="0"/>
        <v/>
      </c>
      <c r="I23" s="111">
        <v>0.3</v>
      </c>
      <c r="J23" s="110" t="str">
        <f t="shared" si="1"/>
        <v/>
      </c>
      <c r="L23" s="112"/>
    </row>
    <row r="24" spans="1:12" x14ac:dyDescent="0.2">
      <c r="A24" s="99" t="s">
        <v>271</v>
      </c>
      <c r="B24" s="108" t="s">
        <v>272</v>
      </c>
      <c r="C24" s="109">
        <v>598.24</v>
      </c>
      <c r="D24" s="109">
        <v>213</v>
      </c>
      <c r="E24" s="109">
        <f t="shared" si="2"/>
        <v>127425.12</v>
      </c>
      <c r="F24" s="110" t="str">
        <f t="shared" si="3"/>
        <v/>
      </c>
      <c r="G24" s="111" t="s">
        <v>175</v>
      </c>
      <c r="H24" s="110" t="str">
        <f t="shared" si="0"/>
        <v/>
      </c>
      <c r="I24" s="111" t="s">
        <v>175</v>
      </c>
      <c r="J24" s="110" t="str">
        <f t="shared" si="1"/>
        <v/>
      </c>
      <c r="L24" s="112"/>
    </row>
    <row r="25" spans="1:12" x14ac:dyDescent="0.2">
      <c r="A25" s="99" t="s">
        <v>323</v>
      </c>
      <c r="B25" s="108" t="s">
        <v>324</v>
      </c>
      <c r="C25" s="109">
        <v>520.40899999999999</v>
      </c>
      <c r="D25" s="109">
        <v>252.29</v>
      </c>
      <c r="E25" s="109">
        <f t="shared" si="2"/>
        <v>131293.98660999999</v>
      </c>
      <c r="F25" s="110">
        <f t="shared" si="3"/>
        <v>4.6409973514729124E-3</v>
      </c>
      <c r="G25" s="111">
        <v>1.9025724364818263E-2</v>
      </c>
      <c r="H25" s="110">
        <f t="shared" si="0"/>
        <v>8.8298336386975215E-5</v>
      </c>
      <c r="I25" s="111">
        <v>0.11</v>
      </c>
      <c r="J25" s="110">
        <f t="shared" si="1"/>
        <v>5.1050970866202037E-4</v>
      </c>
      <c r="L25" s="112"/>
    </row>
    <row r="26" spans="1:12" x14ac:dyDescent="0.2">
      <c r="A26" s="99" t="s">
        <v>655</v>
      </c>
      <c r="B26" s="108" t="s">
        <v>656</v>
      </c>
      <c r="C26" s="109">
        <v>2933.2049999999999</v>
      </c>
      <c r="D26" s="109">
        <v>139.96</v>
      </c>
      <c r="E26" s="109">
        <f t="shared" si="2"/>
        <v>410531.37180000002</v>
      </c>
      <c r="F26" s="110">
        <f t="shared" si="3"/>
        <v>1.4511517689533135E-2</v>
      </c>
      <c r="G26" s="111">
        <v>2.8579594169762787E-2</v>
      </c>
      <c r="H26" s="110">
        <f t="shared" si="0"/>
        <v>4.1473328635419077E-4</v>
      </c>
      <c r="I26" s="111">
        <v>0.05</v>
      </c>
      <c r="J26" s="110">
        <f t="shared" si="1"/>
        <v>7.2557588447665685E-4</v>
      </c>
      <c r="L26" s="112"/>
    </row>
    <row r="27" spans="1:12" x14ac:dyDescent="0.2">
      <c r="A27" s="99" t="s">
        <v>411</v>
      </c>
      <c r="B27" s="108" t="s">
        <v>412</v>
      </c>
      <c r="C27" s="109">
        <v>1901</v>
      </c>
      <c r="D27" s="109">
        <v>174.02</v>
      </c>
      <c r="E27" s="109">
        <f t="shared" si="2"/>
        <v>330812.02</v>
      </c>
      <c r="F27" s="110" t="str">
        <f t="shared" si="3"/>
        <v/>
      </c>
      <c r="G27" s="111">
        <v>3.4708654177680723E-2</v>
      </c>
      <c r="H27" s="110" t="str">
        <f t="shared" si="0"/>
        <v/>
      </c>
      <c r="I27" s="111">
        <v>0.44</v>
      </c>
      <c r="J27" s="110" t="str">
        <f t="shared" si="1"/>
        <v/>
      </c>
      <c r="L27" s="112"/>
    </row>
    <row r="28" spans="1:12" x14ac:dyDescent="0.2">
      <c r="A28" s="99" t="s">
        <v>675</v>
      </c>
      <c r="B28" s="108" t="s">
        <v>676</v>
      </c>
      <c r="C28" s="109">
        <v>4324.5129999999999</v>
      </c>
      <c r="D28" s="109">
        <v>61.32</v>
      </c>
      <c r="E28" s="109">
        <f t="shared" si="2"/>
        <v>265179.13715999998</v>
      </c>
      <c r="F28" s="110">
        <f t="shared" si="3"/>
        <v>9.3735875115219958E-3</v>
      </c>
      <c r="G28" s="111">
        <v>2.8701891715590344E-2</v>
      </c>
      <c r="H28" s="110">
        <f t="shared" si="0"/>
        <v>2.690396937423143E-4</v>
      </c>
      <c r="I28" s="111">
        <v>0.08</v>
      </c>
      <c r="J28" s="110">
        <f t="shared" si="1"/>
        <v>7.4988700092175971E-4</v>
      </c>
      <c r="L28" s="112"/>
    </row>
    <row r="29" spans="1:12" x14ac:dyDescent="0.2">
      <c r="A29" s="99" t="s">
        <v>180</v>
      </c>
      <c r="B29" s="108" t="s">
        <v>181</v>
      </c>
      <c r="C29" s="109">
        <v>1768.481</v>
      </c>
      <c r="D29" s="109">
        <v>147.75</v>
      </c>
      <c r="E29" s="109">
        <f t="shared" si="2"/>
        <v>261293.06774999999</v>
      </c>
      <c r="F29" s="110">
        <f t="shared" si="3"/>
        <v>9.2362222116699755E-3</v>
      </c>
      <c r="G29" s="111">
        <v>4.0067681895093063E-2</v>
      </c>
      <c r="H29" s="110">
        <f t="shared" si="0"/>
        <v>3.700740134895855E-4</v>
      </c>
      <c r="I29" s="111">
        <v>4.4999999999999998E-2</v>
      </c>
      <c r="J29" s="110">
        <f t="shared" si="1"/>
        <v>4.1562999952514889E-4</v>
      </c>
      <c r="L29" s="112"/>
    </row>
    <row r="30" spans="1:12" x14ac:dyDescent="0.2">
      <c r="A30" s="99" t="s">
        <v>433</v>
      </c>
      <c r="B30" s="108" t="s">
        <v>434</v>
      </c>
      <c r="C30" s="109">
        <v>1823.5920000000001</v>
      </c>
      <c r="D30" s="109">
        <v>108.49</v>
      </c>
      <c r="E30" s="109">
        <f t="shared" si="2"/>
        <v>197841.49608000001</v>
      </c>
      <c r="F30" s="110" t="str">
        <f t="shared" si="3"/>
        <v/>
      </c>
      <c r="G30" s="111" t="s">
        <v>175</v>
      </c>
      <c r="H30" s="110" t="str">
        <f t="shared" si="0"/>
        <v/>
      </c>
      <c r="I30" s="111">
        <v>0.86</v>
      </c>
      <c r="J30" s="110" t="str">
        <f t="shared" si="1"/>
        <v/>
      </c>
      <c r="L30" s="112"/>
    </row>
    <row r="31" spans="1:12" x14ac:dyDescent="0.2">
      <c r="A31" s="99" t="s">
        <v>526</v>
      </c>
      <c r="B31" s="108" t="s">
        <v>527</v>
      </c>
      <c r="C31" s="109">
        <v>73.751999999999995</v>
      </c>
      <c r="D31" s="109">
        <v>208.81</v>
      </c>
      <c r="E31" s="109">
        <f t="shared" si="2"/>
        <v>15400.155119999999</v>
      </c>
      <c r="F31" s="110">
        <f t="shared" si="3"/>
        <v>5.4436673734719503E-4</v>
      </c>
      <c r="G31" s="111" t="s">
        <v>175</v>
      </c>
      <c r="H31" s="110" t="str">
        <f t="shared" si="0"/>
        <v/>
      </c>
      <c r="I31" s="111">
        <v>0.105</v>
      </c>
      <c r="J31" s="110">
        <f t="shared" si="1"/>
        <v>5.7158507421455477E-5</v>
      </c>
      <c r="L31" s="112"/>
    </row>
    <row r="32" spans="1:12" x14ac:dyDescent="0.2">
      <c r="A32" s="99" t="s">
        <v>501</v>
      </c>
      <c r="B32" s="108" t="s">
        <v>502</v>
      </c>
      <c r="C32" s="109">
        <v>133.922</v>
      </c>
      <c r="D32" s="109">
        <v>157.83000000000001</v>
      </c>
      <c r="E32" s="109">
        <f t="shared" si="2"/>
        <v>21136.90926</v>
      </c>
      <c r="F32" s="110">
        <f t="shared" si="3"/>
        <v>7.4715028789073103E-4</v>
      </c>
      <c r="G32" s="111">
        <v>3.8015586390420068E-2</v>
      </c>
      <c r="H32" s="110">
        <f t="shared" si="0"/>
        <v>2.8403356315937312E-5</v>
      </c>
      <c r="I32" s="111">
        <v>0.04</v>
      </c>
      <c r="J32" s="110">
        <f t="shared" si="1"/>
        <v>2.9886011515629241E-5</v>
      </c>
      <c r="L32" s="112"/>
    </row>
    <row r="33" spans="1:12" x14ac:dyDescent="0.2">
      <c r="A33" s="99" t="s">
        <v>1108</v>
      </c>
      <c r="B33" s="108" t="s">
        <v>1109</v>
      </c>
      <c r="C33" s="109">
        <v>4118.2929999999997</v>
      </c>
      <c r="D33" s="109">
        <v>116.01</v>
      </c>
      <c r="E33" s="109">
        <f t="shared" si="2"/>
        <v>477763.17092999996</v>
      </c>
      <c r="F33" s="110" t="str">
        <f t="shared" si="3"/>
        <v/>
      </c>
      <c r="G33" s="111">
        <v>3.1376605465046115E-2</v>
      </c>
      <c r="H33" s="110" t="str">
        <f t="shared" si="0"/>
        <v/>
      </c>
      <c r="I33" s="111" t="s">
        <v>175</v>
      </c>
      <c r="J33" s="110" t="str">
        <f t="shared" si="1"/>
        <v/>
      </c>
      <c r="L33" s="112"/>
    </row>
    <row r="34" spans="1:12" x14ac:dyDescent="0.2">
      <c r="A34" s="99" t="s">
        <v>892</v>
      </c>
      <c r="B34" s="108" t="s">
        <v>893</v>
      </c>
      <c r="C34" s="109">
        <v>472.63200000000001</v>
      </c>
      <c r="D34" s="109">
        <v>100.27</v>
      </c>
      <c r="E34" s="109">
        <f t="shared" si="2"/>
        <v>47390.810639999996</v>
      </c>
      <c r="F34" s="110" t="str">
        <f t="shared" si="3"/>
        <v/>
      </c>
      <c r="G34" s="111">
        <v>3.8695522090356038E-2</v>
      </c>
      <c r="H34" s="110" t="str">
        <f t="shared" si="0"/>
        <v/>
      </c>
      <c r="I34" s="111">
        <v>0.85</v>
      </c>
      <c r="J34" s="110" t="str">
        <f t="shared" si="1"/>
        <v/>
      </c>
      <c r="L34" s="112"/>
    </row>
    <row r="35" spans="1:12" x14ac:dyDescent="0.2">
      <c r="A35" s="99" t="s">
        <v>543</v>
      </c>
      <c r="B35" s="108" t="s">
        <v>544</v>
      </c>
      <c r="C35" s="109">
        <v>1092.6679999999999</v>
      </c>
      <c r="D35" s="109">
        <v>80.48</v>
      </c>
      <c r="E35" s="109">
        <f t="shared" si="2"/>
        <v>87937.920639999997</v>
      </c>
      <c r="F35" s="110" t="str">
        <f t="shared" si="3"/>
        <v/>
      </c>
      <c r="G35" s="111">
        <v>3.9761431411530811E-3</v>
      </c>
      <c r="H35" s="110" t="str">
        <f t="shared" si="0"/>
        <v/>
      </c>
      <c r="I35" s="111">
        <v>0.21</v>
      </c>
      <c r="J35" s="110" t="str">
        <f t="shared" si="1"/>
        <v/>
      </c>
      <c r="L35" s="112"/>
    </row>
    <row r="36" spans="1:12" x14ac:dyDescent="0.2">
      <c r="A36" s="99" t="s">
        <v>594</v>
      </c>
      <c r="B36" s="108" t="s">
        <v>595</v>
      </c>
      <c r="C36" s="109">
        <v>982.14599999999996</v>
      </c>
      <c r="D36" s="109">
        <v>29.14</v>
      </c>
      <c r="E36" s="109">
        <f t="shared" si="2"/>
        <v>28619.73444</v>
      </c>
      <c r="F36" s="110">
        <f t="shared" si="3"/>
        <v>1.0116541904576577E-3</v>
      </c>
      <c r="G36" s="111">
        <v>3.6032944406314348E-2</v>
      </c>
      <c r="H36" s="110">
        <f t="shared" si="0"/>
        <v>3.6452879203175727E-5</v>
      </c>
      <c r="I36" s="111">
        <v>0.105</v>
      </c>
      <c r="J36" s="110">
        <f t="shared" si="1"/>
        <v>1.0622368999805406E-4</v>
      </c>
      <c r="L36" s="112"/>
    </row>
    <row r="37" spans="1:12" x14ac:dyDescent="0.2">
      <c r="A37" s="99" t="s">
        <v>578</v>
      </c>
      <c r="B37" s="108" t="s">
        <v>579</v>
      </c>
      <c r="C37" s="109">
        <v>1019.186</v>
      </c>
      <c r="D37" s="109">
        <v>324.17</v>
      </c>
      <c r="E37" s="109">
        <f t="shared" si="2"/>
        <v>330389.52562000003</v>
      </c>
      <c r="F37" s="110">
        <f t="shared" si="3"/>
        <v>1.1678653020960409E-2</v>
      </c>
      <c r="G37" s="111">
        <v>2.3444489002683776E-2</v>
      </c>
      <c r="H37" s="110">
        <f t="shared" si="0"/>
        <v>2.7380005231606596E-4</v>
      </c>
      <c r="I37" s="111">
        <v>0.09</v>
      </c>
      <c r="J37" s="110">
        <f t="shared" si="1"/>
        <v>1.0510787718864367E-3</v>
      </c>
      <c r="L37" s="112"/>
    </row>
    <row r="38" spans="1:12" x14ac:dyDescent="0.2">
      <c r="A38" s="99" t="s">
        <v>762</v>
      </c>
      <c r="B38" s="108" t="s">
        <v>763</v>
      </c>
      <c r="C38" s="109">
        <v>46.942</v>
      </c>
      <c r="D38" s="109">
        <v>426.56</v>
      </c>
      <c r="E38" s="109">
        <f t="shared" si="2"/>
        <v>20023.579519999999</v>
      </c>
      <c r="F38" s="110" t="str">
        <f t="shared" si="3"/>
        <v/>
      </c>
      <c r="G38" s="111">
        <v>7.0330082520630157E-3</v>
      </c>
      <c r="H38" s="110" t="str">
        <f t="shared" si="0"/>
        <v/>
      </c>
      <c r="I38" s="111">
        <v>0.23499999999999999</v>
      </c>
      <c r="J38" s="110" t="str">
        <f t="shared" si="1"/>
        <v/>
      </c>
      <c r="L38" s="112"/>
    </row>
    <row r="39" spans="1:12" x14ac:dyDescent="0.2">
      <c r="A39" s="99" t="s">
        <v>608</v>
      </c>
      <c r="B39" s="108" t="s">
        <v>609</v>
      </c>
      <c r="C39" s="109">
        <v>904.12599999999998</v>
      </c>
      <c r="D39" s="109">
        <v>134.72999999999999</v>
      </c>
      <c r="E39" s="109">
        <f t="shared" si="2"/>
        <v>121812.89597999999</v>
      </c>
      <c r="F39" s="110">
        <f t="shared" si="3"/>
        <v>4.3058584952387052E-3</v>
      </c>
      <c r="G39" s="111">
        <v>4.8986862614117124E-2</v>
      </c>
      <c r="H39" s="110">
        <f t="shared" si="0"/>
        <v>2.1093049854208754E-4</v>
      </c>
      <c r="I39" s="111">
        <v>0.03</v>
      </c>
      <c r="J39" s="110">
        <f t="shared" si="1"/>
        <v>1.2917575485716116E-4</v>
      </c>
      <c r="L39" s="112"/>
    </row>
    <row r="40" spans="1:12" x14ac:dyDescent="0.2">
      <c r="A40" s="99" t="s">
        <v>651</v>
      </c>
      <c r="B40" s="108" t="s">
        <v>652</v>
      </c>
      <c r="C40" s="109">
        <v>2614.4839999999999</v>
      </c>
      <c r="D40" s="109">
        <v>163.41999999999999</v>
      </c>
      <c r="E40" s="109">
        <f t="shared" si="2"/>
        <v>427258.97527999996</v>
      </c>
      <c r="F40" s="110">
        <f t="shared" si="3"/>
        <v>1.5102807248572665E-2</v>
      </c>
      <c r="G40" s="111">
        <v>2.7658793293354546E-2</v>
      </c>
      <c r="H40" s="110">
        <f t="shared" si="0"/>
        <v>4.1772542383764806E-4</v>
      </c>
      <c r="I40" s="111">
        <v>0.08</v>
      </c>
      <c r="J40" s="110">
        <f t="shared" si="1"/>
        <v>1.2082245798858133E-3</v>
      </c>
      <c r="L40" s="112"/>
    </row>
    <row r="41" spans="1:12" x14ac:dyDescent="0.2">
      <c r="A41" s="99" t="s">
        <v>724</v>
      </c>
      <c r="B41" s="108" t="s">
        <v>725</v>
      </c>
      <c r="C41" s="109">
        <v>732.42399999999998</v>
      </c>
      <c r="D41" s="109">
        <v>267.39999999999998</v>
      </c>
      <c r="E41" s="109">
        <f t="shared" si="2"/>
        <v>195850.17759999997</v>
      </c>
      <c r="F41" s="110">
        <f t="shared" si="3"/>
        <v>6.9229382014809656E-3</v>
      </c>
      <c r="G41" s="111">
        <v>2.273747195213164E-2</v>
      </c>
      <c r="H41" s="110">
        <f t="shared" si="0"/>
        <v>1.5741011318251411E-4</v>
      </c>
      <c r="I41" s="111">
        <v>0.105</v>
      </c>
      <c r="J41" s="110">
        <f t="shared" si="1"/>
        <v>7.2690851115550135E-4</v>
      </c>
      <c r="L41" s="112"/>
    </row>
    <row r="42" spans="1:12" x14ac:dyDescent="0.2">
      <c r="A42" s="99" t="s">
        <v>764</v>
      </c>
      <c r="B42" s="108" t="s">
        <v>765</v>
      </c>
      <c r="C42" s="109">
        <v>2535.3960000000002</v>
      </c>
      <c r="D42" s="109">
        <v>107.41</v>
      </c>
      <c r="E42" s="109">
        <f t="shared" si="2"/>
        <v>272326.88436000003</v>
      </c>
      <c r="F42" s="110">
        <f t="shared" si="3"/>
        <v>9.6262470329571657E-3</v>
      </c>
      <c r="G42" s="111">
        <v>2.7185550693603948E-2</v>
      </c>
      <c r="H42" s="110">
        <f t="shared" si="0"/>
        <v>2.6169482670361163E-4</v>
      </c>
      <c r="I42" s="111">
        <v>0.08</v>
      </c>
      <c r="J42" s="110">
        <f t="shared" si="1"/>
        <v>7.7009976263657325E-4</v>
      </c>
      <c r="L42" s="112"/>
    </row>
    <row r="43" spans="1:12" x14ac:dyDescent="0.2">
      <c r="A43" s="99" t="s">
        <v>750</v>
      </c>
      <c r="B43" s="108" t="s">
        <v>751</v>
      </c>
      <c r="C43" s="109">
        <v>552.74300000000005</v>
      </c>
      <c r="D43" s="109">
        <v>115.08</v>
      </c>
      <c r="E43" s="109">
        <f t="shared" si="2"/>
        <v>63609.664440000008</v>
      </c>
      <c r="F43" s="110">
        <f t="shared" si="3"/>
        <v>2.248482903265243E-3</v>
      </c>
      <c r="G43" s="111">
        <v>5.1790059089329162E-2</v>
      </c>
      <c r="H43" s="110">
        <f t="shared" si="0"/>
        <v>1.1644906242145332E-4</v>
      </c>
      <c r="I43" s="111">
        <v>7.4999999999999997E-2</v>
      </c>
      <c r="J43" s="110">
        <f t="shared" si="1"/>
        <v>1.6863621774489322E-4</v>
      </c>
      <c r="L43" s="112"/>
    </row>
    <row r="44" spans="1:12" x14ac:dyDescent="0.2">
      <c r="A44" s="99" t="s">
        <v>265</v>
      </c>
      <c r="B44" s="108" t="s">
        <v>266</v>
      </c>
      <c r="C44" s="109">
        <v>181.828</v>
      </c>
      <c r="D44" s="109">
        <v>156.49</v>
      </c>
      <c r="E44" s="109">
        <f t="shared" si="2"/>
        <v>28454.263720000003</v>
      </c>
      <c r="F44" s="110">
        <f t="shared" si="3"/>
        <v>1.0058051093756167E-3</v>
      </c>
      <c r="G44" s="111">
        <v>1.6742283852003322E-2</v>
      </c>
      <c r="H44" s="110">
        <f t="shared" si="0"/>
        <v>1.6839474640961821E-5</v>
      </c>
      <c r="I44" s="111">
        <v>0.03</v>
      </c>
      <c r="J44" s="110">
        <f t="shared" si="1"/>
        <v>3.0174153281268499E-5</v>
      </c>
      <c r="L44" s="112"/>
    </row>
    <row r="45" spans="1:12" x14ac:dyDescent="0.2">
      <c r="A45" s="99" t="s">
        <v>273</v>
      </c>
      <c r="B45" s="108" t="s">
        <v>274</v>
      </c>
      <c r="C45" s="109">
        <v>7996.7780000000002</v>
      </c>
      <c r="D45" s="109">
        <v>35.479999999999997</v>
      </c>
      <c r="E45" s="109">
        <f t="shared" si="2"/>
        <v>283725.68343999999</v>
      </c>
      <c r="F45" s="110">
        <f t="shared" si="3"/>
        <v>1.0029173303277473E-2</v>
      </c>
      <c r="G45" s="111">
        <v>2.4802705749718153E-2</v>
      </c>
      <c r="H45" s="110">
        <f t="shared" si="0"/>
        <v>2.4875063435412002E-4</v>
      </c>
      <c r="I45" s="111">
        <v>8.5000000000000006E-2</v>
      </c>
      <c r="J45" s="110">
        <f t="shared" si="1"/>
        <v>8.5247973077858528E-4</v>
      </c>
      <c r="L45" s="112"/>
    </row>
    <row r="46" spans="1:12" x14ac:dyDescent="0.2">
      <c r="A46" s="99" t="s">
        <v>856</v>
      </c>
      <c r="B46" s="108" t="s">
        <v>857</v>
      </c>
      <c r="C46" s="109">
        <v>5613.3149999999996</v>
      </c>
      <c r="D46" s="109">
        <v>44.16</v>
      </c>
      <c r="E46" s="109">
        <f t="shared" si="2"/>
        <v>247883.99039999995</v>
      </c>
      <c r="F46" s="110">
        <f t="shared" si="3"/>
        <v>8.7622363569186817E-3</v>
      </c>
      <c r="G46" s="111">
        <v>3.7137681159420288E-2</v>
      </c>
      <c r="H46" s="110">
        <f t="shared" si="0"/>
        <v>3.2540914006672637E-4</v>
      </c>
      <c r="I46" s="111">
        <v>6.5000000000000002E-2</v>
      </c>
      <c r="J46" s="110">
        <f t="shared" si="1"/>
        <v>5.695453631997143E-4</v>
      </c>
      <c r="L46" s="112"/>
    </row>
    <row r="47" spans="1:12" x14ac:dyDescent="0.2">
      <c r="A47" s="99" t="s">
        <v>860</v>
      </c>
      <c r="B47" s="108" t="s">
        <v>861</v>
      </c>
      <c r="C47" s="109">
        <v>2359.1439999999998</v>
      </c>
      <c r="D47" s="109">
        <v>142.38</v>
      </c>
      <c r="E47" s="109">
        <f t="shared" si="2"/>
        <v>335894.92271999997</v>
      </c>
      <c r="F47" s="110">
        <f t="shared" si="3"/>
        <v>1.1873258531994229E-2</v>
      </c>
      <c r="G47" s="111">
        <v>2.5658098047478581E-2</v>
      </c>
      <c r="H47" s="110">
        <f t="shared" si="0"/>
        <v>3.0464523155696954E-4</v>
      </c>
      <c r="I47" s="111">
        <v>6.5000000000000002E-2</v>
      </c>
      <c r="J47" s="110">
        <f t="shared" si="1"/>
        <v>7.7176180457962497E-4</v>
      </c>
      <c r="L47" s="112"/>
    </row>
    <row r="48" spans="1:12" x14ac:dyDescent="0.2">
      <c r="A48" s="99" t="s">
        <v>984</v>
      </c>
      <c r="B48" s="108" t="s">
        <v>985</v>
      </c>
      <c r="C48" s="109">
        <v>7128</v>
      </c>
      <c r="D48" s="109">
        <v>20.37</v>
      </c>
      <c r="E48" s="109">
        <f t="shared" si="2"/>
        <v>145197.36000000002</v>
      </c>
      <c r="F48" s="110">
        <f t="shared" si="3"/>
        <v>5.1324556485783067E-3</v>
      </c>
      <c r="G48" s="111">
        <v>5.4491899852724596E-2</v>
      </c>
      <c r="H48" s="110">
        <f t="shared" si="0"/>
        <v>2.7967725920087977E-4</v>
      </c>
      <c r="I48" s="111">
        <v>0.01</v>
      </c>
      <c r="J48" s="110">
        <f t="shared" si="1"/>
        <v>5.1324556485783071E-5</v>
      </c>
      <c r="L48" s="112"/>
    </row>
    <row r="49" spans="1:12" x14ac:dyDescent="0.2">
      <c r="A49" s="99" t="s">
        <v>1016</v>
      </c>
      <c r="B49" s="108" t="s">
        <v>1017</v>
      </c>
      <c r="C49" s="109">
        <v>232.1</v>
      </c>
      <c r="D49" s="109">
        <v>191.12</v>
      </c>
      <c r="E49" s="109">
        <f t="shared" si="2"/>
        <v>44358.951999999997</v>
      </c>
      <c r="F49" s="110">
        <f t="shared" si="3"/>
        <v>1.568006152160163E-3</v>
      </c>
      <c r="G49" s="111">
        <v>1.946421096693177E-2</v>
      </c>
      <c r="H49" s="110">
        <f t="shared" si="0"/>
        <v>3.052000254309233E-5</v>
      </c>
      <c r="I49" s="111">
        <v>6.5000000000000002E-2</v>
      </c>
      <c r="J49" s="110">
        <f t="shared" si="1"/>
        <v>1.0192039989041059E-4</v>
      </c>
      <c r="L49" s="112"/>
    </row>
    <row r="50" spans="1:12" x14ac:dyDescent="0.2">
      <c r="A50" s="99" t="s">
        <v>934</v>
      </c>
      <c r="B50" s="108" t="s">
        <v>935</v>
      </c>
      <c r="C50" s="109">
        <v>1470.0609999999999</v>
      </c>
      <c r="D50" s="109">
        <v>99.85</v>
      </c>
      <c r="E50" s="109">
        <f t="shared" si="2"/>
        <v>146785.59084999998</v>
      </c>
      <c r="F50" s="110">
        <f t="shared" si="3"/>
        <v>5.1885966445119015E-3</v>
      </c>
      <c r="G50" s="111">
        <v>2.2033049574361547E-2</v>
      </c>
      <c r="H50" s="110">
        <f t="shared" si="0"/>
        <v>1.1432060708989671E-4</v>
      </c>
      <c r="I50" s="111">
        <v>7.0000000000000007E-2</v>
      </c>
      <c r="J50" s="110">
        <f t="shared" si="1"/>
        <v>3.6320176511583317E-4</v>
      </c>
      <c r="L50" s="112"/>
    </row>
    <row r="51" spans="1:12" x14ac:dyDescent="0.2">
      <c r="A51" s="99" t="s">
        <v>190</v>
      </c>
      <c r="B51" s="108" t="s">
        <v>191</v>
      </c>
      <c r="C51" s="109">
        <v>509.29599999999999</v>
      </c>
      <c r="D51" s="109">
        <v>171.47</v>
      </c>
      <c r="E51" s="109">
        <f t="shared" si="2"/>
        <v>87328.985119999998</v>
      </c>
      <c r="F51" s="110">
        <f t="shared" si="3"/>
        <v>3.086916614487721E-3</v>
      </c>
      <c r="G51" s="111">
        <v>1.7729048813203478E-2</v>
      </c>
      <c r="H51" s="110">
        <f t="shared" si="0"/>
        <v>5.4728095340541629E-5</v>
      </c>
      <c r="I51" s="111">
        <v>0.14000000000000001</v>
      </c>
      <c r="J51" s="110">
        <f t="shared" si="1"/>
        <v>4.3216832602828101E-4</v>
      </c>
      <c r="L51" s="112"/>
    </row>
    <row r="52" spans="1:12" x14ac:dyDescent="0.2">
      <c r="A52" s="99" t="s">
        <v>1093</v>
      </c>
      <c r="B52" s="108" t="s">
        <v>1094</v>
      </c>
      <c r="C52" s="109">
        <v>2696.8</v>
      </c>
      <c r="D52" s="109">
        <v>143.87</v>
      </c>
      <c r="E52" s="109">
        <f t="shared" si="2"/>
        <v>387988.61600000004</v>
      </c>
      <c r="F52" s="110">
        <f t="shared" si="3"/>
        <v>1.3714673350626207E-2</v>
      </c>
      <c r="G52" s="111">
        <v>1.5569611454785571E-2</v>
      </c>
      <c r="H52" s="110">
        <f t="shared" si="0"/>
        <v>2.135321352985522E-4</v>
      </c>
      <c r="I52" s="111">
        <v>7.4999999999999997E-2</v>
      </c>
      <c r="J52" s="110">
        <f t="shared" si="1"/>
        <v>1.0286005012969655E-3</v>
      </c>
      <c r="L52" s="112"/>
    </row>
    <row r="53" spans="1:12" x14ac:dyDescent="0.2">
      <c r="A53" s="99" t="s">
        <v>395</v>
      </c>
      <c r="B53" s="108" t="s">
        <v>396</v>
      </c>
      <c r="C53" s="109">
        <v>4108.1030000000001</v>
      </c>
      <c r="D53" s="109">
        <v>48.67</v>
      </c>
      <c r="E53" s="109">
        <f t="shared" si="2"/>
        <v>199941.37301000001</v>
      </c>
      <c r="F53" s="110">
        <f t="shared" si="3"/>
        <v>7.06755432254193E-3</v>
      </c>
      <c r="G53" s="111">
        <v>3.1230737620710908E-2</v>
      </c>
      <c r="H53" s="110">
        <f t="shared" si="0"/>
        <v>2.2072493466742825E-4</v>
      </c>
      <c r="I53" s="111">
        <v>0.09</v>
      </c>
      <c r="J53" s="110">
        <f t="shared" si="1"/>
        <v>6.3607988902877367E-4</v>
      </c>
      <c r="L53" s="112"/>
    </row>
    <row r="54" spans="1:12" x14ac:dyDescent="0.2">
      <c r="A54" s="99" t="s">
        <v>622</v>
      </c>
      <c r="B54" s="108" t="s">
        <v>623</v>
      </c>
      <c r="C54" s="109">
        <v>4137</v>
      </c>
      <c r="D54" s="109">
        <v>28.26</v>
      </c>
      <c r="E54" s="109">
        <f t="shared" si="2"/>
        <v>116911.62000000001</v>
      </c>
      <c r="F54" s="110" t="str">
        <f t="shared" si="3"/>
        <v/>
      </c>
      <c r="G54" s="111">
        <v>5.1663128096249109E-2</v>
      </c>
      <c r="H54" s="110" t="str">
        <f t="shared" si="0"/>
        <v/>
      </c>
      <c r="I54" s="111" t="s">
        <v>175</v>
      </c>
      <c r="J54" s="110" t="str">
        <f t="shared" si="1"/>
        <v/>
      </c>
      <c r="L54" s="112"/>
    </row>
    <row r="55" spans="1:12" x14ac:dyDescent="0.2">
      <c r="A55" s="99" t="s">
        <v>553</v>
      </c>
      <c r="B55" s="108" t="s">
        <v>554</v>
      </c>
      <c r="C55" s="109">
        <v>1394.6369999999999</v>
      </c>
      <c r="D55" s="109">
        <v>39.32</v>
      </c>
      <c r="E55" s="109">
        <f t="shared" si="2"/>
        <v>54837.126839999997</v>
      </c>
      <c r="F55" s="110">
        <f t="shared" si="3"/>
        <v>1.9383900740465464E-3</v>
      </c>
      <c r="G55" s="111">
        <v>9.1556459816887082E-3</v>
      </c>
      <c r="H55" s="110">
        <f t="shared" si="0"/>
        <v>1.774721329238954E-5</v>
      </c>
      <c r="I55" s="111">
        <v>0.1</v>
      </c>
      <c r="J55" s="110">
        <f t="shared" si="1"/>
        <v>1.9383900740465465E-4</v>
      </c>
      <c r="L55" s="112"/>
    </row>
    <row r="56" spans="1:12" x14ac:dyDescent="0.2">
      <c r="A56" s="99" t="s">
        <v>774</v>
      </c>
      <c r="B56" s="108" t="s">
        <v>775</v>
      </c>
      <c r="C56" s="109">
        <v>7443.8040000000001</v>
      </c>
      <c r="D56" s="109">
        <v>247.81</v>
      </c>
      <c r="E56" s="109">
        <f t="shared" si="2"/>
        <v>1844649.0692400001</v>
      </c>
      <c r="F56" s="110">
        <f t="shared" si="3"/>
        <v>6.5204901349897509E-2</v>
      </c>
      <c r="G56" s="111">
        <v>1.0976151083491386E-2</v>
      </c>
      <c r="H56" s="110">
        <f t="shared" si="0"/>
        <v>7.1569884860062647E-4</v>
      </c>
      <c r="I56" s="111">
        <v>0.15</v>
      </c>
      <c r="J56" s="110">
        <f t="shared" si="1"/>
        <v>9.7807352024846268E-3</v>
      </c>
      <c r="L56" s="112"/>
    </row>
    <row r="57" spans="1:12" x14ac:dyDescent="0.2">
      <c r="A57" s="99" t="s">
        <v>425</v>
      </c>
      <c r="B57" s="108" t="s">
        <v>426</v>
      </c>
      <c r="C57" s="109">
        <v>223.57499999999999</v>
      </c>
      <c r="D57" s="109">
        <v>233.6</v>
      </c>
      <c r="E57" s="109">
        <f t="shared" si="2"/>
        <v>52227.119999999995</v>
      </c>
      <c r="F57" s="110">
        <f t="shared" si="3"/>
        <v>1.8461312041277956E-3</v>
      </c>
      <c r="G57" s="111">
        <v>9.4178082191780834E-3</v>
      </c>
      <c r="H57" s="110">
        <f t="shared" si="0"/>
        <v>1.7386509627915886E-5</v>
      </c>
      <c r="I57" s="111">
        <v>0.1</v>
      </c>
      <c r="J57" s="110">
        <f t="shared" si="1"/>
        <v>1.8461312041277958E-4</v>
      </c>
      <c r="L57" s="112"/>
    </row>
    <row r="58" spans="1:12" x14ac:dyDescent="0.2">
      <c r="A58" s="99" t="s">
        <v>354</v>
      </c>
      <c r="B58" s="108" t="s">
        <v>355</v>
      </c>
      <c r="C58" s="109">
        <v>305.73899999999998</v>
      </c>
      <c r="D58" s="109">
        <v>316.67</v>
      </c>
      <c r="E58" s="109">
        <f t="shared" si="2"/>
        <v>96818.369129999992</v>
      </c>
      <c r="F58" s="110">
        <f t="shared" si="3"/>
        <v>3.4223486262243887E-3</v>
      </c>
      <c r="G58" s="111">
        <v>1.4147219502952601E-2</v>
      </c>
      <c r="H58" s="110">
        <f t="shared" si="0"/>
        <v>4.8416717230824711E-5</v>
      </c>
      <c r="I58" s="111">
        <v>0.1</v>
      </c>
      <c r="J58" s="110">
        <f t="shared" si="1"/>
        <v>3.4223486262243888E-4</v>
      </c>
      <c r="L58" s="112"/>
    </row>
    <row r="59" spans="1:12" x14ac:dyDescent="0.2">
      <c r="A59" s="99" t="s">
        <v>671</v>
      </c>
      <c r="B59" s="108" t="s">
        <v>672</v>
      </c>
      <c r="C59" s="109">
        <v>2247.7420000000002</v>
      </c>
      <c r="D59" s="109">
        <v>18.3</v>
      </c>
      <c r="E59" s="109">
        <f t="shared" si="2"/>
        <v>41133.678600000007</v>
      </c>
      <c r="F59" s="110">
        <f t="shared" si="3"/>
        <v>1.4539987578105734E-3</v>
      </c>
      <c r="G59" s="111">
        <v>6.0655737704918035E-2</v>
      </c>
      <c r="H59" s="110">
        <f t="shared" si="0"/>
        <v>8.8193367277034781E-5</v>
      </c>
      <c r="I59" s="111">
        <v>0.19</v>
      </c>
      <c r="J59" s="110">
        <f t="shared" si="1"/>
        <v>2.7625976398400892E-4</v>
      </c>
      <c r="L59" s="112"/>
    </row>
    <row r="60" spans="1:12" x14ac:dyDescent="0.2">
      <c r="A60" s="99" t="s">
        <v>315</v>
      </c>
      <c r="B60" s="108" t="s">
        <v>316</v>
      </c>
      <c r="C60" s="109">
        <v>1937</v>
      </c>
      <c r="D60" s="109">
        <v>52.22</v>
      </c>
      <c r="E60" s="109">
        <f t="shared" si="2"/>
        <v>101150.14</v>
      </c>
      <c r="F60" s="110">
        <f t="shared" si="3"/>
        <v>3.575468640734835E-3</v>
      </c>
      <c r="G60" s="111">
        <v>3.9065492148602068E-2</v>
      </c>
      <c r="H60" s="110">
        <f t="shared" si="0"/>
        <v>1.396774421121996E-4</v>
      </c>
      <c r="I60" s="111">
        <v>3.5000000000000003E-2</v>
      </c>
      <c r="J60" s="110">
        <f t="shared" si="1"/>
        <v>1.2514140242571924E-4</v>
      </c>
      <c r="L60" s="112"/>
    </row>
    <row r="61" spans="1:12" x14ac:dyDescent="0.2">
      <c r="A61" s="99" t="s">
        <v>204</v>
      </c>
      <c r="B61" s="108" t="s">
        <v>205</v>
      </c>
      <c r="C61" s="109">
        <v>742.98</v>
      </c>
      <c r="D61" s="109">
        <v>63.22</v>
      </c>
      <c r="E61" s="109">
        <f t="shared" si="2"/>
        <v>46971.195599999999</v>
      </c>
      <c r="F61" s="110">
        <f t="shared" si="3"/>
        <v>1.6603440873697462E-3</v>
      </c>
      <c r="G61" s="111">
        <v>2.024675735526732E-2</v>
      </c>
      <c r="H61" s="110">
        <f t="shared" si="0"/>
        <v>3.3616583863228013E-5</v>
      </c>
      <c r="I61" s="111">
        <v>6.5000000000000002E-2</v>
      </c>
      <c r="J61" s="110">
        <f t="shared" si="1"/>
        <v>1.0792236567903351E-4</v>
      </c>
      <c r="L61" s="112"/>
    </row>
    <row r="62" spans="1:12" x14ac:dyDescent="0.2">
      <c r="A62" s="99" t="s">
        <v>754</v>
      </c>
      <c r="B62" s="108" t="s">
        <v>755</v>
      </c>
      <c r="C62" s="109">
        <v>1792.173</v>
      </c>
      <c r="D62" s="109">
        <v>45.04</v>
      </c>
      <c r="E62" s="109">
        <f t="shared" si="2"/>
        <v>80719.471919999996</v>
      </c>
      <c r="F62" s="110">
        <f t="shared" si="3"/>
        <v>2.8532826602774455E-3</v>
      </c>
      <c r="G62" s="111">
        <v>8.348134991119005E-2</v>
      </c>
      <c r="H62" s="110">
        <f t="shared" si="0"/>
        <v>2.3819588815815265E-4</v>
      </c>
      <c r="I62" s="111">
        <v>0.06</v>
      </c>
      <c r="J62" s="110">
        <f t="shared" si="1"/>
        <v>1.7119695961664673E-4</v>
      </c>
      <c r="L62" s="112"/>
    </row>
    <row r="63" spans="1:12" x14ac:dyDescent="0.2">
      <c r="A63" s="99" t="s">
        <v>576</v>
      </c>
      <c r="B63" s="108" t="s">
        <v>577</v>
      </c>
      <c r="C63" s="109">
        <v>282.71699999999998</v>
      </c>
      <c r="D63" s="109">
        <v>255.07</v>
      </c>
      <c r="E63" s="109">
        <f t="shared" si="2"/>
        <v>72112.625189999992</v>
      </c>
      <c r="F63" s="110">
        <f t="shared" si="3"/>
        <v>2.5490466940323551E-3</v>
      </c>
      <c r="G63" s="111">
        <v>9.4091817932332299E-3</v>
      </c>
      <c r="H63" s="110">
        <f t="shared" si="0"/>
        <v>2.3984443743590591E-5</v>
      </c>
      <c r="I63" s="111">
        <v>0.125</v>
      </c>
      <c r="J63" s="110">
        <f t="shared" si="1"/>
        <v>3.1863083675404439E-4</v>
      </c>
      <c r="L63" s="112"/>
    </row>
    <row r="64" spans="1:12" x14ac:dyDescent="0.2">
      <c r="A64" s="99" t="s">
        <v>626</v>
      </c>
      <c r="B64" s="108" t="s">
        <v>627</v>
      </c>
      <c r="C64" s="109">
        <v>355.67</v>
      </c>
      <c r="D64" s="109">
        <v>41.82</v>
      </c>
      <c r="E64" s="109">
        <f t="shared" si="2"/>
        <v>14874.119400000001</v>
      </c>
      <c r="F64" s="110">
        <f t="shared" si="3"/>
        <v>5.2577235655082281E-4</v>
      </c>
      <c r="G64" s="111">
        <v>4.4237207077953138E-2</v>
      </c>
      <c r="H64" s="110">
        <f t="shared" si="0"/>
        <v>2.3258700612602161E-5</v>
      </c>
      <c r="I64" s="111">
        <v>0.13500000000000001</v>
      </c>
      <c r="J64" s="110">
        <f t="shared" si="1"/>
        <v>7.0979268134361081E-5</v>
      </c>
      <c r="L64" s="112"/>
    </row>
    <row r="65" spans="1:12" x14ac:dyDescent="0.2">
      <c r="A65" s="99" t="s">
        <v>592</v>
      </c>
      <c r="B65" s="108" t="s">
        <v>593</v>
      </c>
      <c r="C65" s="109">
        <v>1281.817</v>
      </c>
      <c r="D65" s="109">
        <v>16.13</v>
      </c>
      <c r="E65" s="109">
        <f t="shared" si="2"/>
        <v>20675.708209999997</v>
      </c>
      <c r="F65" s="110">
        <f t="shared" si="3"/>
        <v>7.3084769165755736E-4</v>
      </c>
      <c r="G65" s="111">
        <v>2.9758214507129573E-2</v>
      </c>
      <c r="H65" s="110">
        <f t="shared" si="0"/>
        <v>2.1748722380386085E-5</v>
      </c>
      <c r="I65" s="111">
        <v>7.4999999999999997E-2</v>
      </c>
      <c r="J65" s="110">
        <f t="shared" si="1"/>
        <v>5.4813576874316801E-5</v>
      </c>
      <c r="L65" s="112"/>
    </row>
    <row r="66" spans="1:12" x14ac:dyDescent="0.2">
      <c r="A66" s="99" t="s">
        <v>184</v>
      </c>
      <c r="B66" s="108" t="s">
        <v>185</v>
      </c>
      <c r="C66" s="109">
        <v>1743.5740000000001</v>
      </c>
      <c r="D66" s="109">
        <v>110.55</v>
      </c>
      <c r="E66" s="109">
        <f t="shared" si="2"/>
        <v>192752.10570000001</v>
      </c>
      <c r="F66" s="110">
        <f t="shared" si="3"/>
        <v>6.8134271427202795E-3</v>
      </c>
      <c r="G66" s="111">
        <v>1.8453188602442334E-2</v>
      </c>
      <c r="H66" s="110">
        <f t="shared" si="0"/>
        <v>1.257294560936171E-4</v>
      </c>
      <c r="I66" s="111">
        <v>7.0000000000000007E-2</v>
      </c>
      <c r="J66" s="110">
        <f t="shared" si="1"/>
        <v>4.769398999904196E-4</v>
      </c>
      <c r="L66" s="112"/>
    </row>
    <row r="67" spans="1:12" x14ac:dyDescent="0.2">
      <c r="A67" s="99" t="s">
        <v>202</v>
      </c>
      <c r="B67" s="108" t="s">
        <v>203</v>
      </c>
      <c r="C67" s="109">
        <v>621.78899999999999</v>
      </c>
      <c r="D67" s="109">
        <v>73.5</v>
      </c>
      <c r="E67" s="109">
        <f t="shared" si="2"/>
        <v>45701.491499999996</v>
      </c>
      <c r="F67" s="110">
        <f t="shared" si="3"/>
        <v>1.6154624174821667E-3</v>
      </c>
      <c r="G67" s="111">
        <v>2.2857142857142857E-2</v>
      </c>
      <c r="H67" s="110">
        <f t="shared" si="0"/>
        <v>3.6924855256735239E-5</v>
      </c>
      <c r="I67" s="111">
        <v>0.09</v>
      </c>
      <c r="J67" s="110">
        <f t="shared" si="1"/>
        <v>1.4539161757339499E-4</v>
      </c>
      <c r="L67" s="112"/>
    </row>
    <row r="68" spans="1:12" x14ac:dyDescent="0.2">
      <c r="A68" s="99" t="s">
        <v>248</v>
      </c>
      <c r="B68" s="108" t="s">
        <v>249</v>
      </c>
      <c r="C68" s="109">
        <v>221.988</v>
      </c>
      <c r="D68" s="109">
        <v>320.51</v>
      </c>
      <c r="E68" s="109">
        <f t="shared" si="2"/>
        <v>71149.373879999999</v>
      </c>
      <c r="F68" s="110">
        <f t="shared" si="3"/>
        <v>2.5149975582422148E-3</v>
      </c>
      <c r="G68" s="111">
        <v>2.1840192193691304E-2</v>
      </c>
      <c r="H68" s="110">
        <f t="shared" si="0"/>
        <v>5.4928030038674307E-5</v>
      </c>
      <c r="I68" s="111">
        <v>0.115</v>
      </c>
      <c r="J68" s="110">
        <f t="shared" si="1"/>
        <v>2.8922471919785473E-4</v>
      </c>
      <c r="L68" s="112"/>
    </row>
    <row r="69" spans="1:12" x14ac:dyDescent="0.2">
      <c r="A69" s="99" t="s">
        <v>906</v>
      </c>
      <c r="B69" s="108" t="s">
        <v>907</v>
      </c>
      <c r="C69" s="109">
        <v>255.18199999999999</v>
      </c>
      <c r="D69" s="109">
        <v>64.94</v>
      </c>
      <c r="E69" s="109">
        <f t="shared" si="2"/>
        <v>16571.519079999998</v>
      </c>
      <c r="F69" s="110" t="str">
        <f t="shared" si="3"/>
        <v/>
      </c>
      <c r="G69" s="111" t="s">
        <v>175</v>
      </c>
      <c r="H69" s="110" t="str">
        <f t="shared" si="0"/>
        <v/>
      </c>
      <c r="I69" s="111" t="s">
        <v>175</v>
      </c>
      <c r="J69" s="110" t="str">
        <f t="shared" si="1"/>
        <v/>
      </c>
      <c r="L69" s="112"/>
    </row>
    <row r="70" spans="1:12" x14ac:dyDescent="0.2">
      <c r="A70" s="99" t="s">
        <v>580</v>
      </c>
      <c r="B70" s="108" t="s">
        <v>581</v>
      </c>
      <c r="C70" s="109">
        <v>308.30799999999999</v>
      </c>
      <c r="D70" s="109">
        <v>150.16</v>
      </c>
      <c r="E70" s="109">
        <f t="shared" si="2"/>
        <v>46295.529279999995</v>
      </c>
      <c r="F70" s="110" t="str">
        <f t="shared" si="3"/>
        <v/>
      </c>
      <c r="G70" s="111">
        <v>9.9893446989877469E-3</v>
      </c>
      <c r="H70" s="110" t="str">
        <f t="shared" si="0"/>
        <v/>
      </c>
      <c r="I70" s="111" t="s">
        <v>175</v>
      </c>
      <c r="J70" s="110" t="str">
        <f t="shared" si="1"/>
        <v/>
      </c>
      <c r="L70" s="112"/>
    </row>
    <row r="71" spans="1:12" x14ac:dyDescent="0.2">
      <c r="A71" s="99" t="s">
        <v>192</v>
      </c>
      <c r="B71" s="108" t="s">
        <v>193</v>
      </c>
      <c r="C71" s="109">
        <v>549.33399999999995</v>
      </c>
      <c r="D71" s="109">
        <v>82.85</v>
      </c>
      <c r="E71" s="109">
        <f t="shared" si="2"/>
        <v>45512.321899999995</v>
      </c>
      <c r="F71" s="110">
        <f t="shared" si="3"/>
        <v>1.6087756252287861E-3</v>
      </c>
      <c r="G71" s="111">
        <v>2.1726010863005435E-2</v>
      </c>
      <c r="H71" s="110">
        <f t="shared" si="0"/>
        <v>3.4952276709858965E-5</v>
      </c>
      <c r="I71" s="111">
        <v>0.13</v>
      </c>
      <c r="J71" s="110">
        <f t="shared" si="1"/>
        <v>2.0914083127974219E-4</v>
      </c>
      <c r="L71" s="112"/>
    </row>
    <row r="72" spans="1:12" x14ac:dyDescent="0.2">
      <c r="A72" s="99" t="s">
        <v>194</v>
      </c>
      <c r="B72" s="108" t="s">
        <v>195</v>
      </c>
      <c r="C72" s="109">
        <v>414.4</v>
      </c>
      <c r="D72" s="109">
        <v>225.81</v>
      </c>
      <c r="E72" s="109">
        <f t="shared" si="2"/>
        <v>93575.66399999999</v>
      </c>
      <c r="F72" s="110">
        <f t="shared" si="3"/>
        <v>3.3077250527576096E-3</v>
      </c>
      <c r="G72" s="111">
        <v>2.2142509189141315E-2</v>
      </c>
      <c r="H72" s="110">
        <f t="shared" si="0"/>
        <v>7.3241332375838304E-5</v>
      </c>
      <c r="I72" s="111">
        <v>0.1</v>
      </c>
      <c r="J72" s="110">
        <f t="shared" si="1"/>
        <v>3.3077250527576097E-4</v>
      </c>
      <c r="L72" s="112"/>
    </row>
    <row r="73" spans="1:12" x14ac:dyDescent="0.2">
      <c r="A73" s="99" t="s">
        <v>1060</v>
      </c>
      <c r="B73" s="108" t="s">
        <v>1061</v>
      </c>
      <c r="C73" s="109">
        <v>156.38800000000001</v>
      </c>
      <c r="D73" s="109">
        <v>181.79</v>
      </c>
      <c r="E73" s="109">
        <f t="shared" si="2"/>
        <v>28429.774519999999</v>
      </c>
      <c r="F73" s="110">
        <f t="shared" si="3"/>
        <v>1.0049394618674996E-3</v>
      </c>
      <c r="G73" s="111">
        <v>6.8210572638759013E-3</v>
      </c>
      <c r="H73" s="110">
        <f t="shared" si="0"/>
        <v>6.8547496161268476E-6</v>
      </c>
      <c r="I73" s="111">
        <v>0.13</v>
      </c>
      <c r="J73" s="110">
        <f t="shared" si="1"/>
        <v>1.3064213004277496E-4</v>
      </c>
      <c r="L73" s="112"/>
    </row>
    <row r="74" spans="1:12" x14ac:dyDescent="0.2">
      <c r="A74" s="99" t="s">
        <v>269</v>
      </c>
      <c r="B74" s="108" t="s">
        <v>270</v>
      </c>
      <c r="C74" s="109">
        <v>18.765999999999998</v>
      </c>
      <c r="D74" s="109">
        <v>2438.85</v>
      </c>
      <c r="E74" s="109">
        <f t="shared" si="2"/>
        <v>45767.459099999993</v>
      </c>
      <c r="F74" s="110">
        <f t="shared" si="3"/>
        <v>1.6177942490061222E-3</v>
      </c>
      <c r="G74" s="111" t="s">
        <v>175</v>
      </c>
      <c r="H74" s="110" t="str">
        <f t="shared" si="0"/>
        <v/>
      </c>
      <c r="I74" s="111">
        <v>0.14499999999999999</v>
      </c>
      <c r="J74" s="110">
        <f t="shared" si="1"/>
        <v>2.3458016610588772E-4</v>
      </c>
      <c r="L74" s="112"/>
    </row>
    <row r="75" spans="1:12" x14ac:dyDescent="0.2">
      <c r="A75" s="99" t="s">
        <v>263</v>
      </c>
      <c r="B75" s="108" t="s">
        <v>264</v>
      </c>
      <c r="C75" s="109">
        <v>80.968999999999994</v>
      </c>
      <c r="D75" s="109">
        <v>189.44</v>
      </c>
      <c r="E75" s="109">
        <f t="shared" si="2"/>
        <v>15338.767359999998</v>
      </c>
      <c r="F75" s="110">
        <f t="shared" si="3"/>
        <v>5.4219679461844591E-4</v>
      </c>
      <c r="G75" s="111">
        <v>1.583614864864865E-2</v>
      </c>
      <c r="H75" s="110">
        <f t="shared" si="0"/>
        <v>8.5863090363985311E-6</v>
      </c>
      <c r="I75" s="111">
        <v>0.12</v>
      </c>
      <c r="J75" s="110">
        <f t="shared" si="1"/>
        <v>6.5063615354213504E-5</v>
      </c>
      <c r="L75" s="112"/>
    </row>
    <row r="76" spans="1:12" x14ac:dyDescent="0.2">
      <c r="A76" s="99" t="s">
        <v>475</v>
      </c>
      <c r="B76" s="108" t="s">
        <v>476</v>
      </c>
      <c r="C76" s="109">
        <v>135.92400000000001</v>
      </c>
      <c r="D76" s="109">
        <v>221.38</v>
      </c>
      <c r="E76" s="109">
        <f t="shared" si="2"/>
        <v>30090.85512</v>
      </c>
      <c r="F76" s="110" t="str">
        <f t="shared" si="3"/>
        <v/>
      </c>
      <c r="G76" s="111" t="s">
        <v>175</v>
      </c>
      <c r="H76" s="110" t="str">
        <f t="shared" si="0"/>
        <v/>
      </c>
      <c r="I76" s="111">
        <v>0.26500000000000001</v>
      </c>
      <c r="J76" s="110" t="str">
        <f t="shared" si="1"/>
        <v/>
      </c>
      <c r="L76" s="112"/>
    </row>
    <row r="77" spans="1:12" x14ac:dyDescent="0.2">
      <c r="A77" s="99" t="s">
        <v>772</v>
      </c>
      <c r="B77" s="108" t="s">
        <v>773</v>
      </c>
      <c r="C77" s="109">
        <v>79.957999999999998</v>
      </c>
      <c r="D77" s="109">
        <v>531.55999999999995</v>
      </c>
      <c r="E77" s="109">
        <f t="shared" si="2"/>
        <v>42502.474479999997</v>
      </c>
      <c r="F77" s="110">
        <f t="shared" si="3"/>
        <v>1.5023831371550509E-3</v>
      </c>
      <c r="G77" s="111">
        <v>1.0384528557453533E-2</v>
      </c>
      <c r="H77" s="110">
        <f t="shared" si="0"/>
        <v>1.5601540592023256E-5</v>
      </c>
      <c r="I77" s="111">
        <v>0.14499999999999999</v>
      </c>
      <c r="J77" s="110">
        <f t="shared" si="1"/>
        <v>2.1784555488748236E-4</v>
      </c>
      <c r="L77" s="112"/>
    </row>
    <row r="78" spans="1:12" x14ac:dyDescent="0.2">
      <c r="A78" s="99" t="s">
        <v>275</v>
      </c>
      <c r="B78" s="108" t="s">
        <v>276</v>
      </c>
      <c r="C78" s="109">
        <v>313.92</v>
      </c>
      <c r="D78" s="109">
        <v>58.24</v>
      </c>
      <c r="E78" s="109">
        <f t="shared" si="2"/>
        <v>18282.700800000002</v>
      </c>
      <c r="F78" s="110" t="str">
        <f t="shared" si="3"/>
        <v/>
      </c>
      <c r="G78" s="111">
        <v>1.3736263736263736E-2</v>
      </c>
      <c r="H78" s="110" t="str">
        <f t="shared" si="0"/>
        <v/>
      </c>
      <c r="I78" s="111">
        <v>0.215</v>
      </c>
      <c r="J78" s="110" t="str">
        <f t="shared" si="1"/>
        <v/>
      </c>
      <c r="L78" s="112"/>
    </row>
    <row r="79" spans="1:12" x14ac:dyDescent="0.2">
      <c r="A79" s="99" t="s">
        <v>334</v>
      </c>
      <c r="B79" s="108" t="s">
        <v>335</v>
      </c>
      <c r="C79" s="109">
        <v>153.595</v>
      </c>
      <c r="D79" s="109">
        <v>72.28</v>
      </c>
      <c r="E79" s="109">
        <f t="shared" si="2"/>
        <v>11101.846600000001</v>
      </c>
      <c r="F79" s="110" t="str">
        <f t="shared" si="3"/>
        <v/>
      </c>
      <c r="G79" s="111" t="s">
        <v>175</v>
      </c>
      <c r="H79" s="110" t="str">
        <f t="shared" si="0"/>
        <v/>
      </c>
      <c r="I79" s="111" t="s">
        <v>175</v>
      </c>
      <c r="J79" s="110" t="str">
        <f t="shared" si="1"/>
        <v/>
      </c>
      <c r="L79" s="112"/>
    </row>
    <row r="80" spans="1:12" x14ac:dyDescent="0.2">
      <c r="A80" s="99" t="s">
        <v>321</v>
      </c>
      <c r="B80" s="108" t="s">
        <v>322</v>
      </c>
      <c r="C80" s="109">
        <v>836.26199999999994</v>
      </c>
      <c r="D80" s="109">
        <v>45.53</v>
      </c>
      <c r="E80" s="109">
        <f t="shared" si="2"/>
        <v>38075.008860000002</v>
      </c>
      <c r="F80" s="110" t="str">
        <f t="shared" si="3"/>
        <v/>
      </c>
      <c r="G80" s="111">
        <v>1.6253019986821875E-2</v>
      </c>
      <c r="H80" s="110" t="str">
        <f t="shared" si="0"/>
        <v/>
      </c>
      <c r="I80" s="111" t="s">
        <v>175</v>
      </c>
      <c r="J80" s="110" t="str">
        <f t="shared" si="1"/>
        <v/>
      </c>
      <c r="L80" s="112"/>
    </row>
    <row r="81" spans="1:12" x14ac:dyDescent="0.2">
      <c r="A81" s="99" t="s">
        <v>293</v>
      </c>
      <c r="B81" s="108" t="s">
        <v>294</v>
      </c>
      <c r="C81" s="109">
        <v>808.44500000000005</v>
      </c>
      <c r="D81" s="109">
        <v>50.57</v>
      </c>
      <c r="E81" s="109">
        <f t="shared" si="2"/>
        <v>40883.063650000004</v>
      </c>
      <c r="F81" s="110">
        <f t="shared" si="3"/>
        <v>1.445139987129442E-3</v>
      </c>
      <c r="G81" s="111">
        <v>2.9266363456594818E-2</v>
      </c>
      <c r="H81" s="110">
        <f t="shared" si="0"/>
        <v>4.2293992108989007E-5</v>
      </c>
      <c r="I81" s="111">
        <v>0.06</v>
      </c>
      <c r="J81" s="110">
        <f t="shared" si="1"/>
        <v>8.6708399227766511E-5</v>
      </c>
      <c r="L81" s="112"/>
    </row>
    <row r="82" spans="1:12" x14ac:dyDescent="0.2">
      <c r="A82" s="99" t="s">
        <v>839</v>
      </c>
      <c r="B82" s="108" t="s">
        <v>840</v>
      </c>
      <c r="C82" s="109">
        <v>416.58600000000001</v>
      </c>
      <c r="D82" s="109">
        <v>82.23</v>
      </c>
      <c r="E82" s="109">
        <f t="shared" si="2"/>
        <v>34255.866780000004</v>
      </c>
      <c r="F82" s="110" t="str">
        <f t="shared" si="3"/>
        <v/>
      </c>
      <c r="G82" s="111">
        <v>1.4106773683570471E-2</v>
      </c>
      <c r="H82" s="110" t="str">
        <f t="shared" si="0"/>
        <v/>
      </c>
      <c r="I82" s="111" t="s">
        <v>175</v>
      </c>
      <c r="J82" s="110" t="str">
        <f t="shared" si="1"/>
        <v/>
      </c>
      <c r="L82" s="112"/>
    </row>
    <row r="83" spans="1:12" x14ac:dyDescent="0.2">
      <c r="A83" s="99" t="s">
        <v>277</v>
      </c>
      <c r="B83" s="108" t="s">
        <v>278</v>
      </c>
      <c r="C83" s="109">
        <v>504.12099999999998</v>
      </c>
      <c r="D83" s="109">
        <v>45.69</v>
      </c>
      <c r="E83" s="109">
        <f t="shared" si="2"/>
        <v>23033.288489999999</v>
      </c>
      <c r="F83" s="110">
        <f t="shared" si="3"/>
        <v>8.141837538632533E-4</v>
      </c>
      <c r="G83" s="111">
        <v>2.5388487634055591E-2</v>
      </c>
      <c r="H83" s="110">
        <f t="shared" ref="H83:H146" si="4">IFERROR($G83*$F83,"")</f>
        <v>2.0670894166806167E-5</v>
      </c>
      <c r="I83" s="111">
        <v>0.08</v>
      </c>
      <c r="J83" s="110">
        <f t="shared" ref="J83:J146" si="5">IFERROR($I83*$F83,"")</f>
        <v>6.5134700309060271E-5</v>
      </c>
      <c r="L83" s="112"/>
    </row>
    <row r="84" spans="1:12" x14ac:dyDescent="0.2">
      <c r="A84" s="99" t="s">
        <v>283</v>
      </c>
      <c r="B84" s="108" t="s">
        <v>284</v>
      </c>
      <c r="C84" s="109">
        <v>284.26799999999997</v>
      </c>
      <c r="D84" s="109">
        <v>252.22</v>
      </c>
      <c r="E84" s="109">
        <f t="shared" ref="E84:E147" si="6">IFERROR(C84*D84,"")</f>
        <v>71698.074959999998</v>
      </c>
      <c r="F84" s="110">
        <f t="shared" ref="F84:F147" si="7">IF(AND(ISNUMBER($I84)), IF(AND($I84&lt;=20%,$I84&gt;0%), $E84/SUMIFS($E$19:$E$521,$I$19:$I$521, "&gt;"&amp;0%,$I$19:$I$521, "&lt;="&amp;20%),""),"")</f>
        <v>2.5343931172071093E-3</v>
      </c>
      <c r="G84" s="111">
        <v>1.4431845214495283E-2</v>
      </c>
      <c r="H84" s="110">
        <f t="shared" si="4"/>
        <v>3.6575969180215203E-5</v>
      </c>
      <c r="I84" s="111">
        <v>4.4999999999999998E-2</v>
      </c>
      <c r="J84" s="110">
        <f t="shared" si="5"/>
        <v>1.1404769027431991E-4</v>
      </c>
      <c r="L84" s="112"/>
    </row>
    <row r="85" spans="1:12" x14ac:dyDescent="0.2">
      <c r="A85" s="99" t="s">
        <v>305</v>
      </c>
      <c r="B85" s="108" t="s">
        <v>306</v>
      </c>
      <c r="C85" s="109">
        <v>1301.981</v>
      </c>
      <c r="D85" s="109">
        <v>311.52</v>
      </c>
      <c r="E85" s="109">
        <f t="shared" si="6"/>
        <v>405593.12111999997</v>
      </c>
      <c r="F85" s="110">
        <f t="shared" si="7"/>
        <v>1.4336959745802878E-2</v>
      </c>
      <c r="G85" s="111" t="s">
        <v>175</v>
      </c>
      <c r="H85" s="110" t="str">
        <f t="shared" si="4"/>
        <v/>
      </c>
      <c r="I85" s="111">
        <v>0.06</v>
      </c>
      <c r="J85" s="110">
        <f t="shared" si="5"/>
        <v>8.6021758474817266E-4</v>
      </c>
      <c r="L85" s="112"/>
    </row>
    <row r="86" spans="1:12" x14ac:dyDescent="0.2">
      <c r="A86" s="99" t="s">
        <v>281</v>
      </c>
      <c r="B86" s="108" t="s">
        <v>282</v>
      </c>
      <c r="C86" s="109">
        <v>221.26400000000001</v>
      </c>
      <c r="D86" s="109">
        <v>88.72</v>
      </c>
      <c r="E86" s="109">
        <f t="shared" si="6"/>
        <v>19630.542079999999</v>
      </c>
      <c r="F86" s="110">
        <f t="shared" si="7"/>
        <v>6.9390301988376461E-4</v>
      </c>
      <c r="G86" s="111">
        <v>3.9675383228133451E-2</v>
      </c>
      <c r="H86" s="110">
        <f t="shared" si="4"/>
        <v>2.7530868237047466E-5</v>
      </c>
      <c r="I86" s="111">
        <v>0.04</v>
      </c>
      <c r="J86" s="110">
        <f t="shared" si="5"/>
        <v>2.7756120795350586E-5</v>
      </c>
      <c r="L86" s="112"/>
    </row>
    <row r="87" spans="1:12" x14ac:dyDescent="0.2">
      <c r="A87" s="99" t="s">
        <v>309</v>
      </c>
      <c r="B87" s="108" t="s">
        <v>310</v>
      </c>
      <c r="C87" s="109">
        <v>1432.3109999999999</v>
      </c>
      <c r="D87" s="109">
        <v>46.25</v>
      </c>
      <c r="E87" s="109">
        <f t="shared" si="6"/>
        <v>66244.383749999994</v>
      </c>
      <c r="F87" s="110">
        <f t="shared" si="7"/>
        <v>2.3416153128698511E-3</v>
      </c>
      <c r="G87" s="111" t="s">
        <v>175</v>
      </c>
      <c r="H87" s="110" t="str">
        <f t="shared" si="4"/>
        <v/>
      </c>
      <c r="I87" s="111">
        <v>0.17</v>
      </c>
      <c r="J87" s="110">
        <f t="shared" si="5"/>
        <v>3.980746031878747E-4</v>
      </c>
      <c r="L87" s="112"/>
    </row>
    <row r="88" spans="1:12" x14ac:dyDescent="0.2">
      <c r="A88" s="99" t="s">
        <v>301</v>
      </c>
      <c r="B88" s="108" t="s">
        <v>302</v>
      </c>
      <c r="C88" s="109">
        <v>2126.16</v>
      </c>
      <c r="D88" s="109">
        <v>72.650000000000006</v>
      </c>
      <c r="E88" s="109">
        <f t="shared" si="6"/>
        <v>154465.524</v>
      </c>
      <c r="F88" s="110" t="str">
        <f t="shared" si="7"/>
        <v/>
      </c>
      <c r="G88" s="111">
        <v>3.1383344803854088E-2</v>
      </c>
      <c r="H88" s="110" t="str">
        <f t="shared" si="4"/>
        <v/>
      </c>
      <c r="I88" s="111" t="s">
        <v>175</v>
      </c>
      <c r="J88" s="110" t="str">
        <f t="shared" si="5"/>
        <v/>
      </c>
      <c r="L88" s="112"/>
    </row>
    <row r="89" spans="1:12" x14ac:dyDescent="0.2">
      <c r="A89" s="99" t="s">
        <v>287</v>
      </c>
      <c r="B89" s="108" t="s">
        <v>288</v>
      </c>
      <c r="C89" s="109">
        <v>309.952</v>
      </c>
      <c r="D89" s="109">
        <v>66.58</v>
      </c>
      <c r="E89" s="109">
        <f t="shared" si="6"/>
        <v>20636.604159999999</v>
      </c>
      <c r="F89" s="110">
        <f t="shared" si="7"/>
        <v>7.2946543648222373E-4</v>
      </c>
      <c r="G89" s="111">
        <v>1.2346049864824271E-2</v>
      </c>
      <c r="H89" s="110">
        <f t="shared" si="4"/>
        <v>9.0060166534753363E-6</v>
      </c>
      <c r="I89" s="111">
        <v>0.14499999999999999</v>
      </c>
      <c r="J89" s="110">
        <f t="shared" si="5"/>
        <v>1.0577248828992243E-4</v>
      </c>
      <c r="L89" s="112"/>
    </row>
    <row r="90" spans="1:12" x14ac:dyDescent="0.2">
      <c r="A90" s="99" t="s">
        <v>403</v>
      </c>
      <c r="B90" s="108" t="s">
        <v>404</v>
      </c>
      <c r="C90" s="109">
        <v>788.46699999999998</v>
      </c>
      <c r="D90" s="109">
        <v>25.03</v>
      </c>
      <c r="E90" s="109">
        <f t="shared" si="6"/>
        <v>19735.329010000001</v>
      </c>
      <c r="F90" s="110" t="str">
        <f t="shared" si="7"/>
        <v/>
      </c>
      <c r="G90" s="111">
        <v>0.10866959648421894</v>
      </c>
      <c r="H90" s="110" t="str">
        <f t="shared" si="4"/>
        <v/>
      </c>
      <c r="I90" s="111" t="s">
        <v>175</v>
      </c>
      <c r="J90" s="110" t="str">
        <f t="shared" si="5"/>
        <v/>
      </c>
      <c r="L90" s="112"/>
    </row>
    <row r="91" spans="1:12" x14ac:dyDescent="0.2">
      <c r="A91" s="99" t="s">
        <v>385</v>
      </c>
      <c r="B91" s="108" t="s">
        <v>386</v>
      </c>
      <c r="C91" s="109">
        <v>299.46800000000002</v>
      </c>
      <c r="D91" s="109">
        <v>51.93</v>
      </c>
      <c r="E91" s="109">
        <f t="shared" si="6"/>
        <v>15551.373240000001</v>
      </c>
      <c r="F91" s="110">
        <f t="shared" si="7"/>
        <v>5.4971201562333861E-4</v>
      </c>
      <c r="G91" s="111">
        <v>2.8499903716541496E-2</v>
      </c>
      <c r="H91" s="110">
        <f t="shared" si="4"/>
        <v>1.5666739517091104E-5</v>
      </c>
      <c r="I91" s="111">
        <v>0.05</v>
      </c>
      <c r="J91" s="110">
        <f t="shared" si="5"/>
        <v>2.7485600781166933E-5</v>
      </c>
      <c r="L91" s="112"/>
    </row>
    <row r="92" spans="1:12" x14ac:dyDescent="0.2">
      <c r="A92" s="99" t="s">
        <v>586</v>
      </c>
      <c r="B92" s="108" t="s">
        <v>587</v>
      </c>
      <c r="C92" s="109">
        <v>270.45600000000002</v>
      </c>
      <c r="D92" s="109">
        <v>145.09</v>
      </c>
      <c r="E92" s="109">
        <f t="shared" si="6"/>
        <v>39240.461040000002</v>
      </c>
      <c r="F92" s="110" t="str">
        <f t="shared" si="7"/>
        <v/>
      </c>
      <c r="G92" s="111">
        <v>4.1353642566682742E-3</v>
      </c>
      <c r="H92" s="110" t="str">
        <f t="shared" si="4"/>
        <v/>
      </c>
      <c r="I92" s="111" t="s">
        <v>175</v>
      </c>
      <c r="J92" s="110" t="str">
        <f t="shared" si="5"/>
        <v/>
      </c>
      <c r="L92" s="112"/>
    </row>
    <row r="93" spans="1:12" x14ac:dyDescent="0.2">
      <c r="A93" s="99" t="s">
        <v>332</v>
      </c>
      <c r="B93" s="108" t="s">
        <v>333</v>
      </c>
      <c r="C93" s="109">
        <v>1112.7070000000001</v>
      </c>
      <c r="D93" s="109">
        <v>10.82</v>
      </c>
      <c r="E93" s="109">
        <f t="shared" si="6"/>
        <v>12039.489740000001</v>
      </c>
      <c r="F93" s="110" t="str">
        <f t="shared" si="7"/>
        <v/>
      </c>
      <c r="G93" s="111" t="s">
        <v>175</v>
      </c>
      <c r="H93" s="110" t="str">
        <f t="shared" si="4"/>
        <v/>
      </c>
      <c r="I93" s="111" t="s">
        <v>175</v>
      </c>
      <c r="J93" s="110" t="str">
        <f t="shared" si="5"/>
        <v/>
      </c>
      <c r="L93" s="112"/>
    </row>
    <row r="94" spans="1:12" x14ac:dyDescent="0.2">
      <c r="A94" s="99" t="s">
        <v>904</v>
      </c>
      <c r="B94" s="108" t="s">
        <v>905</v>
      </c>
      <c r="C94" s="109">
        <v>101.389</v>
      </c>
      <c r="D94" s="109">
        <v>108.66</v>
      </c>
      <c r="E94" s="109">
        <f t="shared" si="6"/>
        <v>11016.928739999999</v>
      </c>
      <c r="F94" s="110">
        <f t="shared" si="7"/>
        <v>3.8942786660582315E-4</v>
      </c>
      <c r="G94" s="111" t="s">
        <v>175</v>
      </c>
      <c r="H94" s="110" t="str">
        <f t="shared" si="4"/>
        <v/>
      </c>
      <c r="I94" s="111">
        <v>0.14499999999999999</v>
      </c>
      <c r="J94" s="110">
        <f t="shared" si="5"/>
        <v>5.6467040657844353E-5</v>
      </c>
      <c r="L94" s="112"/>
    </row>
    <row r="95" spans="1:12" x14ac:dyDescent="0.2">
      <c r="A95" s="99" t="s">
        <v>704</v>
      </c>
      <c r="B95" s="108" t="s">
        <v>705</v>
      </c>
      <c r="C95" s="109">
        <v>1034.5830000000001</v>
      </c>
      <c r="D95" s="109">
        <v>5.25</v>
      </c>
      <c r="E95" s="109">
        <f t="shared" si="6"/>
        <v>5431.5607500000006</v>
      </c>
      <c r="F95" s="110">
        <f t="shared" si="7"/>
        <v>1.9199553388528362E-4</v>
      </c>
      <c r="G95" s="111" t="s">
        <v>175</v>
      </c>
      <c r="H95" s="110" t="str">
        <f t="shared" si="4"/>
        <v/>
      </c>
      <c r="I95" s="111">
        <v>1.4999999999999999E-2</v>
      </c>
      <c r="J95" s="110">
        <f t="shared" si="5"/>
        <v>2.8799330082792541E-6</v>
      </c>
      <c r="L95" s="112"/>
    </row>
    <row r="96" spans="1:12" x14ac:dyDescent="0.2">
      <c r="A96" s="99" t="s">
        <v>1036</v>
      </c>
      <c r="B96" s="108" t="s">
        <v>1037</v>
      </c>
      <c r="C96" s="109">
        <v>325.54199999999997</v>
      </c>
      <c r="D96" s="109">
        <v>42.59</v>
      </c>
      <c r="E96" s="109">
        <f t="shared" si="6"/>
        <v>13864.833780000001</v>
      </c>
      <c r="F96" s="110">
        <f t="shared" si="7"/>
        <v>4.9009599383046851E-4</v>
      </c>
      <c r="G96" s="111">
        <v>3.5689128903498471E-2</v>
      </c>
      <c r="H96" s="110">
        <f t="shared" si="4"/>
        <v>1.7491099098903782E-5</v>
      </c>
      <c r="I96" s="111">
        <v>0.105</v>
      </c>
      <c r="J96" s="110">
        <f t="shared" si="5"/>
        <v>5.1460079352199194E-5</v>
      </c>
      <c r="L96" s="112"/>
    </row>
    <row r="97" spans="1:12" x14ac:dyDescent="0.2">
      <c r="A97" s="99" t="s">
        <v>360</v>
      </c>
      <c r="B97" s="108" t="s">
        <v>361</v>
      </c>
      <c r="C97" s="109">
        <v>123.38500000000001</v>
      </c>
      <c r="D97" s="109">
        <v>144.69</v>
      </c>
      <c r="E97" s="109">
        <f t="shared" si="6"/>
        <v>17852.575649999999</v>
      </c>
      <c r="F97" s="110">
        <f t="shared" si="7"/>
        <v>6.310552253602546E-4</v>
      </c>
      <c r="G97" s="111">
        <v>3.2621466583730732E-2</v>
      </c>
      <c r="H97" s="110">
        <f t="shared" si="4"/>
        <v>2.0585946946578212E-5</v>
      </c>
      <c r="I97" s="111">
        <v>7.4999999999999997E-2</v>
      </c>
      <c r="J97" s="110">
        <f t="shared" si="5"/>
        <v>4.7329141902019093E-5</v>
      </c>
      <c r="L97" s="112"/>
    </row>
    <row r="98" spans="1:12" x14ac:dyDescent="0.2">
      <c r="A98" s="99" t="s">
        <v>845</v>
      </c>
      <c r="B98" s="108" t="s">
        <v>846</v>
      </c>
      <c r="C98" s="109">
        <v>60.02</v>
      </c>
      <c r="D98" s="109">
        <v>323.94</v>
      </c>
      <c r="E98" s="109">
        <f t="shared" si="6"/>
        <v>19442.878800000002</v>
      </c>
      <c r="F98" s="110" t="str">
        <f t="shared" si="7"/>
        <v/>
      </c>
      <c r="G98" s="111" t="s">
        <v>175</v>
      </c>
      <c r="H98" s="110" t="str">
        <f t="shared" si="4"/>
        <v/>
      </c>
      <c r="I98" s="111">
        <v>0.21</v>
      </c>
      <c r="J98" s="110" t="str">
        <f t="shared" si="5"/>
        <v/>
      </c>
      <c r="L98" s="112"/>
    </row>
    <row r="99" spans="1:12" x14ac:dyDescent="0.2">
      <c r="A99" s="99" t="s">
        <v>372</v>
      </c>
      <c r="B99" s="108" t="s">
        <v>58</v>
      </c>
      <c r="C99" s="109">
        <v>290.25200000000001</v>
      </c>
      <c r="D99" s="109">
        <v>63.19</v>
      </c>
      <c r="E99" s="109">
        <f t="shared" si="6"/>
        <v>18341.023880000001</v>
      </c>
      <c r="F99" s="110">
        <f t="shared" si="7"/>
        <v>6.4832095854646125E-4</v>
      </c>
      <c r="G99" s="111">
        <v>2.9118531413198295E-2</v>
      </c>
      <c r="H99" s="110">
        <f t="shared" si="4"/>
        <v>1.8878154197269961E-5</v>
      </c>
      <c r="I99" s="111">
        <v>6.5000000000000002E-2</v>
      </c>
      <c r="J99" s="110">
        <f t="shared" si="5"/>
        <v>4.2140862305519984E-5</v>
      </c>
      <c r="L99" s="112"/>
    </row>
    <row r="100" spans="1:12" x14ac:dyDescent="0.2">
      <c r="A100" s="99" t="s">
        <v>818</v>
      </c>
      <c r="B100" s="108" t="s">
        <v>819</v>
      </c>
      <c r="C100" s="109">
        <v>413.6</v>
      </c>
      <c r="D100" s="109">
        <v>15.96</v>
      </c>
      <c r="E100" s="109">
        <f t="shared" si="6"/>
        <v>6601.0560000000005</v>
      </c>
      <c r="F100" s="110" t="str">
        <f t="shared" si="7"/>
        <v/>
      </c>
      <c r="G100" s="111">
        <v>5.764411027568922E-2</v>
      </c>
      <c r="H100" s="110" t="str">
        <f t="shared" si="4"/>
        <v/>
      </c>
      <c r="I100" s="111" t="s">
        <v>175</v>
      </c>
      <c r="J100" s="110" t="str">
        <f t="shared" si="5"/>
        <v/>
      </c>
      <c r="L100" s="112"/>
    </row>
    <row r="101" spans="1:12" x14ac:dyDescent="0.2">
      <c r="A101" s="99" t="s">
        <v>358</v>
      </c>
      <c r="B101" s="108" t="s">
        <v>359</v>
      </c>
      <c r="C101" s="109">
        <v>835.21400000000006</v>
      </c>
      <c r="D101" s="109">
        <v>74.53</v>
      </c>
      <c r="E101" s="109">
        <f t="shared" si="6"/>
        <v>62248.499420000007</v>
      </c>
      <c r="F101" s="110">
        <f t="shared" si="7"/>
        <v>2.2003682605778951E-3</v>
      </c>
      <c r="G101" s="111">
        <v>2.5224741714745737E-2</v>
      </c>
      <c r="H101" s="110">
        <f t="shared" si="4"/>
        <v>5.5503721050401746E-5</v>
      </c>
      <c r="I101" s="111">
        <v>6.5000000000000002E-2</v>
      </c>
      <c r="J101" s="110">
        <f t="shared" si="5"/>
        <v>1.4302393693756319E-4</v>
      </c>
      <c r="L101" s="112"/>
    </row>
    <row r="102" spans="1:12" x14ac:dyDescent="0.2">
      <c r="A102" s="99" t="s">
        <v>479</v>
      </c>
      <c r="B102" s="108" t="s">
        <v>480</v>
      </c>
      <c r="C102" s="109">
        <v>57.512999999999998</v>
      </c>
      <c r="D102" s="109">
        <v>332.65</v>
      </c>
      <c r="E102" s="109">
        <f t="shared" si="6"/>
        <v>19131.699449999996</v>
      </c>
      <c r="F102" s="110" t="str">
        <f t="shared" si="7"/>
        <v/>
      </c>
      <c r="G102" s="111" t="s">
        <v>175</v>
      </c>
      <c r="H102" s="110" t="str">
        <f t="shared" si="4"/>
        <v/>
      </c>
      <c r="I102" s="111">
        <v>0.20499999999999999</v>
      </c>
      <c r="J102" s="110" t="str">
        <f t="shared" si="5"/>
        <v/>
      </c>
      <c r="L102" s="112"/>
    </row>
    <row r="103" spans="1:12" x14ac:dyDescent="0.2">
      <c r="A103" s="99" t="s">
        <v>362</v>
      </c>
      <c r="B103" s="108" t="s">
        <v>363</v>
      </c>
      <c r="C103" s="109">
        <v>131</v>
      </c>
      <c r="D103" s="109">
        <v>73.31</v>
      </c>
      <c r="E103" s="109">
        <f t="shared" si="6"/>
        <v>9603.61</v>
      </c>
      <c r="F103" s="110">
        <f t="shared" si="7"/>
        <v>3.3946968726733816E-4</v>
      </c>
      <c r="G103" s="111">
        <v>3.7102714500068204E-2</v>
      </c>
      <c r="H103" s="110">
        <f t="shared" si="4"/>
        <v>1.2595246888107486E-5</v>
      </c>
      <c r="I103" s="111">
        <v>0.09</v>
      </c>
      <c r="J103" s="110">
        <f t="shared" si="5"/>
        <v>3.055227185406043E-5</v>
      </c>
      <c r="L103" s="112"/>
    </row>
    <row r="104" spans="1:12" x14ac:dyDescent="0.2">
      <c r="A104" s="99" t="s">
        <v>317</v>
      </c>
      <c r="B104" s="108" t="s">
        <v>318</v>
      </c>
      <c r="C104" s="109">
        <v>476.62299999999999</v>
      </c>
      <c r="D104" s="109">
        <v>37.19</v>
      </c>
      <c r="E104" s="109">
        <f t="shared" si="6"/>
        <v>17725.609369999998</v>
      </c>
      <c r="F104" s="110">
        <f t="shared" si="7"/>
        <v>6.265672043592876E-4</v>
      </c>
      <c r="G104" s="111">
        <v>3.5493412207582689E-2</v>
      </c>
      <c r="H104" s="110">
        <f t="shared" si="4"/>
        <v>2.2239008060076896E-5</v>
      </c>
      <c r="I104" s="111">
        <v>3.5000000000000003E-2</v>
      </c>
      <c r="J104" s="110">
        <f t="shared" si="5"/>
        <v>2.1929852152575069E-5</v>
      </c>
      <c r="L104" s="112"/>
    </row>
    <row r="105" spans="1:12" x14ac:dyDescent="0.2">
      <c r="A105" s="99" t="s">
        <v>466</v>
      </c>
      <c r="B105" s="108" t="s">
        <v>59</v>
      </c>
      <c r="C105" s="109">
        <v>354.863</v>
      </c>
      <c r="D105" s="109">
        <v>95.31</v>
      </c>
      <c r="E105" s="109">
        <f t="shared" si="6"/>
        <v>33821.992530000003</v>
      </c>
      <c r="F105" s="110">
        <f t="shared" si="7"/>
        <v>1.1955443033314916E-3</v>
      </c>
      <c r="G105" s="111">
        <v>3.39943342776204E-2</v>
      </c>
      <c r="H105" s="110">
        <f t="shared" si="4"/>
        <v>4.0641732691155529E-5</v>
      </c>
      <c r="I105" s="111">
        <v>0.04</v>
      </c>
      <c r="J105" s="110">
        <f t="shared" si="5"/>
        <v>4.7821772133259669E-5</v>
      </c>
      <c r="L105" s="112"/>
    </row>
    <row r="106" spans="1:12" x14ac:dyDescent="0.2">
      <c r="A106" s="99" t="s">
        <v>551</v>
      </c>
      <c r="B106" s="108" t="s">
        <v>552</v>
      </c>
      <c r="C106" s="109">
        <v>845.81100000000004</v>
      </c>
      <c r="D106" s="109">
        <v>34.61</v>
      </c>
      <c r="E106" s="109">
        <f t="shared" si="6"/>
        <v>29273.51871</v>
      </c>
      <c r="F106" s="110">
        <f t="shared" si="7"/>
        <v>1.034764244039301E-3</v>
      </c>
      <c r="G106" s="111">
        <v>3.1204854088413756E-2</v>
      </c>
      <c r="H106" s="110">
        <f t="shared" si="4"/>
        <v>3.2289667251154152E-5</v>
      </c>
      <c r="I106" s="111">
        <v>0.17499999999999999</v>
      </c>
      <c r="J106" s="110">
        <f t="shared" si="5"/>
        <v>1.8108374270687768E-4</v>
      </c>
      <c r="L106" s="112"/>
    </row>
    <row r="107" spans="1:12" x14ac:dyDescent="0.2">
      <c r="A107" s="99" t="s">
        <v>370</v>
      </c>
      <c r="B107" s="108" t="s">
        <v>371</v>
      </c>
      <c r="C107" s="109">
        <v>141.02199999999999</v>
      </c>
      <c r="D107" s="109">
        <v>249.54</v>
      </c>
      <c r="E107" s="109">
        <f t="shared" si="6"/>
        <v>35190.629879999993</v>
      </c>
      <c r="F107" s="110">
        <f t="shared" si="7"/>
        <v>1.2439230789363835E-3</v>
      </c>
      <c r="G107" s="111">
        <v>2.5166306003045605E-2</v>
      </c>
      <c r="H107" s="110">
        <f t="shared" si="4"/>
        <v>3.1304948848763683E-5</v>
      </c>
      <c r="I107" s="111">
        <v>8.5000000000000006E-2</v>
      </c>
      <c r="J107" s="110">
        <f t="shared" si="5"/>
        <v>1.0573346170959261E-4</v>
      </c>
      <c r="L107" s="112"/>
    </row>
    <row r="108" spans="1:12" x14ac:dyDescent="0.2">
      <c r="A108" s="99" t="s">
        <v>413</v>
      </c>
      <c r="B108" s="108" t="s">
        <v>414</v>
      </c>
      <c r="C108" s="109">
        <v>214.566</v>
      </c>
      <c r="D108" s="109">
        <v>52.06</v>
      </c>
      <c r="E108" s="109">
        <f t="shared" si="6"/>
        <v>11170.305960000002</v>
      </c>
      <c r="F108" s="110" t="str">
        <f t="shared" si="7"/>
        <v/>
      </c>
      <c r="G108" s="111" t="s">
        <v>175</v>
      </c>
      <c r="H108" s="110" t="str">
        <f t="shared" si="4"/>
        <v/>
      </c>
      <c r="I108" s="111" t="s">
        <v>175</v>
      </c>
      <c r="J108" s="110" t="str">
        <f t="shared" si="5"/>
        <v/>
      </c>
      <c r="L108" s="112"/>
    </row>
    <row r="109" spans="1:12" x14ac:dyDescent="0.2">
      <c r="A109" s="99" t="s">
        <v>431</v>
      </c>
      <c r="B109" s="108" t="s">
        <v>432</v>
      </c>
      <c r="C109" s="109">
        <v>728.3</v>
      </c>
      <c r="D109" s="109">
        <v>264.38</v>
      </c>
      <c r="E109" s="109">
        <f t="shared" si="6"/>
        <v>192547.954</v>
      </c>
      <c r="F109" s="110">
        <f t="shared" si="7"/>
        <v>6.8062107611976961E-3</v>
      </c>
      <c r="G109" s="111">
        <v>3.7824343747635981E-3</v>
      </c>
      <c r="H109" s="110">
        <f t="shared" si="4"/>
        <v>2.574404554504008E-5</v>
      </c>
      <c r="I109" s="111">
        <v>0.16</v>
      </c>
      <c r="J109" s="110">
        <f t="shared" si="5"/>
        <v>1.0889937217916314E-3</v>
      </c>
      <c r="L109" s="112"/>
    </row>
    <row r="110" spans="1:12" x14ac:dyDescent="0.2">
      <c r="A110" s="99" t="s">
        <v>1002</v>
      </c>
      <c r="B110" s="108" t="s">
        <v>1003</v>
      </c>
      <c r="C110" s="109">
        <v>460.31</v>
      </c>
      <c r="D110" s="109">
        <v>172.14</v>
      </c>
      <c r="E110" s="109">
        <f t="shared" si="6"/>
        <v>79237.763399999996</v>
      </c>
      <c r="F110" s="110">
        <f t="shared" si="7"/>
        <v>2.8009070298732797E-3</v>
      </c>
      <c r="G110" s="111">
        <v>2.5095852213314746E-2</v>
      </c>
      <c r="H110" s="110">
        <f t="shared" si="4"/>
        <v>7.0291148884934175E-5</v>
      </c>
      <c r="I110" s="111">
        <v>0.12</v>
      </c>
      <c r="J110" s="110">
        <f t="shared" si="5"/>
        <v>3.3610884358479355E-4</v>
      </c>
      <c r="L110" s="112"/>
    </row>
    <row r="111" spans="1:12" x14ac:dyDescent="0.2">
      <c r="A111" s="99" t="s">
        <v>421</v>
      </c>
      <c r="B111" s="108" t="s">
        <v>422</v>
      </c>
      <c r="C111" s="109">
        <v>297.15699999999998</v>
      </c>
      <c r="D111" s="109">
        <v>422.84</v>
      </c>
      <c r="E111" s="109">
        <f t="shared" si="6"/>
        <v>125649.86587999998</v>
      </c>
      <c r="F111" s="110">
        <f t="shared" si="7"/>
        <v>4.4414882190620579E-3</v>
      </c>
      <c r="G111" s="111">
        <v>1.1351811559928105E-2</v>
      </c>
      <c r="H111" s="110">
        <f t="shared" si="4"/>
        <v>5.0418937308433164E-5</v>
      </c>
      <c r="I111" s="111">
        <v>0.16500000000000001</v>
      </c>
      <c r="J111" s="110">
        <f t="shared" si="5"/>
        <v>7.3284555614523954E-4</v>
      </c>
      <c r="L111" s="112"/>
    </row>
    <row r="112" spans="1:12" x14ac:dyDescent="0.2">
      <c r="A112" s="99" t="s">
        <v>415</v>
      </c>
      <c r="B112" s="108" t="s">
        <v>416</v>
      </c>
      <c r="C112" s="109">
        <v>833.27499999999998</v>
      </c>
      <c r="D112" s="109">
        <v>63.64</v>
      </c>
      <c r="E112" s="109">
        <f t="shared" si="6"/>
        <v>53029.620999999999</v>
      </c>
      <c r="F112" s="110">
        <f t="shared" si="7"/>
        <v>1.874498116518212E-3</v>
      </c>
      <c r="G112" s="111">
        <v>4.1954745443117537E-2</v>
      </c>
      <c r="H112" s="110">
        <f t="shared" si="4"/>
        <v>7.8644091312124868E-5</v>
      </c>
      <c r="I112" s="111">
        <v>5.5E-2</v>
      </c>
      <c r="J112" s="110">
        <f t="shared" si="5"/>
        <v>1.0309739640850167E-4</v>
      </c>
      <c r="L112" s="112"/>
    </row>
    <row r="113" spans="1:12" x14ac:dyDescent="0.2">
      <c r="A113" s="99" t="s">
        <v>441</v>
      </c>
      <c r="B113" s="108" t="s">
        <v>442</v>
      </c>
      <c r="C113" s="109">
        <v>140.35400000000001</v>
      </c>
      <c r="D113" s="109">
        <v>151.83000000000001</v>
      </c>
      <c r="E113" s="109">
        <f t="shared" si="6"/>
        <v>21309.947820000005</v>
      </c>
      <c r="F113" s="110">
        <f t="shared" si="7"/>
        <v>7.5326687799053644E-4</v>
      </c>
      <c r="G113" s="111">
        <v>1.3304353553316208E-2</v>
      </c>
      <c r="H113" s="110">
        <f t="shared" si="4"/>
        <v>1.00217288647888E-5</v>
      </c>
      <c r="I113" s="111">
        <v>0.09</v>
      </c>
      <c r="J113" s="110">
        <f t="shared" si="5"/>
        <v>6.7794019019148271E-5</v>
      </c>
      <c r="L113" s="112"/>
    </row>
    <row r="114" spans="1:12" x14ac:dyDescent="0.2">
      <c r="A114" s="99" t="s">
        <v>699</v>
      </c>
      <c r="B114" s="108" t="s">
        <v>47</v>
      </c>
      <c r="C114" s="109">
        <v>251.02199999999999</v>
      </c>
      <c r="D114" s="109">
        <v>54.03</v>
      </c>
      <c r="E114" s="109">
        <f t="shared" si="6"/>
        <v>13562.71866</v>
      </c>
      <c r="F114" s="110">
        <f t="shared" si="7"/>
        <v>4.7941678827077437E-4</v>
      </c>
      <c r="G114" s="111">
        <v>3.3499907458819173E-2</v>
      </c>
      <c r="H114" s="110">
        <f t="shared" si="4"/>
        <v>1.6060418041275247E-5</v>
      </c>
      <c r="I114" s="111">
        <v>0.06</v>
      </c>
      <c r="J114" s="110">
        <f t="shared" si="5"/>
        <v>2.8765007296246462E-5</v>
      </c>
      <c r="L114" s="112"/>
    </row>
    <row r="115" spans="1:12" x14ac:dyDescent="0.2">
      <c r="A115" s="99" t="s">
        <v>1291</v>
      </c>
      <c r="B115" s="108" t="s">
        <v>1292</v>
      </c>
      <c r="C115" s="109">
        <v>175.571</v>
      </c>
      <c r="D115" s="109">
        <v>120.64</v>
      </c>
      <c r="E115" s="109">
        <f t="shared" si="6"/>
        <v>21180.885439999998</v>
      </c>
      <c r="F115" s="110">
        <f t="shared" si="7"/>
        <v>7.4870476376717862E-4</v>
      </c>
      <c r="G115" s="111">
        <v>1.1273209549071619E-2</v>
      </c>
      <c r="H115" s="110">
        <f t="shared" si="4"/>
        <v>8.4403056923355693E-6</v>
      </c>
      <c r="I115" s="111">
        <v>0.02</v>
      </c>
      <c r="J115" s="110">
        <f t="shared" si="5"/>
        <v>1.4974095275343573E-5</v>
      </c>
      <c r="L115" s="112"/>
    </row>
    <row r="116" spans="1:12" x14ac:dyDescent="0.2">
      <c r="A116" s="99" t="s">
        <v>451</v>
      </c>
      <c r="B116" s="108" t="s">
        <v>61</v>
      </c>
      <c r="C116" s="109">
        <v>770</v>
      </c>
      <c r="D116" s="109">
        <v>102.45</v>
      </c>
      <c r="E116" s="109">
        <f t="shared" si="6"/>
        <v>78886.5</v>
      </c>
      <c r="F116" s="110">
        <f t="shared" si="7"/>
        <v>2.7884905243564522E-3</v>
      </c>
      <c r="G116" s="111">
        <v>3.9238653001464126E-2</v>
      </c>
      <c r="H116" s="110">
        <f t="shared" si="4"/>
        <v>1.0941661208309357E-4</v>
      </c>
      <c r="I116" s="111">
        <v>0.05</v>
      </c>
      <c r="J116" s="110">
        <f t="shared" si="5"/>
        <v>1.3942452621782262E-4</v>
      </c>
      <c r="L116" s="112"/>
    </row>
    <row r="117" spans="1:12" x14ac:dyDescent="0.2">
      <c r="A117" s="99" t="s">
        <v>910</v>
      </c>
      <c r="B117" s="108" t="s">
        <v>911</v>
      </c>
      <c r="C117" s="109">
        <v>171.12299999999999</v>
      </c>
      <c r="D117" s="109">
        <v>66.63</v>
      </c>
      <c r="E117" s="109">
        <f t="shared" si="6"/>
        <v>11401.925489999998</v>
      </c>
      <c r="F117" s="110">
        <f t="shared" si="7"/>
        <v>4.0303678307800821E-4</v>
      </c>
      <c r="G117" s="111">
        <v>3.90214618039922E-2</v>
      </c>
      <c r="H117" s="110">
        <f t="shared" si="4"/>
        <v>1.5727084436482387E-5</v>
      </c>
      <c r="I117" s="111">
        <v>0.125</v>
      </c>
      <c r="J117" s="110">
        <f t="shared" si="5"/>
        <v>5.0379597884751026E-5</v>
      </c>
      <c r="L117" s="112"/>
    </row>
    <row r="118" spans="1:12" x14ac:dyDescent="0.2">
      <c r="A118" s="99" t="s">
        <v>487</v>
      </c>
      <c r="B118" s="108" t="s">
        <v>488</v>
      </c>
      <c r="C118" s="109">
        <v>397.7</v>
      </c>
      <c r="D118" s="109">
        <v>162.21</v>
      </c>
      <c r="E118" s="109">
        <f t="shared" si="6"/>
        <v>64510.917000000001</v>
      </c>
      <c r="F118" s="110">
        <f t="shared" si="7"/>
        <v>2.2803404989706171E-3</v>
      </c>
      <c r="G118" s="111">
        <v>1.9974107638246717E-2</v>
      </c>
      <c r="H118" s="110">
        <f t="shared" si="4"/>
        <v>4.5547766578292336E-5</v>
      </c>
      <c r="I118" s="111">
        <v>0.12</v>
      </c>
      <c r="J118" s="110">
        <f t="shared" si="5"/>
        <v>2.7364085987647402E-4</v>
      </c>
      <c r="L118" s="112"/>
    </row>
    <row r="119" spans="1:12" x14ac:dyDescent="0.2">
      <c r="A119" s="99" t="s">
        <v>464</v>
      </c>
      <c r="B119" s="108" t="s">
        <v>465</v>
      </c>
      <c r="C119" s="109">
        <v>284.82799999999997</v>
      </c>
      <c r="D119" s="109">
        <v>154.83000000000001</v>
      </c>
      <c r="E119" s="109">
        <f t="shared" si="6"/>
        <v>44099.919240000003</v>
      </c>
      <c r="F119" s="110">
        <f t="shared" si="7"/>
        <v>1.5588498276083336E-3</v>
      </c>
      <c r="G119" s="111">
        <v>1.3692436866240392E-2</v>
      </c>
      <c r="H119" s="110">
        <f t="shared" si="4"/>
        <v>2.1344452848476827E-5</v>
      </c>
      <c r="I119" s="111">
        <v>0.105</v>
      </c>
      <c r="J119" s="110">
        <f t="shared" si="5"/>
        <v>1.6367923189887501E-4</v>
      </c>
      <c r="L119" s="112"/>
    </row>
    <row r="120" spans="1:12" x14ac:dyDescent="0.2">
      <c r="A120" s="99" t="s">
        <v>870</v>
      </c>
      <c r="B120" s="108" t="s">
        <v>871</v>
      </c>
      <c r="C120" s="109">
        <v>126.316</v>
      </c>
      <c r="D120" s="109">
        <v>137.53</v>
      </c>
      <c r="E120" s="109">
        <f t="shared" si="6"/>
        <v>17372.23948</v>
      </c>
      <c r="F120" s="110">
        <f t="shared" si="7"/>
        <v>6.1407623835296363E-4</v>
      </c>
      <c r="G120" s="111">
        <v>2.0359194357594708E-3</v>
      </c>
      <c r="H120" s="110">
        <f t="shared" si="4"/>
        <v>1.250209748700864E-6</v>
      </c>
      <c r="I120" s="111">
        <v>0.04</v>
      </c>
      <c r="J120" s="110">
        <f t="shared" si="5"/>
        <v>2.4563049534118545E-5</v>
      </c>
      <c r="L120" s="112"/>
    </row>
    <row r="121" spans="1:12" x14ac:dyDescent="0.2">
      <c r="A121" s="99" t="s">
        <v>473</v>
      </c>
      <c r="B121" s="108" t="s">
        <v>474</v>
      </c>
      <c r="C121" s="109">
        <v>582.303</v>
      </c>
      <c r="D121" s="109">
        <v>90.22</v>
      </c>
      <c r="E121" s="109">
        <f t="shared" si="6"/>
        <v>52535.376660000002</v>
      </c>
      <c r="F121" s="110">
        <f t="shared" si="7"/>
        <v>1.8570275016626056E-3</v>
      </c>
      <c r="G121" s="111">
        <v>2.3054755043227668E-2</v>
      </c>
      <c r="H121" s="110">
        <f t="shared" si="4"/>
        <v>4.2813314159368433E-5</v>
      </c>
      <c r="I121" s="111">
        <v>9.5000000000000001E-2</v>
      </c>
      <c r="J121" s="110">
        <f t="shared" si="5"/>
        <v>1.7641761265794754E-4</v>
      </c>
      <c r="L121" s="112"/>
    </row>
    <row r="122" spans="1:12" x14ac:dyDescent="0.2">
      <c r="A122" s="99" t="s">
        <v>477</v>
      </c>
      <c r="B122" s="108" t="s">
        <v>478</v>
      </c>
      <c r="C122" s="109">
        <v>587.38900000000001</v>
      </c>
      <c r="D122" s="109">
        <v>132.25</v>
      </c>
      <c r="E122" s="109">
        <f t="shared" si="6"/>
        <v>77682.195250000004</v>
      </c>
      <c r="F122" s="110" t="str">
        <f t="shared" si="7"/>
        <v/>
      </c>
      <c r="G122" s="111">
        <v>2.495274102079395E-2</v>
      </c>
      <c r="H122" s="110" t="str">
        <f t="shared" si="4"/>
        <v/>
      </c>
      <c r="I122" s="111">
        <v>0.26</v>
      </c>
      <c r="J122" s="110" t="str">
        <f t="shared" si="5"/>
        <v/>
      </c>
      <c r="L122" s="112"/>
    </row>
    <row r="123" spans="1:12" x14ac:dyDescent="0.2">
      <c r="A123" s="99" t="s">
        <v>242</v>
      </c>
      <c r="B123" s="108" t="s">
        <v>243</v>
      </c>
      <c r="C123" s="109">
        <v>206.85300000000001</v>
      </c>
      <c r="D123" s="109">
        <v>318.68</v>
      </c>
      <c r="E123" s="109">
        <f t="shared" si="6"/>
        <v>65919.914040000003</v>
      </c>
      <c r="F123" s="110">
        <f t="shared" si="7"/>
        <v>2.3301459142810476E-3</v>
      </c>
      <c r="G123" s="111">
        <v>7.0289946027362873E-3</v>
      </c>
      <c r="H123" s="110">
        <f t="shared" si="4"/>
        <v>1.6378583055069494E-5</v>
      </c>
      <c r="I123" s="111">
        <v>7.4999999999999997E-2</v>
      </c>
      <c r="J123" s="110">
        <f t="shared" si="5"/>
        <v>1.7476094357107857E-4</v>
      </c>
      <c r="L123" s="112"/>
    </row>
    <row r="124" spans="1:12" x14ac:dyDescent="0.2">
      <c r="A124" s="99" t="s">
        <v>489</v>
      </c>
      <c r="B124" s="108" t="s">
        <v>65</v>
      </c>
      <c r="C124" s="109">
        <v>203.48400000000001</v>
      </c>
      <c r="D124" s="109">
        <v>108.28</v>
      </c>
      <c r="E124" s="109">
        <f t="shared" si="6"/>
        <v>22033.247520000001</v>
      </c>
      <c r="F124" s="110">
        <f t="shared" si="7"/>
        <v>7.7883417226420621E-4</v>
      </c>
      <c r="G124" s="111">
        <v>3.9527151828592538E-2</v>
      </c>
      <c r="H124" s="110">
        <f t="shared" si="4"/>
        <v>3.0785096576383478E-5</v>
      </c>
      <c r="I124" s="111">
        <v>0.04</v>
      </c>
      <c r="J124" s="110">
        <f t="shared" si="5"/>
        <v>3.1153366890568251E-5</v>
      </c>
      <c r="L124" s="112"/>
    </row>
    <row r="125" spans="1:12" x14ac:dyDescent="0.2">
      <c r="A125" s="99" t="s">
        <v>467</v>
      </c>
      <c r="B125" s="108" t="s">
        <v>468</v>
      </c>
      <c r="C125" s="109">
        <v>122.443</v>
      </c>
      <c r="D125" s="109">
        <v>222.2</v>
      </c>
      <c r="E125" s="109">
        <f t="shared" si="6"/>
        <v>27206.834599999998</v>
      </c>
      <c r="F125" s="110">
        <f t="shared" si="7"/>
        <v>9.6171081845224798E-4</v>
      </c>
      <c r="G125" s="111">
        <v>7.0207020702070209E-3</v>
      </c>
      <c r="H125" s="110">
        <f t="shared" si="4"/>
        <v>6.7518851340481862E-6</v>
      </c>
      <c r="I125" s="111">
        <v>7.0000000000000007E-2</v>
      </c>
      <c r="J125" s="110">
        <f t="shared" si="5"/>
        <v>6.7319757291657372E-5</v>
      </c>
      <c r="L125" s="112"/>
    </row>
    <row r="126" spans="1:12" x14ac:dyDescent="0.2">
      <c r="A126" s="99" t="s">
        <v>1293</v>
      </c>
      <c r="B126" s="108" t="s">
        <v>1294</v>
      </c>
      <c r="C126" s="109">
        <v>367.04599999999999</v>
      </c>
      <c r="D126" s="109">
        <v>32.67</v>
      </c>
      <c r="E126" s="109">
        <f t="shared" si="6"/>
        <v>11991.392820000001</v>
      </c>
      <c r="F126" s="110" t="str">
        <f t="shared" si="7"/>
        <v/>
      </c>
      <c r="G126" s="111">
        <v>1.8365472910927456E-2</v>
      </c>
      <c r="H126" s="110" t="str">
        <f t="shared" si="4"/>
        <v/>
      </c>
      <c r="I126" s="111" t="s">
        <v>175</v>
      </c>
      <c r="J126" s="110" t="str">
        <f t="shared" si="5"/>
        <v/>
      </c>
      <c r="L126" s="112"/>
    </row>
    <row r="127" spans="1:12" x14ac:dyDescent="0.2">
      <c r="A127" s="99" t="s">
        <v>630</v>
      </c>
      <c r="B127" s="108" t="s">
        <v>631</v>
      </c>
      <c r="C127" s="109">
        <v>185.74</v>
      </c>
      <c r="D127" s="109">
        <v>229.41</v>
      </c>
      <c r="E127" s="109">
        <f t="shared" si="6"/>
        <v>42610.613400000002</v>
      </c>
      <c r="F127" s="110">
        <f t="shared" si="7"/>
        <v>1.5062056461234315E-3</v>
      </c>
      <c r="G127" s="111" t="s">
        <v>175</v>
      </c>
      <c r="H127" s="110" t="str">
        <f t="shared" si="4"/>
        <v/>
      </c>
      <c r="I127" s="111">
        <v>0.14499999999999999</v>
      </c>
      <c r="J127" s="110">
        <f t="shared" si="5"/>
        <v>2.1839981868789754E-4</v>
      </c>
      <c r="L127" s="112"/>
    </row>
    <row r="128" spans="1:12" x14ac:dyDescent="0.2">
      <c r="A128" s="99" t="s">
        <v>638</v>
      </c>
      <c r="B128" s="108" t="s">
        <v>639</v>
      </c>
      <c r="C128" s="109">
        <v>79.024000000000001</v>
      </c>
      <c r="D128" s="109">
        <v>338.14</v>
      </c>
      <c r="E128" s="109">
        <f t="shared" si="6"/>
        <v>26721.175359999997</v>
      </c>
      <c r="F128" s="110">
        <f t="shared" si="7"/>
        <v>9.445436708565738E-4</v>
      </c>
      <c r="G128" s="111" t="s">
        <v>175</v>
      </c>
      <c r="H128" s="110" t="str">
        <f t="shared" si="4"/>
        <v/>
      </c>
      <c r="I128" s="111">
        <v>0.18</v>
      </c>
      <c r="J128" s="110">
        <f t="shared" si="5"/>
        <v>1.7001786075418327E-4</v>
      </c>
      <c r="L128" s="112"/>
    </row>
    <row r="129" spans="1:12" x14ac:dyDescent="0.2">
      <c r="A129" s="99" t="s">
        <v>514</v>
      </c>
      <c r="B129" s="108" t="s">
        <v>515</v>
      </c>
      <c r="C129" s="109">
        <v>252.39699999999999</v>
      </c>
      <c r="D129" s="109">
        <v>193.86</v>
      </c>
      <c r="E129" s="109">
        <f t="shared" si="6"/>
        <v>48929.682420000005</v>
      </c>
      <c r="F129" s="110">
        <f t="shared" si="7"/>
        <v>1.7295729407178731E-3</v>
      </c>
      <c r="G129" s="111">
        <v>2.3728463839884448E-2</v>
      </c>
      <c r="H129" s="110">
        <f t="shared" si="4"/>
        <v>4.1040108982266659E-5</v>
      </c>
      <c r="I129" s="111">
        <v>0.13</v>
      </c>
      <c r="J129" s="110">
        <f t="shared" si="5"/>
        <v>2.2484448229332353E-4</v>
      </c>
      <c r="L129" s="112"/>
    </row>
    <row r="130" spans="1:12" x14ac:dyDescent="0.2">
      <c r="A130" s="99" t="s">
        <v>528</v>
      </c>
      <c r="B130" s="108" t="s">
        <v>529</v>
      </c>
      <c r="C130" s="109">
        <v>125.96599999999999</v>
      </c>
      <c r="D130" s="109">
        <v>133.13</v>
      </c>
      <c r="E130" s="109">
        <f t="shared" si="6"/>
        <v>16769.853579999999</v>
      </c>
      <c r="F130" s="110">
        <f t="shared" si="7"/>
        <v>5.9278302120990443E-4</v>
      </c>
      <c r="G130" s="111">
        <v>1.7426575527679712E-2</v>
      </c>
      <c r="H130" s="110">
        <f t="shared" si="4"/>
        <v>1.0330178090640565E-5</v>
      </c>
      <c r="I130" s="111">
        <v>0.11</v>
      </c>
      <c r="J130" s="110">
        <f t="shared" si="5"/>
        <v>6.5206132333089486E-5</v>
      </c>
      <c r="L130" s="112"/>
    </row>
    <row r="131" spans="1:12" x14ac:dyDescent="0.2">
      <c r="A131" s="99" t="s">
        <v>307</v>
      </c>
      <c r="B131" s="108" t="s">
        <v>308</v>
      </c>
      <c r="C131" s="109">
        <v>283.2</v>
      </c>
      <c r="D131" s="109">
        <v>58.56</v>
      </c>
      <c r="E131" s="109">
        <f t="shared" si="6"/>
        <v>16584.191999999999</v>
      </c>
      <c r="F131" s="110">
        <f t="shared" si="7"/>
        <v>5.8622023091540478E-4</v>
      </c>
      <c r="G131" s="111">
        <v>7.8551912568306011E-3</v>
      </c>
      <c r="H131" s="110">
        <f t="shared" si="4"/>
        <v>4.6048720324639038E-6</v>
      </c>
      <c r="I131" s="111">
        <v>0.08</v>
      </c>
      <c r="J131" s="110">
        <f t="shared" si="5"/>
        <v>4.689761847323238E-5</v>
      </c>
      <c r="L131" s="112"/>
    </row>
    <row r="132" spans="1:12" x14ac:dyDescent="0.2">
      <c r="A132" s="99" t="s">
        <v>503</v>
      </c>
      <c r="B132" s="108" t="s">
        <v>504</v>
      </c>
      <c r="C132" s="109">
        <v>3949.6419999999998</v>
      </c>
      <c r="D132" s="109">
        <v>13.51</v>
      </c>
      <c r="E132" s="109">
        <f t="shared" si="6"/>
        <v>53359.663419999997</v>
      </c>
      <c r="F132" s="110" t="str">
        <f t="shared" si="7"/>
        <v/>
      </c>
      <c r="G132" s="111">
        <v>4.4411547002220574E-2</v>
      </c>
      <c r="H132" s="110" t="str">
        <f t="shared" si="4"/>
        <v/>
      </c>
      <c r="I132" s="111">
        <v>0.33500000000000002</v>
      </c>
      <c r="J132" s="110" t="str">
        <f t="shared" si="5"/>
        <v/>
      </c>
      <c r="L132" s="112"/>
    </row>
    <row r="133" spans="1:12" x14ac:dyDescent="0.2">
      <c r="A133" s="99" t="s">
        <v>792</v>
      </c>
      <c r="B133" s="108" t="s">
        <v>72</v>
      </c>
      <c r="C133" s="109">
        <v>1987.164</v>
      </c>
      <c r="D133" s="109">
        <v>74.63</v>
      </c>
      <c r="E133" s="109">
        <f t="shared" si="6"/>
        <v>148302.04931999999</v>
      </c>
      <c r="F133" s="110">
        <f t="shared" si="7"/>
        <v>5.2422006207838252E-3</v>
      </c>
      <c r="G133" s="111">
        <v>2.2779043280182234E-2</v>
      </c>
      <c r="H133" s="110">
        <f t="shared" si="4"/>
        <v>1.1941231482423293E-4</v>
      </c>
      <c r="I133" s="111">
        <v>0.105</v>
      </c>
      <c r="J133" s="110">
        <f t="shared" si="5"/>
        <v>5.504310651823016E-4</v>
      </c>
      <c r="L133" s="112"/>
    </row>
    <row r="134" spans="1:12" x14ac:dyDescent="0.2">
      <c r="A134" s="99" t="s">
        <v>285</v>
      </c>
      <c r="B134" s="108" t="s">
        <v>286</v>
      </c>
      <c r="C134" s="109">
        <v>500.358</v>
      </c>
      <c r="D134" s="109">
        <v>31.2</v>
      </c>
      <c r="E134" s="109">
        <f t="shared" si="6"/>
        <v>15611.169599999999</v>
      </c>
      <c r="F134" s="110">
        <f t="shared" si="7"/>
        <v>5.5182570533261722E-4</v>
      </c>
      <c r="G134" s="111">
        <v>3.8461538461538464E-2</v>
      </c>
      <c r="H134" s="110">
        <f t="shared" si="4"/>
        <v>2.1224065589716047E-5</v>
      </c>
      <c r="I134" s="111">
        <v>3.5000000000000003E-2</v>
      </c>
      <c r="J134" s="110">
        <f t="shared" si="5"/>
        <v>1.9313899686641606E-5</v>
      </c>
      <c r="L134" s="112"/>
    </row>
    <row r="135" spans="1:12" x14ac:dyDescent="0.2">
      <c r="A135" s="99" t="s">
        <v>564</v>
      </c>
      <c r="B135" s="108" t="s">
        <v>565</v>
      </c>
      <c r="C135" s="109">
        <v>191.66399999999999</v>
      </c>
      <c r="D135" s="109">
        <v>98.88</v>
      </c>
      <c r="E135" s="109">
        <f t="shared" si="6"/>
        <v>18951.736319999996</v>
      </c>
      <c r="F135" s="110">
        <f t="shared" si="7"/>
        <v>6.6990850333608428E-4</v>
      </c>
      <c r="G135" s="111">
        <v>2.9530744336569579E-2</v>
      </c>
      <c r="H135" s="110">
        <f t="shared" si="4"/>
        <v>1.9782896740911875E-5</v>
      </c>
      <c r="I135" s="111">
        <v>0.06</v>
      </c>
      <c r="J135" s="110">
        <f t="shared" si="5"/>
        <v>4.0194510200165056E-5</v>
      </c>
      <c r="L135" s="112"/>
    </row>
    <row r="136" spans="1:12" x14ac:dyDescent="0.2">
      <c r="A136" s="99" t="s">
        <v>510</v>
      </c>
      <c r="B136" s="108" t="s">
        <v>511</v>
      </c>
      <c r="C136" s="109">
        <v>1429.327</v>
      </c>
      <c r="D136" s="109">
        <v>44.62</v>
      </c>
      <c r="E136" s="109">
        <f t="shared" si="6"/>
        <v>63776.570739999996</v>
      </c>
      <c r="F136" s="110" t="str">
        <f t="shared" si="7"/>
        <v/>
      </c>
      <c r="G136" s="111">
        <v>1.3446884805020171E-2</v>
      </c>
      <c r="H136" s="110" t="str">
        <f t="shared" si="4"/>
        <v/>
      </c>
      <c r="I136" s="111">
        <v>0.27500000000000002</v>
      </c>
      <c r="J136" s="110" t="str">
        <f t="shared" si="5"/>
        <v/>
      </c>
      <c r="L136" s="112"/>
    </row>
    <row r="137" spans="1:12" x14ac:dyDescent="0.2">
      <c r="A137" s="99" t="s">
        <v>458</v>
      </c>
      <c r="B137" s="108" t="s">
        <v>459</v>
      </c>
      <c r="C137" s="109">
        <v>386.25799999999998</v>
      </c>
      <c r="D137" s="109">
        <v>107.09</v>
      </c>
      <c r="E137" s="109">
        <f t="shared" si="6"/>
        <v>41364.36922</v>
      </c>
      <c r="F137" s="110" t="str">
        <f t="shared" si="7"/>
        <v/>
      </c>
      <c r="G137" s="111" t="s">
        <v>175</v>
      </c>
      <c r="H137" s="110" t="str">
        <f t="shared" si="4"/>
        <v/>
      </c>
      <c r="I137" s="111" t="s">
        <v>175</v>
      </c>
      <c r="J137" s="110" t="str">
        <f t="shared" si="5"/>
        <v/>
      </c>
      <c r="L137" s="112"/>
    </row>
    <row r="138" spans="1:12" x14ac:dyDescent="0.2">
      <c r="A138" s="99" t="s">
        <v>541</v>
      </c>
      <c r="B138" s="108" t="s">
        <v>542</v>
      </c>
      <c r="C138" s="109">
        <v>274.54899999999998</v>
      </c>
      <c r="D138" s="109">
        <v>233.06</v>
      </c>
      <c r="E138" s="109">
        <f t="shared" si="6"/>
        <v>63986.389939999994</v>
      </c>
      <c r="F138" s="110">
        <f t="shared" si="7"/>
        <v>2.2617994464891587E-3</v>
      </c>
      <c r="G138" s="111">
        <v>2.162533253239509E-2</v>
      </c>
      <c r="H138" s="110">
        <f t="shared" si="4"/>
        <v>4.891216515191521E-5</v>
      </c>
      <c r="I138" s="111">
        <v>0.09</v>
      </c>
      <c r="J138" s="110">
        <f t="shared" si="5"/>
        <v>2.0356195018402426E-4</v>
      </c>
      <c r="L138" s="112"/>
    </row>
    <row r="139" spans="1:12" x14ac:dyDescent="0.2">
      <c r="A139" s="99" t="s">
        <v>547</v>
      </c>
      <c r="B139" s="108" t="s">
        <v>548</v>
      </c>
      <c r="C139" s="109">
        <v>589.61099999999999</v>
      </c>
      <c r="D139" s="109">
        <v>78.36</v>
      </c>
      <c r="E139" s="109">
        <f t="shared" si="6"/>
        <v>46201.917959999999</v>
      </c>
      <c r="F139" s="110">
        <f t="shared" si="7"/>
        <v>1.6331515587401416E-3</v>
      </c>
      <c r="G139" s="111">
        <v>2.756508422664625E-2</v>
      </c>
      <c r="H139" s="110">
        <f t="shared" si="4"/>
        <v>4.5017960271550617E-5</v>
      </c>
      <c r="I139" s="111">
        <v>0.04</v>
      </c>
      <c r="J139" s="110">
        <f t="shared" si="5"/>
        <v>6.5326062349605667E-5</v>
      </c>
      <c r="L139" s="112"/>
    </row>
    <row r="140" spans="1:12" x14ac:dyDescent="0.2">
      <c r="A140" s="99" t="s">
        <v>560</v>
      </c>
      <c r="B140" s="108" t="s">
        <v>561</v>
      </c>
      <c r="C140" s="109">
        <v>141.161</v>
      </c>
      <c r="D140" s="109">
        <v>167.82</v>
      </c>
      <c r="E140" s="109">
        <f t="shared" si="6"/>
        <v>23689.639019999999</v>
      </c>
      <c r="F140" s="110">
        <f t="shared" si="7"/>
        <v>8.3738451994567976E-4</v>
      </c>
      <c r="G140" s="111">
        <v>2.1332379930878324E-2</v>
      </c>
      <c r="H140" s="110">
        <f t="shared" si="4"/>
        <v>1.7863404727717399E-5</v>
      </c>
      <c r="I140" s="111">
        <v>0.09</v>
      </c>
      <c r="J140" s="110">
        <f t="shared" si="5"/>
        <v>7.5364606795111179E-5</v>
      </c>
      <c r="L140" s="112"/>
    </row>
    <row r="141" spans="1:12" x14ac:dyDescent="0.2">
      <c r="A141" s="99" t="s">
        <v>256</v>
      </c>
      <c r="B141" s="108" t="s">
        <v>54</v>
      </c>
      <c r="C141" s="109">
        <v>141.01599999999999</v>
      </c>
      <c r="D141" s="109">
        <v>117.54</v>
      </c>
      <c r="E141" s="109">
        <f t="shared" si="6"/>
        <v>16575.020639999999</v>
      </c>
      <c r="F141" s="110">
        <f t="shared" si="7"/>
        <v>5.8589604045879357E-4</v>
      </c>
      <c r="G141" s="111">
        <v>2.5182916453973112E-2</v>
      </c>
      <c r="H141" s="110">
        <f t="shared" si="4"/>
        <v>1.475457103758745E-5</v>
      </c>
      <c r="I141" s="111">
        <v>7.4999999999999997E-2</v>
      </c>
      <c r="J141" s="110">
        <f t="shared" si="5"/>
        <v>4.3942203034409517E-5</v>
      </c>
      <c r="L141" s="112"/>
    </row>
    <row r="142" spans="1:12" x14ac:dyDescent="0.2">
      <c r="A142" s="99" t="s">
        <v>568</v>
      </c>
      <c r="B142" s="108" t="s">
        <v>569</v>
      </c>
      <c r="C142" s="109">
        <v>50.529000000000003</v>
      </c>
      <c r="D142" s="109">
        <v>589.48</v>
      </c>
      <c r="E142" s="109">
        <f t="shared" si="6"/>
        <v>29785.834920000001</v>
      </c>
      <c r="F142" s="110">
        <f t="shared" si="7"/>
        <v>1.0528736657662025E-3</v>
      </c>
      <c r="G142" s="111">
        <v>1.1671303521747981E-2</v>
      </c>
      <c r="H142" s="110">
        <f t="shared" si="4"/>
        <v>1.2288408123212786E-5</v>
      </c>
      <c r="I142" s="111">
        <v>0.11</v>
      </c>
      <c r="J142" s="110">
        <f t="shared" si="5"/>
        <v>1.1581610323428228E-4</v>
      </c>
      <c r="L142" s="112"/>
    </row>
    <row r="143" spans="1:12" x14ac:dyDescent="0.2">
      <c r="A143" s="99" t="s">
        <v>570</v>
      </c>
      <c r="B143" s="108" t="s">
        <v>571</v>
      </c>
      <c r="C143" s="109">
        <v>908.04700000000003</v>
      </c>
      <c r="D143" s="109">
        <v>41.22</v>
      </c>
      <c r="E143" s="109">
        <f t="shared" si="6"/>
        <v>37429.697339999999</v>
      </c>
      <c r="F143" s="110" t="str">
        <f t="shared" si="7"/>
        <v/>
      </c>
      <c r="G143" s="111">
        <v>1.5526443474041729E-2</v>
      </c>
      <c r="H143" s="110" t="str">
        <f t="shared" si="4"/>
        <v/>
      </c>
      <c r="I143" s="111">
        <v>0.32500000000000001</v>
      </c>
      <c r="J143" s="110" t="str">
        <f t="shared" si="5"/>
        <v/>
      </c>
      <c r="L143" s="112"/>
    </row>
    <row r="144" spans="1:12" x14ac:dyDescent="0.2">
      <c r="A144" s="99" t="s">
        <v>687</v>
      </c>
      <c r="B144" s="108" t="s">
        <v>688</v>
      </c>
      <c r="C144" s="109">
        <v>190.40299999999999</v>
      </c>
      <c r="D144" s="109">
        <v>214.82</v>
      </c>
      <c r="E144" s="109">
        <f t="shared" si="6"/>
        <v>40902.372459999999</v>
      </c>
      <c r="F144" s="110">
        <f t="shared" si="7"/>
        <v>1.4458225175208472E-3</v>
      </c>
      <c r="G144" s="111">
        <v>2.0854669025230428E-2</v>
      </c>
      <c r="H144" s="110">
        <f t="shared" si="4"/>
        <v>3.0152150072122689E-5</v>
      </c>
      <c r="I144" s="111">
        <v>0.18</v>
      </c>
      <c r="J144" s="110">
        <f t="shared" si="5"/>
        <v>2.6024805315375248E-4</v>
      </c>
      <c r="L144" s="112"/>
    </row>
    <row r="145" spans="1:12" x14ac:dyDescent="0.2">
      <c r="A145" s="99" t="s">
        <v>851</v>
      </c>
      <c r="B145" s="108" t="s">
        <v>852</v>
      </c>
      <c r="C145" s="109">
        <v>537.54</v>
      </c>
      <c r="D145" s="109">
        <v>27.48</v>
      </c>
      <c r="E145" s="109">
        <f t="shared" si="6"/>
        <v>14771.599199999999</v>
      </c>
      <c r="F145" s="110">
        <f t="shared" si="7"/>
        <v>5.2214845884646099E-4</v>
      </c>
      <c r="G145" s="111">
        <v>4.3668122270742356E-2</v>
      </c>
      <c r="H145" s="110">
        <f t="shared" si="4"/>
        <v>2.2801242744386943E-5</v>
      </c>
      <c r="I145" s="111">
        <v>0.17</v>
      </c>
      <c r="J145" s="110">
        <f t="shared" si="5"/>
        <v>8.8765238003898377E-5</v>
      </c>
      <c r="L145" s="112"/>
    </row>
    <row r="146" spans="1:12" x14ac:dyDescent="0.2">
      <c r="A146" s="99" t="s">
        <v>401</v>
      </c>
      <c r="B146" s="108" t="s">
        <v>402</v>
      </c>
      <c r="C146" s="109">
        <v>179.964</v>
      </c>
      <c r="D146" s="109">
        <v>53.55</v>
      </c>
      <c r="E146" s="109">
        <f t="shared" si="6"/>
        <v>9637.0721999999987</v>
      </c>
      <c r="F146" s="110" t="str">
        <f t="shared" si="7"/>
        <v/>
      </c>
      <c r="G146" s="111" t="s">
        <v>175</v>
      </c>
      <c r="H146" s="110" t="str">
        <f t="shared" si="4"/>
        <v/>
      </c>
      <c r="I146" s="111">
        <v>0.21</v>
      </c>
      <c r="J146" s="110" t="str">
        <f t="shared" si="5"/>
        <v/>
      </c>
      <c r="L146" s="112"/>
    </row>
    <row r="147" spans="1:12" x14ac:dyDescent="0.2">
      <c r="A147" s="99" t="s">
        <v>539</v>
      </c>
      <c r="B147" s="108" t="s">
        <v>540</v>
      </c>
      <c r="C147" s="109">
        <v>353.80799999999999</v>
      </c>
      <c r="D147" s="109">
        <v>68.03</v>
      </c>
      <c r="E147" s="109">
        <f t="shared" si="6"/>
        <v>24069.558239999998</v>
      </c>
      <c r="F147" s="110">
        <f t="shared" si="7"/>
        <v>8.5081395521015334E-4</v>
      </c>
      <c r="G147" s="111">
        <v>4.1158312509187124E-3</v>
      </c>
      <c r="H147" s="110">
        <f t="shared" ref="H147:H210" si="8">IFERROR($G147*$F147,"")</f>
        <v>3.5018066655717028E-6</v>
      </c>
      <c r="I147" s="111">
        <v>0.12</v>
      </c>
      <c r="J147" s="110">
        <f t="shared" ref="J147:J210" si="9">IFERROR($I147*$F147,"")</f>
        <v>1.020976746252184E-4</v>
      </c>
      <c r="L147" s="112"/>
    </row>
    <row r="148" spans="1:12" x14ac:dyDescent="0.2">
      <c r="A148" s="99" t="s">
        <v>602</v>
      </c>
      <c r="B148" s="108" t="s">
        <v>603</v>
      </c>
      <c r="C148" s="109">
        <v>146.96899999999999</v>
      </c>
      <c r="D148" s="109">
        <v>224.6</v>
      </c>
      <c r="E148" s="109">
        <f t="shared" ref="E148:E211" si="10">IFERROR(C148*D148,"")</f>
        <v>33009.237399999998</v>
      </c>
      <c r="F148" s="110">
        <f t="shared" ref="F148:F211" si="11">IF(AND(ISNUMBER($I148)), IF(AND($I148&lt;=20%,$I148&gt;0%), $E148/SUMIFS($E$19:$E$521,$I$19:$I$521, "&gt;"&amp;0%,$I$19:$I$521, "&lt;="&amp;20%),""),"")</f>
        <v>1.1668149265860776E-3</v>
      </c>
      <c r="G148" s="111">
        <v>1.8450578806767589E-2</v>
      </c>
      <c r="H148" s="110">
        <f t="shared" si="8"/>
        <v>2.1528410755889162E-5</v>
      </c>
      <c r="I148" s="111">
        <v>0.09</v>
      </c>
      <c r="J148" s="110">
        <f t="shared" si="9"/>
        <v>1.0501334339274698E-4</v>
      </c>
      <c r="L148" s="112"/>
    </row>
    <row r="149" spans="1:12" x14ac:dyDescent="0.2">
      <c r="A149" s="99" t="s">
        <v>978</v>
      </c>
      <c r="B149" s="108" t="s">
        <v>979</v>
      </c>
      <c r="C149" s="109">
        <v>438.2</v>
      </c>
      <c r="D149" s="109">
        <v>36.729999999999997</v>
      </c>
      <c r="E149" s="109">
        <f t="shared" si="10"/>
        <v>16095.085999999998</v>
      </c>
      <c r="F149" s="110">
        <f t="shared" si="11"/>
        <v>5.6893124678750087E-4</v>
      </c>
      <c r="G149" s="111">
        <v>2.5047644976858158E-2</v>
      </c>
      <c r="H149" s="110">
        <f t="shared" si="8"/>
        <v>1.4250387885774595E-5</v>
      </c>
      <c r="I149" s="111">
        <v>9.5000000000000001E-2</v>
      </c>
      <c r="J149" s="110">
        <f t="shared" si="9"/>
        <v>5.4048468444812585E-5</v>
      </c>
      <c r="L149" s="112"/>
    </row>
    <row r="150" spans="1:12" x14ac:dyDescent="0.2">
      <c r="A150" s="99" t="s">
        <v>596</v>
      </c>
      <c r="B150" s="108" t="s">
        <v>597</v>
      </c>
      <c r="C150" s="109">
        <v>546.42399999999998</v>
      </c>
      <c r="D150" s="109">
        <v>45.31</v>
      </c>
      <c r="E150" s="109">
        <f t="shared" si="10"/>
        <v>24758.471440000001</v>
      </c>
      <c r="F150" s="110">
        <f t="shared" si="11"/>
        <v>8.7516575089514491E-4</v>
      </c>
      <c r="G150" s="111">
        <v>2.4277201500772456E-2</v>
      </c>
      <c r="H150" s="110">
        <f t="shared" si="8"/>
        <v>2.1246575281056265E-5</v>
      </c>
      <c r="I150" s="111">
        <v>7.4999999999999997E-2</v>
      </c>
      <c r="J150" s="110">
        <f t="shared" si="9"/>
        <v>6.5637431317135865E-5</v>
      </c>
      <c r="L150" s="112"/>
    </row>
    <row r="151" spans="1:12" x14ac:dyDescent="0.2">
      <c r="A151" s="99" t="s">
        <v>208</v>
      </c>
      <c r="B151" s="108" t="s">
        <v>209</v>
      </c>
      <c r="C151" s="109">
        <v>211.9</v>
      </c>
      <c r="D151" s="109">
        <v>195.72</v>
      </c>
      <c r="E151" s="109">
        <f t="shared" si="10"/>
        <v>41473.067999999999</v>
      </c>
      <c r="F151" s="110">
        <f t="shared" si="11"/>
        <v>1.4659955395915753E-3</v>
      </c>
      <c r="G151" s="111">
        <v>1.1240547721234418E-2</v>
      </c>
      <c r="H151" s="110">
        <f t="shared" si="8"/>
        <v>1.6478592821895903E-5</v>
      </c>
      <c r="I151" s="111">
        <v>0.185</v>
      </c>
      <c r="J151" s="110">
        <f t="shared" si="9"/>
        <v>2.7120917482444145E-4</v>
      </c>
      <c r="L151" s="112"/>
    </row>
    <row r="152" spans="1:12" x14ac:dyDescent="0.2">
      <c r="A152" s="99" t="s">
        <v>732</v>
      </c>
      <c r="B152" s="108" t="s">
        <v>733</v>
      </c>
      <c r="C152" s="109">
        <v>1365.6189999999999</v>
      </c>
      <c r="D152" s="109">
        <v>65.44</v>
      </c>
      <c r="E152" s="109">
        <f t="shared" si="10"/>
        <v>89366.107359999995</v>
      </c>
      <c r="F152" s="110">
        <f t="shared" si="11"/>
        <v>3.1589250831508737E-3</v>
      </c>
      <c r="G152" s="111">
        <v>2.3533007334963326E-2</v>
      </c>
      <c r="H152" s="110">
        <f t="shared" si="8"/>
        <v>7.4339007152389149E-5</v>
      </c>
      <c r="I152" s="111">
        <v>7.4999999999999997E-2</v>
      </c>
      <c r="J152" s="110">
        <f t="shared" si="9"/>
        <v>2.3691938123631551E-4</v>
      </c>
      <c r="L152" s="112"/>
    </row>
    <row r="153" spans="1:12" x14ac:dyDescent="0.2">
      <c r="A153" s="99" t="s">
        <v>375</v>
      </c>
      <c r="B153" s="108" t="s">
        <v>376</v>
      </c>
      <c r="C153" s="109">
        <v>629.43200000000002</v>
      </c>
      <c r="D153" s="109">
        <v>30.12</v>
      </c>
      <c r="E153" s="109">
        <f t="shared" si="10"/>
        <v>18958.491840000002</v>
      </c>
      <c r="F153" s="110">
        <f t="shared" si="11"/>
        <v>6.7014729835813643E-4</v>
      </c>
      <c r="G153" s="111">
        <v>2.5232403718459494E-2</v>
      </c>
      <c r="H153" s="110">
        <f t="shared" si="8"/>
        <v>1.6909427183007426E-5</v>
      </c>
      <c r="I153" s="111">
        <v>6.5000000000000002E-2</v>
      </c>
      <c r="J153" s="110">
        <f t="shared" si="9"/>
        <v>4.3559574393278872E-5</v>
      </c>
      <c r="L153" s="112"/>
    </row>
    <row r="154" spans="1:12" x14ac:dyDescent="0.2">
      <c r="A154" s="99" t="s">
        <v>604</v>
      </c>
      <c r="B154" s="108" t="s">
        <v>605</v>
      </c>
      <c r="C154" s="109">
        <v>126.6</v>
      </c>
      <c r="D154" s="109">
        <v>511.7</v>
      </c>
      <c r="E154" s="109">
        <f t="shared" si="10"/>
        <v>64781.219999999994</v>
      </c>
      <c r="F154" s="110">
        <f t="shared" si="11"/>
        <v>2.2898952054692585E-3</v>
      </c>
      <c r="G154" s="111">
        <v>6.1559507523939808E-3</v>
      </c>
      <c r="H154" s="110">
        <f t="shared" si="8"/>
        <v>1.4096482113011851E-5</v>
      </c>
      <c r="I154" s="111">
        <v>0.11</v>
      </c>
      <c r="J154" s="110">
        <f t="shared" si="9"/>
        <v>2.5188847260161846E-4</v>
      </c>
      <c r="L154" s="112"/>
    </row>
    <row r="155" spans="1:12" x14ac:dyDescent="0.2">
      <c r="A155" s="99" t="s">
        <v>1101</v>
      </c>
      <c r="B155" s="108" t="s">
        <v>1102</v>
      </c>
      <c r="C155" s="109">
        <v>108.238</v>
      </c>
      <c r="D155" s="109">
        <v>254.19</v>
      </c>
      <c r="E155" s="109">
        <f t="shared" si="10"/>
        <v>27513.017219999998</v>
      </c>
      <c r="F155" s="110">
        <f t="shared" si="11"/>
        <v>9.7253380254448977E-4</v>
      </c>
      <c r="G155" s="111">
        <v>1.2903733427750894E-2</v>
      </c>
      <c r="H155" s="110">
        <f t="shared" si="8"/>
        <v>1.254931693751102E-5</v>
      </c>
      <c r="I155" s="111">
        <v>8.5000000000000006E-2</v>
      </c>
      <c r="J155" s="110">
        <f t="shared" si="9"/>
        <v>8.2665373216281632E-5</v>
      </c>
      <c r="L155" s="112"/>
    </row>
    <row r="156" spans="1:12" x14ac:dyDescent="0.2">
      <c r="A156" s="99" t="s">
        <v>640</v>
      </c>
      <c r="B156" s="108" t="s">
        <v>641</v>
      </c>
      <c r="C156" s="109">
        <v>307.18599999999998</v>
      </c>
      <c r="D156" s="109">
        <v>236.04</v>
      </c>
      <c r="E156" s="109">
        <f t="shared" si="10"/>
        <v>72508.183439999993</v>
      </c>
      <c r="F156" s="110">
        <f t="shared" si="11"/>
        <v>2.5630289398152969E-3</v>
      </c>
      <c r="G156" s="111">
        <v>2.2199627181833589E-2</v>
      </c>
      <c r="H156" s="110">
        <f t="shared" si="8"/>
        <v>5.6898286920149792E-5</v>
      </c>
      <c r="I156" s="111">
        <v>0.11</v>
      </c>
      <c r="J156" s="110">
        <f t="shared" si="9"/>
        <v>2.8193318337968264E-4</v>
      </c>
      <c r="L156" s="112"/>
    </row>
    <row r="157" spans="1:12" x14ac:dyDescent="0.2">
      <c r="A157" s="99" t="s">
        <v>338</v>
      </c>
      <c r="B157" s="108" t="s">
        <v>339</v>
      </c>
      <c r="C157" s="109">
        <v>135.39099999999999</v>
      </c>
      <c r="D157" s="109">
        <v>196.03</v>
      </c>
      <c r="E157" s="109">
        <f t="shared" si="10"/>
        <v>26540.69773</v>
      </c>
      <c r="F157" s="110">
        <f t="shared" si="11"/>
        <v>9.3816412351814061E-4</v>
      </c>
      <c r="G157" s="111">
        <v>1.2038973626485741E-2</v>
      </c>
      <c r="H157" s="110">
        <f t="shared" si="8"/>
        <v>1.1294533140350007E-5</v>
      </c>
      <c r="I157" s="111">
        <v>8.5000000000000006E-2</v>
      </c>
      <c r="J157" s="110">
        <f t="shared" si="9"/>
        <v>7.9743950499041954E-5</v>
      </c>
      <c r="L157" s="112"/>
    </row>
    <row r="158" spans="1:12" x14ac:dyDescent="0.2">
      <c r="A158" s="99" t="s">
        <v>1024</v>
      </c>
      <c r="B158" s="108" t="s">
        <v>1025</v>
      </c>
      <c r="C158" s="109">
        <v>230.30699999999999</v>
      </c>
      <c r="D158" s="109">
        <v>179.12</v>
      </c>
      <c r="E158" s="109">
        <f t="shared" si="10"/>
        <v>41252.589840000001</v>
      </c>
      <c r="F158" s="110" t="str">
        <f t="shared" si="11"/>
        <v/>
      </c>
      <c r="G158" s="111">
        <v>1.4962036623492631E-2</v>
      </c>
      <c r="H158" s="110" t="str">
        <f t="shared" si="8"/>
        <v/>
      </c>
      <c r="I158" s="111" t="s">
        <v>175</v>
      </c>
      <c r="J158" s="110" t="str">
        <f t="shared" si="9"/>
        <v/>
      </c>
      <c r="L158" s="112"/>
    </row>
    <row r="159" spans="1:12" x14ac:dyDescent="0.2">
      <c r="A159" s="99" t="s">
        <v>628</v>
      </c>
      <c r="B159" s="108" t="s">
        <v>629</v>
      </c>
      <c r="C159" s="109">
        <v>388.52499999999998</v>
      </c>
      <c r="D159" s="109">
        <v>36.46</v>
      </c>
      <c r="E159" s="109">
        <f t="shared" si="10"/>
        <v>14165.621499999999</v>
      </c>
      <c r="F159" s="110">
        <f t="shared" si="11"/>
        <v>5.0072827827790602E-4</v>
      </c>
      <c r="G159" s="111">
        <v>3.1815688425671965E-2</v>
      </c>
      <c r="H159" s="110">
        <f t="shared" si="8"/>
        <v>1.5931014887613024E-5</v>
      </c>
      <c r="I159" s="111">
        <v>0.1</v>
      </c>
      <c r="J159" s="110">
        <f t="shared" si="9"/>
        <v>5.0072827827790602E-5</v>
      </c>
      <c r="L159" s="112"/>
    </row>
    <row r="160" spans="1:12" x14ac:dyDescent="0.2">
      <c r="A160" s="99" t="s">
        <v>616</v>
      </c>
      <c r="B160" s="108" t="s">
        <v>617</v>
      </c>
      <c r="C160" s="109">
        <v>254.96199999999999</v>
      </c>
      <c r="D160" s="109">
        <v>112.46</v>
      </c>
      <c r="E160" s="109">
        <f t="shared" si="10"/>
        <v>28673.026519999996</v>
      </c>
      <c r="F160" s="110">
        <f t="shared" si="11"/>
        <v>1.0135379660099161E-3</v>
      </c>
      <c r="G160" s="111">
        <v>2.8810243642183892E-2</v>
      </c>
      <c r="H160" s="110">
        <f t="shared" si="8"/>
        <v>2.9200275741349179E-5</v>
      </c>
      <c r="I160" s="111">
        <v>7.4999999999999997E-2</v>
      </c>
      <c r="J160" s="110">
        <f t="shared" si="9"/>
        <v>7.6015347450743696E-5</v>
      </c>
      <c r="L160" s="112"/>
    </row>
    <row r="161" spans="1:12" x14ac:dyDescent="0.2">
      <c r="A161" s="99" t="s">
        <v>555</v>
      </c>
      <c r="B161" s="108" t="s">
        <v>556</v>
      </c>
      <c r="C161" s="109">
        <v>63.356000000000002</v>
      </c>
      <c r="D161" s="109">
        <v>120.6</v>
      </c>
      <c r="E161" s="109">
        <f t="shared" si="10"/>
        <v>7640.7335999999996</v>
      </c>
      <c r="F161" s="110" t="str">
        <f t="shared" si="11"/>
        <v/>
      </c>
      <c r="G161" s="111" t="s">
        <v>175</v>
      </c>
      <c r="H161" s="110" t="str">
        <f t="shared" si="8"/>
        <v/>
      </c>
      <c r="I161" s="111">
        <v>0.23499999999999999</v>
      </c>
      <c r="J161" s="110" t="str">
        <f t="shared" si="9"/>
        <v/>
      </c>
      <c r="L161" s="112"/>
    </row>
    <row r="162" spans="1:12" x14ac:dyDescent="0.2">
      <c r="A162" s="99" t="s">
        <v>823</v>
      </c>
      <c r="B162" s="108" t="s">
        <v>824</v>
      </c>
      <c r="C162" s="109">
        <v>259.13499999999999</v>
      </c>
      <c r="D162" s="109">
        <v>184.31</v>
      </c>
      <c r="E162" s="109">
        <f t="shared" si="10"/>
        <v>47761.171849999999</v>
      </c>
      <c r="F162" s="110">
        <f t="shared" si="11"/>
        <v>1.6882682732265359E-3</v>
      </c>
      <c r="G162" s="111">
        <v>2.2006402257066897E-2</v>
      </c>
      <c r="H162" s="110">
        <f t="shared" si="8"/>
        <v>3.7152710738466873E-5</v>
      </c>
      <c r="I162" s="111">
        <v>0.12</v>
      </c>
      <c r="J162" s="110">
        <f t="shared" si="9"/>
        <v>2.025921927871843E-4</v>
      </c>
      <c r="L162" s="112"/>
    </row>
    <row r="163" spans="1:12" x14ac:dyDescent="0.2">
      <c r="A163" s="99" t="s">
        <v>657</v>
      </c>
      <c r="B163" s="108" t="s">
        <v>658</v>
      </c>
      <c r="C163" s="109">
        <v>341.28100000000001</v>
      </c>
      <c r="D163" s="109">
        <v>68.58</v>
      </c>
      <c r="E163" s="109">
        <f t="shared" si="10"/>
        <v>23405.05098</v>
      </c>
      <c r="F163" s="110">
        <f t="shared" si="11"/>
        <v>8.2732486394769317E-4</v>
      </c>
      <c r="G163" s="111">
        <v>3.4412365121026536E-2</v>
      </c>
      <c r="H163" s="110">
        <f t="shared" si="8"/>
        <v>2.847020529187162E-5</v>
      </c>
      <c r="I163" s="111">
        <v>3.5000000000000003E-2</v>
      </c>
      <c r="J163" s="110">
        <f t="shared" si="9"/>
        <v>2.8956370238169264E-5</v>
      </c>
      <c r="L163" s="112"/>
    </row>
    <row r="164" spans="1:12" x14ac:dyDescent="0.2">
      <c r="A164" s="99" t="s">
        <v>303</v>
      </c>
      <c r="B164" s="108" t="s">
        <v>304</v>
      </c>
      <c r="C164" s="109">
        <v>117.655</v>
      </c>
      <c r="D164" s="109">
        <v>150.36000000000001</v>
      </c>
      <c r="E164" s="109">
        <f t="shared" si="10"/>
        <v>17690.605800000001</v>
      </c>
      <c r="F164" s="110">
        <f t="shared" si="11"/>
        <v>6.2532989349794066E-4</v>
      </c>
      <c r="G164" s="111">
        <v>1.928704442670923E-2</v>
      </c>
      <c r="H164" s="110">
        <f t="shared" si="8"/>
        <v>1.2060765437244132E-5</v>
      </c>
      <c r="I164" s="111">
        <v>9.5000000000000001E-2</v>
      </c>
      <c r="J164" s="110">
        <f t="shared" si="9"/>
        <v>5.9406339882304362E-5</v>
      </c>
      <c r="L164" s="112"/>
    </row>
    <row r="165" spans="1:12" x14ac:dyDescent="0.2">
      <c r="A165" s="99" t="s">
        <v>669</v>
      </c>
      <c r="B165" s="108" t="s">
        <v>670</v>
      </c>
      <c r="C165" s="109">
        <v>337.49200000000002</v>
      </c>
      <c r="D165" s="109">
        <v>130.01</v>
      </c>
      <c r="E165" s="109">
        <f t="shared" si="10"/>
        <v>43877.334920000001</v>
      </c>
      <c r="F165" s="110">
        <f t="shared" si="11"/>
        <v>1.5509818873753365E-3</v>
      </c>
      <c r="G165" s="111">
        <v>3.6304899623105916E-2</v>
      </c>
      <c r="H165" s="110">
        <f t="shared" si="8"/>
        <v>5.6308241738416953E-5</v>
      </c>
      <c r="I165" s="111">
        <v>5.5E-2</v>
      </c>
      <c r="J165" s="110">
        <f t="shared" si="9"/>
        <v>8.5304003805643512E-5</v>
      </c>
      <c r="L165" s="112"/>
    </row>
    <row r="166" spans="1:12" x14ac:dyDescent="0.2">
      <c r="A166" s="99" t="s">
        <v>665</v>
      </c>
      <c r="B166" s="108" t="s">
        <v>666</v>
      </c>
      <c r="C166" s="109">
        <v>618.46100000000001</v>
      </c>
      <c r="D166" s="109">
        <v>22.46</v>
      </c>
      <c r="E166" s="109">
        <f t="shared" si="10"/>
        <v>13890.63406</v>
      </c>
      <c r="F166" s="110">
        <f t="shared" si="11"/>
        <v>4.9100798556930521E-4</v>
      </c>
      <c r="G166" s="111">
        <v>4.096170970614426E-2</v>
      </c>
      <c r="H166" s="110">
        <f t="shared" si="8"/>
        <v>2.0112526568288548E-5</v>
      </c>
      <c r="I166" s="111">
        <v>8.5000000000000006E-2</v>
      </c>
      <c r="J166" s="110">
        <f t="shared" si="9"/>
        <v>4.1735678773390948E-5</v>
      </c>
      <c r="L166" s="112"/>
    </row>
    <row r="167" spans="1:12" x14ac:dyDescent="0.2">
      <c r="A167" s="99" t="s">
        <v>835</v>
      </c>
      <c r="B167" s="108" t="s">
        <v>836</v>
      </c>
      <c r="C167" s="109">
        <v>2696.2530000000002</v>
      </c>
      <c r="D167" s="109">
        <v>88.46</v>
      </c>
      <c r="E167" s="109">
        <f t="shared" si="10"/>
        <v>238510.54037999999</v>
      </c>
      <c r="F167" s="110">
        <f t="shared" si="11"/>
        <v>8.4309023953245098E-3</v>
      </c>
      <c r="G167" s="111">
        <v>1.4469816866380287E-2</v>
      </c>
      <c r="H167" s="110">
        <f t="shared" si="8"/>
        <v>1.2199361367867256E-4</v>
      </c>
      <c r="I167" s="111">
        <v>0.1</v>
      </c>
      <c r="J167" s="110">
        <f t="shared" si="9"/>
        <v>8.4309023953245106E-4</v>
      </c>
      <c r="L167" s="112"/>
    </row>
    <row r="168" spans="1:12" x14ac:dyDescent="0.2">
      <c r="A168" s="99" t="s">
        <v>677</v>
      </c>
      <c r="B168" s="108" t="s">
        <v>678</v>
      </c>
      <c r="C168" s="109">
        <v>715.822</v>
      </c>
      <c r="D168" s="109">
        <v>44.63</v>
      </c>
      <c r="E168" s="109">
        <f t="shared" si="10"/>
        <v>31947.135860000002</v>
      </c>
      <c r="F168" s="110">
        <f t="shared" si="11"/>
        <v>1.129271619680658E-3</v>
      </c>
      <c r="G168" s="111">
        <v>2.3302711180820074E-2</v>
      </c>
      <c r="H168" s="110">
        <f t="shared" si="8"/>
        <v>2.6315090398115264E-5</v>
      </c>
      <c r="I168" s="111">
        <v>6.5000000000000002E-2</v>
      </c>
      <c r="J168" s="110">
        <f t="shared" si="9"/>
        <v>7.3402655279242773E-5</v>
      </c>
      <c r="L168" s="112"/>
    </row>
    <row r="169" spans="1:12" x14ac:dyDescent="0.2">
      <c r="A169" s="99" t="s">
        <v>683</v>
      </c>
      <c r="B169" s="108" t="s">
        <v>684</v>
      </c>
      <c r="C169" s="109">
        <v>253.53899999999999</v>
      </c>
      <c r="D169" s="109">
        <v>102.4</v>
      </c>
      <c r="E169" s="109">
        <f t="shared" si="10"/>
        <v>25962.393599999999</v>
      </c>
      <c r="F169" s="110">
        <f t="shared" si="11"/>
        <v>9.1772215199321298E-4</v>
      </c>
      <c r="G169" s="111">
        <v>1.46484375E-2</v>
      </c>
      <c r="H169" s="110">
        <f t="shared" si="8"/>
        <v>1.3443195585838081E-5</v>
      </c>
      <c r="I169" s="111">
        <v>8.5000000000000006E-2</v>
      </c>
      <c r="J169" s="110">
        <f t="shared" si="9"/>
        <v>7.800638291942311E-5</v>
      </c>
      <c r="L169" s="112"/>
    </row>
    <row r="170" spans="1:12" x14ac:dyDescent="0.2">
      <c r="A170" s="99" t="s">
        <v>693</v>
      </c>
      <c r="B170" s="108" t="s">
        <v>694</v>
      </c>
      <c r="C170" s="109">
        <v>950.178</v>
      </c>
      <c r="D170" s="109">
        <v>344.15</v>
      </c>
      <c r="E170" s="109">
        <f t="shared" si="10"/>
        <v>327003.75870000001</v>
      </c>
      <c r="F170" s="110">
        <f t="shared" si="11"/>
        <v>1.1558972480258268E-2</v>
      </c>
      <c r="G170" s="111">
        <v>1.3133807932587534E-2</v>
      </c>
      <c r="H170" s="110">
        <f t="shared" si="8"/>
        <v>1.5181332445377704E-4</v>
      </c>
      <c r="I170" s="111">
        <v>0.115</v>
      </c>
      <c r="J170" s="110">
        <f t="shared" si="9"/>
        <v>1.3292818352297008E-3</v>
      </c>
      <c r="L170" s="112"/>
    </row>
    <row r="171" spans="1:12" x14ac:dyDescent="0.2">
      <c r="A171" s="99" t="s">
        <v>279</v>
      </c>
      <c r="B171" s="108" t="s">
        <v>280</v>
      </c>
      <c r="C171" s="109">
        <v>228.41499999999999</v>
      </c>
      <c r="D171" s="109">
        <v>46.01</v>
      </c>
      <c r="E171" s="109">
        <f t="shared" si="10"/>
        <v>10509.37415</v>
      </c>
      <c r="F171" s="110" t="str">
        <f t="shared" si="11"/>
        <v/>
      </c>
      <c r="G171" s="111">
        <v>1.7387524451206261E-2</v>
      </c>
      <c r="H171" s="110" t="str">
        <f t="shared" si="8"/>
        <v/>
      </c>
      <c r="I171" s="111">
        <v>0.26500000000000001</v>
      </c>
      <c r="J171" s="110" t="str">
        <f t="shared" si="9"/>
        <v/>
      </c>
      <c r="L171" s="112"/>
    </row>
    <row r="172" spans="1:12" x14ac:dyDescent="0.2">
      <c r="A172" s="99" t="s">
        <v>352</v>
      </c>
      <c r="B172" s="108" t="s">
        <v>353</v>
      </c>
      <c r="C172" s="109">
        <v>155.672</v>
      </c>
      <c r="D172" s="109">
        <v>384.31</v>
      </c>
      <c r="E172" s="109">
        <f t="shared" si="10"/>
        <v>59826.306319999996</v>
      </c>
      <c r="F172" s="110" t="str">
        <f t="shared" si="11"/>
        <v/>
      </c>
      <c r="G172" s="111" t="s">
        <v>175</v>
      </c>
      <c r="H172" s="110" t="str">
        <f t="shared" si="8"/>
        <v/>
      </c>
      <c r="I172" s="111">
        <v>0.23</v>
      </c>
      <c r="J172" s="110" t="str">
        <f t="shared" si="9"/>
        <v/>
      </c>
      <c r="L172" s="112"/>
    </row>
    <row r="173" spans="1:12" x14ac:dyDescent="0.2">
      <c r="A173" s="99" t="s">
        <v>697</v>
      </c>
      <c r="B173" s="108" t="s">
        <v>698</v>
      </c>
      <c r="C173" s="109">
        <v>169.215</v>
      </c>
      <c r="D173" s="109">
        <v>35.43</v>
      </c>
      <c r="E173" s="109">
        <f t="shared" si="10"/>
        <v>5995.2874499999998</v>
      </c>
      <c r="F173" s="110">
        <f t="shared" si="11"/>
        <v>2.119222204701458E-4</v>
      </c>
      <c r="G173" s="111">
        <v>5.0804403048264182E-2</v>
      </c>
      <c r="H173" s="110">
        <f t="shared" si="8"/>
        <v>1.076658190364839E-5</v>
      </c>
      <c r="I173" s="111">
        <v>0.115</v>
      </c>
      <c r="J173" s="110">
        <f t="shared" si="9"/>
        <v>2.4371055354066766E-5</v>
      </c>
      <c r="L173" s="112"/>
    </row>
    <row r="174" spans="1:12" x14ac:dyDescent="0.2">
      <c r="A174" s="99" t="s">
        <v>679</v>
      </c>
      <c r="B174" s="108" t="s">
        <v>680</v>
      </c>
      <c r="C174" s="109">
        <v>237.42699999999999</v>
      </c>
      <c r="D174" s="109">
        <v>61.48</v>
      </c>
      <c r="E174" s="109">
        <f t="shared" si="10"/>
        <v>14597.011959999998</v>
      </c>
      <c r="F174" s="110">
        <f t="shared" si="11"/>
        <v>5.1597712579944349E-4</v>
      </c>
      <c r="G174" s="111">
        <v>4.0663630448926485E-3</v>
      </c>
      <c r="H174" s="110">
        <f t="shared" si="8"/>
        <v>2.0981503163607821E-6</v>
      </c>
      <c r="I174" s="111">
        <v>0.185</v>
      </c>
      <c r="J174" s="110">
        <f t="shared" si="9"/>
        <v>9.5455768272897042E-5</v>
      </c>
      <c r="L174" s="112"/>
    </row>
    <row r="175" spans="1:12" x14ac:dyDescent="0.2">
      <c r="A175" s="99" t="s">
        <v>700</v>
      </c>
      <c r="B175" s="108" t="s">
        <v>701</v>
      </c>
      <c r="C175" s="109">
        <v>604.70299999999997</v>
      </c>
      <c r="D175" s="109">
        <v>208.25</v>
      </c>
      <c r="E175" s="109">
        <f t="shared" si="10"/>
        <v>125929.39975</v>
      </c>
      <c r="F175" s="110">
        <f t="shared" si="11"/>
        <v>4.4513692195847299E-3</v>
      </c>
      <c r="G175" s="111">
        <v>2.0168067226890758E-2</v>
      </c>
      <c r="H175" s="110">
        <f t="shared" si="8"/>
        <v>8.9775513672297081E-5</v>
      </c>
      <c r="I175" s="111">
        <v>0.125</v>
      </c>
      <c r="J175" s="110">
        <f t="shared" si="9"/>
        <v>5.5642115244809124E-4</v>
      </c>
      <c r="L175" s="112"/>
    </row>
    <row r="176" spans="1:12" x14ac:dyDescent="0.2">
      <c r="A176" s="99" t="s">
        <v>614</v>
      </c>
      <c r="B176" s="108" t="s">
        <v>615</v>
      </c>
      <c r="C176" s="109">
        <v>75.421000000000006</v>
      </c>
      <c r="D176" s="109">
        <v>239.68</v>
      </c>
      <c r="E176" s="109">
        <f t="shared" si="10"/>
        <v>18076.905280000003</v>
      </c>
      <c r="F176" s="110">
        <f t="shared" si="11"/>
        <v>6.3898485904393179E-4</v>
      </c>
      <c r="G176" s="111">
        <v>1.0013351134846461E-2</v>
      </c>
      <c r="H176" s="110">
        <f t="shared" si="8"/>
        <v>6.3983797634572597E-6</v>
      </c>
      <c r="I176" s="111">
        <v>0.11</v>
      </c>
      <c r="J176" s="110">
        <f t="shared" si="9"/>
        <v>7.0288334494832496E-5</v>
      </c>
      <c r="L176" s="112"/>
    </row>
    <row r="177" spans="1:12" x14ac:dyDescent="0.2">
      <c r="A177" s="99" t="s">
        <v>748</v>
      </c>
      <c r="B177" s="108" t="s">
        <v>749</v>
      </c>
      <c r="C177" s="109">
        <v>496.01</v>
      </c>
      <c r="D177" s="109">
        <v>174.91</v>
      </c>
      <c r="E177" s="109">
        <f t="shared" si="10"/>
        <v>86757.109100000001</v>
      </c>
      <c r="F177" s="110">
        <f t="shared" si="11"/>
        <v>3.0667018646524935E-3</v>
      </c>
      <c r="G177" s="111">
        <v>1.3492653364587501E-2</v>
      </c>
      <c r="H177" s="110">
        <f t="shared" si="8"/>
        <v>4.1377945232290233E-5</v>
      </c>
      <c r="I177" s="111">
        <v>0.11</v>
      </c>
      <c r="J177" s="110">
        <f t="shared" si="9"/>
        <v>3.373372051117743E-4</v>
      </c>
      <c r="L177" s="112"/>
    </row>
    <row r="178" spans="1:12" x14ac:dyDescent="0.2">
      <c r="A178" s="99" t="s">
        <v>722</v>
      </c>
      <c r="B178" s="108" t="s">
        <v>723</v>
      </c>
      <c r="C178" s="109">
        <v>225.529</v>
      </c>
      <c r="D178" s="109">
        <v>53.2</v>
      </c>
      <c r="E178" s="109">
        <f t="shared" si="10"/>
        <v>11998.1428</v>
      </c>
      <c r="F178" s="110">
        <f t="shared" si="11"/>
        <v>4.241119520789437E-4</v>
      </c>
      <c r="G178" s="111">
        <v>2.1052631578947368E-2</v>
      </c>
      <c r="H178" s="110">
        <f t="shared" si="8"/>
        <v>8.9286726753461822E-6</v>
      </c>
      <c r="I178" s="111">
        <v>0.08</v>
      </c>
      <c r="J178" s="110">
        <f t="shared" si="9"/>
        <v>3.3928956166315495E-5</v>
      </c>
      <c r="L178" s="112"/>
    </row>
    <row r="179" spans="1:12" x14ac:dyDescent="0.2">
      <c r="A179" s="99" t="s">
        <v>962</v>
      </c>
      <c r="B179" s="108" t="s">
        <v>963</v>
      </c>
      <c r="C179" s="109">
        <v>325.8</v>
      </c>
      <c r="D179" s="109">
        <v>374.94</v>
      </c>
      <c r="E179" s="109">
        <f t="shared" si="10"/>
        <v>122155.452</v>
      </c>
      <c r="F179" s="110">
        <f t="shared" si="11"/>
        <v>4.317967211125851E-3</v>
      </c>
      <c r="G179" s="111">
        <v>9.6015362457993279E-3</v>
      </c>
      <c r="H179" s="110">
        <f t="shared" si="8"/>
        <v>4.1459118685797895E-5</v>
      </c>
      <c r="I179" s="111">
        <v>9.5000000000000001E-2</v>
      </c>
      <c r="J179" s="110">
        <f t="shared" si="9"/>
        <v>4.1020688505695587E-4</v>
      </c>
      <c r="L179" s="112"/>
    </row>
    <row r="180" spans="1:12" x14ac:dyDescent="0.2">
      <c r="A180" s="99" t="s">
        <v>734</v>
      </c>
      <c r="B180" s="108" t="s">
        <v>735</v>
      </c>
      <c r="C180" s="109">
        <v>1330.18</v>
      </c>
      <c r="D180" s="109">
        <v>83.69</v>
      </c>
      <c r="E180" s="109">
        <f t="shared" si="10"/>
        <v>111322.76420000001</v>
      </c>
      <c r="F180" s="110">
        <f t="shared" si="11"/>
        <v>3.9350519178423136E-3</v>
      </c>
      <c r="G180" s="111">
        <v>3.2500896164416301E-2</v>
      </c>
      <c r="H180" s="110">
        <f t="shared" si="8"/>
        <v>1.2789271378338025E-4</v>
      </c>
      <c r="I180" s="111">
        <v>7.4999999999999997E-2</v>
      </c>
      <c r="J180" s="110">
        <f t="shared" si="9"/>
        <v>2.9512889383817353E-4</v>
      </c>
      <c r="L180" s="112"/>
    </row>
    <row r="181" spans="1:12" x14ac:dyDescent="0.2">
      <c r="A181" s="99" t="s">
        <v>1068</v>
      </c>
      <c r="B181" s="108" t="s">
        <v>1069</v>
      </c>
      <c r="C181" s="109">
        <v>1212.6849999999999</v>
      </c>
      <c r="D181" s="109">
        <v>12.16</v>
      </c>
      <c r="E181" s="109">
        <f t="shared" si="10"/>
        <v>14746.249599999999</v>
      </c>
      <c r="F181" s="110" t="str">
        <f t="shared" si="11"/>
        <v/>
      </c>
      <c r="G181" s="111">
        <v>3.9473684210526314E-2</v>
      </c>
      <c r="H181" s="110" t="str">
        <f t="shared" si="8"/>
        <v/>
      </c>
      <c r="I181" s="111" t="s">
        <v>175</v>
      </c>
      <c r="J181" s="110" t="str">
        <f t="shared" si="9"/>
        <v/>
      </c>
      <c r="L181" s="112"/>
    </row>
    <row r="182" spans="1:12" x14ac:dyDescent="0.2">
      <c r="A182" s="99" t="s">
        <v>409</v>
      </c>
      <c r="B182" s="108" t="s">
        <v>410</v>
      </c>
      <c r="C182" s="109">
        <v>1313.9670000000001</v>
      </c>
      <c r="D182" s="109">
        <v>88.22</v>
      </c>
      <c r="E182" s="109">
        <f t="shared" si="10"/>
        <v>115918.16874000001</v>
      </c>
      <c r="F182" s="110">
        <f t="shared" si="11"/>
        <v>4.0974908904849667E-3</v>
      </c>
      <c r="G182" s="111">
        <v>2.7431421446384038E-2</v>
      </c>
      <c r="H182" s="110">
        <f t="shared" si="8"/>
        <v>1.1239999948961254E-4</v>
      </c>
      <c r="I182" s="111">
        <v>0.06</v>
      </c>
      <c r="J182" s="110">
        <f t="shared" si="9"/>
        <v>2.45849453429098E-4</v>
      </c>
      <c r="L182" s="112"/>
    </row>
    <row r="183" spans="1:12" x14ac:dyDescent="0.2">
      <c r="A183" s="99" t="s">
        <v>419</v>
      </c>
      <c r="B183" s="108" t="s">
        <v>420</v>
      </c>
      <c r="C183" s="109">
        <v>496.78899999999999</v>
      </c>
      <c r="D183" s="109">
        <v>73.95</v>
      </c>
      <c r="E183" s="109">
        <f t="shared" si="10"/>
        <v>36737.546549999999</v>
      </c>
      <c r="F183" s="110">
        <f t="shared" si="11"/>
        <v>1.2986036957246053E-3</v>
      </c>
      <c r="G183" s="111">
        <v>1.7849898580121704E-2</v>
      </c>
      <c r="H183" s="110">
        <f t="shared" si="8"/>
        <v>2.3179944264455428E-5</v>
      </c>
      <c r="I183" s="111">
        <v>9.5000000000000001E-2</v>
      </c>
      <c r="J183" s="110">
        <f t="shared" si="9"/>
        <v>1.233673510938375E-4</v>
      </c>
      <c r="L183" s="112"/>
    </row>
    <row r="184" spans="1:12" x14ac:dyDescent="0.2">
      <c r="A184" s="99" t="s">
        <v>784</v>
      </c>
      <c r="B184" s="108" t="s">
        <v>785</v>
      </c>
      <c r="C184" s="109">
        <v>1091.1769999999999</v>
      </c>
      <c r="D184" s="109">
        <v>60.3</v>
      </c>
      <c r="E184" s="109">
        <f t="shared" si="10"/>
        <v>65797.973099999988</v>
      </c>
      <c r="F184" s="110">
        <f t="shared" si="11"/>
        <v>2.3258355296687104E-3</v>
      </c>
      <c r="G184" s="111">
        <v>7.6285240464344945E-3</v>
      </c>
      <c r="H184" s="110">
        <f t="shared" si="8"/>
        <v>1.7742692266129468E-5</v>
      </c>
      <c r="I184" s="111">
        <v>0.13</v>
      </c>
      <c r="J184" s="110">
        <f t="shared" si="9"/>
        <v>3.0235861885693235E-4</v>
      </c>
      <c r="L184" s="112"/>
    </row>
    <row r="185" spans="1:12" x14ac:dyDescent="0.2">
      <c r="A185" s="99" t="s">
        <v>776</v>
      </c>
      <c r="B185" s="108" t="s">
        <v>777</v>
      </c>
      <c r="C185" s="109">
        <v>167.203</v>
      </c>
      <c r="D185" s="109">
        <v>257.01</v>
      </c>
      <c r="E185" s="109">
        <f t="shared" si="10"/>
        <v>42972.843029999996</v>
      </c>
      <c r="F185" s="110">
        <f t="shared" si="11"/>
        <v>1.5190097874010408E-3</v>
      </c>
      <c r="G185" s="111">
        <v>1.3695965137543287E-2</v>
      </c>
      <c r="H185" s="110">
        <f t="shared" si="8"/>
        <v>2.0804305091831694E-5</v>
      </c>
      <c r="I185" s="111">
        <v>0.105</v>
      </c>
      <c r="J185" s="110">
        <f t="shared" si="9"/>
        <v>1.5949602767710929E-4</v>
      </c>
      <c r="L185" s="112"/>
    </row>
    <row r="186" spans="1:12" x14ac:dyDescent="0.2">
      <c r="A186" s="99" t="s">
        <v>327</v>
      </c>
      <c r="B186" s="108" t="s">
        <v>328</v>
      </c>
      <c r="C186" s="109">
        <v>106.08199999999999</v>
      </c>
      <c r="D186" s="109">
        <v>122.88</v>
      </c>
      <c r="E186" s="109">
        <f t="shared" si="10"/>
        <v>13035.356159999999</v>
      </c>
      <c r="F186" s="110">
        <f t="shared" si="11"/>
        <v>4.6077550827798808E-4</v>
      </c>
      <c r="G186" s="111">
        <v>1.6276041666666668E-2</v>
      </c>
      <c r="H186" s="110">
        <f t="shared" si="8"/>
        <v>7.4996013717120457E-6</v>
      </c>
      <c r="I186" s="111">
        <v>0.1</v>
      </c>
      <c r="J186" s="110">
        <f t="shared" si="9"/>
        <v>4.6077550827798812E-5</v>
      </c>
      <c r="L186" s="112"/>
    </row>
    <row r="187" spans="1:12" x14ac:dyDescent="0.2">
      <c r="A187" s="99" t="s">
        <v>685</v>
      </c>
      <c r="B187" s="108" t="s">
        <v>686</v>
      </c>
      <c r="C187" s="109">
        <v>88.6</v>
      </c>
      <c r="D187" s="109">
        <v>252.12</v>
      </c>
      <c r="E187" s="109">
        <f t="shared" si="10"/>
        <v>22337.831999999999</v>
      </c>
      <c r="F187" s="110">
        <f t="shared" si="11"/>
        <v>7.8960066509055837E-4</v>
      </c>
      <c r="G187" s="111">
        <v>1.142313184198001E-2</v>
      </c>
      <c r="H187" s="110">
        <f t="shared" si="8"/>
        <v>9.0197124998445511E-6</v>
      </c>
      <c r="I187" s="111">
        <v>1.4999999999999999E-2</v>
      </c>
      <c r="J187" s="110">
        <f t="shared" si="9"/>
        <v>1.1844009976358375E-5</v>
      </c>
      <c r="L187" s="112"/>
    </row>
    <row r="188" spans="1:12" x14ac:dyDescent="0.2">
      <c r="A188" s="99" t="s">
        <v>793</v>
      </c>
      <c r="B188" s="108" t="s">
        <v>794</v>
      </c>
      <c r="C188" s="109">
        <v>793.73900000000003</v>
      </c>
      <c r="D188" s="109">
        <v>52.93</v>
      </c>
      <c r="E188" s="109">
        <f t="shared" si="10"/>
        <v>42012.60527</v>
      </c>
      <c r="F188" s="110">
        <f t="shared" si="11"/>
        <v>1.4850671749782657E-3</v>
      </c>
      <c r="G188" s="111">
        <v>4.15643302474967E-2</v>
      </c>
      <c r="H188" s="110">
        <f t="shared" si="8"/>
        <v>6.1725822500513603E-5</v>
      </c>
      <c r="I188" s="111">
        <v>9.5000000000000001E-2</v>
      </c>
      <c r="J188" s="110">
        <f t="shared" si="9"/>
        <v>1.4108138162293525E-4</v>
      </c>
      <c r="L188" s="112"/>
    </row>
    <row r="189" spans="1:12" x14ac:dyDescent="0.2">
      <c r="A189" s="99" t="s">
        <v>798</v>
      </c>
      <c r="B189" s="108" t="s">
        <v>799</v>
      </c>
      <c r="C189" s="109">
        <v>1245.6659999999999</v>
      </c>
      <c r="D189" s="109">
        <v>127.33</v>
      </c>
      <c r="E189" s="109">
        <f t="shared" si="10"/>
        <v>158610.65177999999</v>
      </c>
      <c r="F189" s="110" t="str">
        <f t="shared" si="11"/>
        <v/>
      </c>
      <c r="G189" s="111">
        <v>1.0680907877169561E-2</v>
      </c>
      <c r="H189" s="110" t="str">
        <f t="shared" si="8"/>
        <v/>
      </c>
      <c r="I189" s="111">
        <v>0.24</v>
      </c>
      <c r="J189" s="110" t="str">
        <f t="shared" si="9"/>
        <v/>
      </c>
      <c r="L189" s="112"/>
    </row>
    <row r="190" spans="1:12" x14ac:dyDescent="0.2">
      <c r="A190" s="99" t="s">
        <v>797</v>
      </c>
      <c r="B190" s="108" t="s">
        <v>73</v>
      </c>
      <c r="C190" s="109">
        <v>406.13400000000001</v>
      </c>
      <c r="D190" s="109">
        <v>27.75</v>
      </c>
      <c r="E190" s="109">
        <f t="shared" si="10"/>
        <v>11270.218500000001</v>
      </c>
      <c r="F190" s="110">
        <f t="shared" si="11"/>
        <v>3.9838118682761681E-4</v>
      </c>
      <c r="G190" s="111">
        <v>3.6036036036036036E-2</v>
      </c>
      <c r="H190" s="110">
        <f t="shared" si="8"/>
        <v>1.4356078804598803E-5</v>
      </c>
      <c r="I190" s="111">
        <v>9.5000000000000001E-2</v>
      </c>
      <c r="J190" s="110">
        <f t="shared" si="9"/>
        <v>3.7846212748623599E-5</v>
      </c>
      <c r="L190" s="112"/>
    </row>
    <row r="191" spans="1:12" x14ac:dyDescent="0.2">
      <c r="A191" s="99" t="s">
        <v>806</v>
      </c>
      <c r="B191" s="108" t="s">
        <v>807</v>
      </c>
      <c r="C191" s="109">
        <v>228.07599999999999</v>
      </c>
      <c r="D191" s="109">
        <v>245.81</v>
      </c>
      <c r="E191" s="109">
        <f t="shared" si="10"/>
        <v>56063.361559999998</v>
      </c>
      <c r="F191" s="110">
        <f t="shared" si="11"/>
        <v>1.9817351824916781E-3</v>
      </c>
      <c r="G191" s="111">
        <v>2.196818681095155E-2</v>
      </c>
      <c r="H191" s="110">
        <f t="shared" si="8"/>
        <v>4.3535128698812345E-5</v>
      </c>
      <c r="I191" s="111">
        <v>0.1</v>
      </c>
      <c r="J191" s="110">
        <f t="shared" si="9"/>
        <v>1.9817351824916781E-4</v>
      </c>
      <c r="L191" s="112"/>
    </row>
    <row r="192" spans="1:12" x14ac:dyDescent="0.2">
      <c r="A192" s="99" t="s">
        <v>858</v>
      </c>
      <c r="B192" s="108" t="s">
        <v>859</v>
      </c>
      <c r="C192" s="109">
        <v>244.68299999999999</v>
      </c>
      <c r="D192" s="109">
        <v>92.55</v>
      </c>
      <c r="E192" s="109">
        <f t="shared" si="10"/>
        <v>22645.411649999998</v>
      </c>
      <c r="F192" s="110">
        <f t="shared" si="11"/>
        <v>8.0047303158558441E-4</v>
      </c>
      <c r="G192" s="111">
        <v>2.7660723933009185E-2</v>
      </c>
      <c r="H192" s="110">
        <f t="shared" si="8"/>
        <v>2.2141663542507791E-5</v>
      </c>
      <c r="I192" s="111">
        <v>6.5000000000000002E-2</v>
      </c>
      <c r="J192" s="110">
        <f t="shared" si="9"/>
        <v>5.2030747053062987E-5</v>
      </c>
      <c r="L192" s="112"/>
    </row>
    <row r="193" spans="1:12" x14ac:dyDescent="0.2">
      <c r="A193" s="99" t="s">
        <v>67</v>
      </c>
      <c r="B193" s="108" t="s">
        <v>68</v>
      </c>
      <c r="C193" s="109">
        <v>348.30700000000002</v>
      </c>
      <c r="D193" s="109">
        <v>82.33</v>
      </c>
      <c r="E193" s="109">
        <f t="shared" si="10"/>
        <v>28676.115310000001</v>
      </c>
      <c r="F193" s="110">
        <f t="shared" si="11"/>
        <v>1.0136471489708377E-3</v>
      </c>
      <c r="G193" s="111">
        <v>3.0972913883153163E-2</v>
      </c>
      <c r="H193" s="110">
        <f t="shared" si="8"/>
        <v>3.139560585297748E-5</v>
      </c>
      <c r="I193" s="111">
        <v>6.5000000000000002E-2</v>
      </c>
      <c r="J193" s="110">
        <f t="shared" si="9"/>
        <v>6.5887064683104455E-5</v>
      </c>
      <c r="L193" s="112"/>
    </row>
    <row r="194" spans="1:12" x14ac:dyDescent="0.2">
      <c r="A194" s="99" t="s">
        <v>800</v>
      </c>
      <c r="B194" s="108" t="s">
        <v>801</v>
      </c>
      <c r="C194" s="109">
        <v>153.053</v>
      </c>
      <c r="D194" s="109">
        <v>448.04</v>
      </c>
      <c r="E194" s="109">
        <f t="shared" si="10"/>
        <v>68573.866120000006</v>
      </c>
      <c r="F194" s="110">
        <f t="shared" si="11"/>
        <v>2.4239581664049991E-3</v>
      </c>
      <c r="G194" s="111">
        <v>1.5445049549147397E-2</v>
      </c>
      <c r="H194" s="110">
        <f t="shared" si="8"/>
        <v>3.7438153985185683E-5</v>
      </c>
      <c r="I194" s="111">
        <v>6.5000000000000002E-2</v>
      </c>
      <c r="J194" s="110">
        <f t="shared" si="9"/>
        <v>1.5755728081632496E-4</v>
      </c>
      <c r="L194" s="112"/>
    </row>
    <row r="195" spans="1:12" x14ac:dyDescent="0.2">
      <c r="A195" s="99" t="s">
        <v>1085</v>
      </c>
      <c r="B195" s="108" t="s">
        <v>1086</v>
      </c>
      <c r="C195" s="109">
        <v>3833.8</v>
      </c>
      <c r="D195" s="109">
        <v>46.87</v>
      </c>
      <c r="E195" s="109">
        <f t="shared" si="10"/>
        <v>179690.20600000001</v>
      </c>
      <c r="F195" s="110">
        <f t="shared" si="11"/>
        <v>6.3517133698498341E-3</v>
      </c>
      <c r="G195" s="111">
        <v>2.5602730957968851E-2</v>
      </c>
      <c r="H195" s="110">
        <f t="shared" si="8"/>
        <v>1.62621208530399E-4</v>
      </c>
      <c r="I195" s="111">
        <v>0.12</v>
      </c>
      <c r="J195" s="110">
        <f t="shared" si="9"/>
        <v>7.6220560438198008E-4</v>
      </c>
      <c r="L195" s="112"/>
    </row>
    <row r="196" spans="1:12" x14ac:dyDescent="0.2">
      <c r="A196" s="99" t="s">
        <v>812</v>
      </c>
      <c r="B196" s="108" t="s">
        <v>813</v>
      </c>
      <c r="C196" s="109">
        <v>256.54399999999998</v>
      </c>
      <c r="D196" s="109">
        <v>169.02</v>
      </c>
      <c r="E196" s="109">
        <f t="shared" si="10"/>
        <v>43361.066879999998</v>
      </c>
      <c r="F196" s="110">
        <f t="shared" si="11"/>
        <v>1.5327327758344761E-3</v>
      </c>
      <c r="G196" s="111">
        <v>1.2069577564785232E-2</v>
      </c>
      <c r="H196" s="110">
        <f t="shared" si="8"/>
        <v>1.8499437124022783E-5</v>
      </c>
      <c r="I196" s="111">
        <v>2.5000000000000001E-2</v>
      </c>
      <c r="J196" s="110">
        <f t="shared" si="9"/>
        <v>3.8318319395861906E-5</v>
      </c>
      <c r="L196" s="112"/>
    </row>
    <row r="197" spans="1:12" x14ac:dyDescent="0.2">
      <c r="A197" s="99" t="s">
        <v>841</v>
      </c>
      <c r="B197" s="108" t="s">
        <v>842</v>
      </c>
      <c r="C197" s="109">
        <v>908.91399999999999</v>
      </c>
      <c r="D197" s="109">
        <v>64.790000000000006</v>
      </c>
      <c r="E197" s="109">
        <f t="shared" si="10"/>
        <v>58888.538060000006</v>
      </c>
      <c r="F197" s="110" t="str">
        <f t="shared" si="11"/>
        <v/>
      </c>
      <c r="G197" s="111">
        <v>8.0259299274579414E-3</v>
      </c>
      <c r="H197" s="110" t="str">
        <f t="shared" si="8"/>
        <v/>
      </c>
      <c r="I197" s="111" t="s">
        <v>175</v>
      </c>
      <c r="J197" s="110" t="str">
        <f t="shared" si="9"/>
        <v/>
      </c>
      <c r="L197" s="112"/>
    </row>
    <row r="198" spans="1:12" x14ac:dyDescent="0.2">
      <c r="A198" s="99" t="s">
        <v>833</v>
      </c>
      <c r="B198" s="108" t="s">
        <v>834</v>
      </c>
      <c r="C198" s="109">
        <v>203.916</v>
      </c>
      <c r="D198" s="109">
        <v>85.99</v>
      </c>
      <c r="E198" s="109">
        <f t="shared" si="10"/>
        <v>17534.736839999998</v>
      </c>
      <c r="F198" s="110">
        <f t="shared" si="11"/>
        <v>6.1982021670912003E-4</v>
      </c>
      <c r="G198" s="111">
        <v>3.25619258053262E-2</v>
      </c>
      <c r="H198" s="110">
        <f t="shared" si="8"/>
        <v>2.0182539909123575E-5</v>
      </c>
      <c r="I198" s="111">
        <v>6.5000000000000002E-2</v>
      </c>
      <c r="J198" s="110">
        <f t="shared" si="9"/>
        <v>4.0288314086092805E-5</v>
      </c>
      <c r="L198" s="112"/>
    </row>
    <row r="199" spans="1:12" x14ac:dyDescent="0.2">
      <c r="A199" s="99" t="s">
        <v>831</v>
      </c>
      <c r="B199" s="108" t="s">
        <v>832</v>
      </c>
      <c r="C199" s="109">
        <v>446.95400000000001</v>
      </c>
      <c r="D199" s="109">
        <v>68.48</v>
      </c>
      <c r="E199" s="109">
        <f t="shared" si="10"/>
        <v>30607.409920000002</v>
      </c>
      <c r="F199" s="110">
        <f t="shared" si="11"/>
        <v>1.0819148084528238E-3</v>
      </c>
      <c r="G199" s="111">
        <v>5.5782710280373828E-2</v>
      </c>
      <c r="H199" s="110">
        <f t="shared" si="8"/>
        <v>6.0352140307970016E-5</v>
      </c>
      <c r="I199" s="111">
        <v>0.115</v>
      </c>
      <c r="J199" s="110">
        <f t="shared" si="9"/>
        <v>1.2442020297207475E-4</v>
      </c>
      <c r="L199" s="112"/>
    </row>
    <row r="200" spans="1:12" x14ac:dyDescent="0.2">
      <c r="A200" s="99" t="s">
        <v>918</v>
      </c>
      <c r="B200" s="108" t="s">
        <v>919</v>
      </c>
      <c r="C200" s="109">
        <v>215</v>
      </c>
      <c r="D200" s="109">
        <v>112.77</v>
      </c>
      <c r="E200" s="109">
        <f t="shared" si="10"/>
        <v>24245.55</v>
      </c>
      <c r="F200" s="110">
        <f t="shared" si="11"/>
        <v>8.5703493541747417E-4</v>
      </c>
      <c r="G200" s="111">
        <v>1.4897579143389199E-2</v>
      </c>
      <c r="H200" s="110">
        <f t="shared" si="8"/>
        <v>1.2767745779031273E-5</v>
      </c>
      <c r="I200" s="111">
        <v>0.15</v>
      </c>
      <c r="J200" s="110">
        <f t="shared" si="9"/>
        <v>1.2855524031262113E-4</v>
      </c>
      <c r="L200" s="112"/>
    </row>
    <row r="201" spans="1:12" x14ac:dyDescent="0.2">
      <c r="A201" s="99" t="s">
        <v>1295</v>
      </c>
      <c r="B201" s="108" t="s">
        <v>1296</v>
      </c>
      <c r="C201" s="109">
        <v>1987.7</v>
      </c>
      <c r="D201" s="109">
        <v>15.9</v>
      </c>
      <c r="E201" s="109">
        <f t="shared" si="10"/>
        <v>31604.43</v>
      </c>
      <c r="F201" s="110">
        <f t="shared" si="11"/>
        <v>1.1171576072292065E-3</v>
      </c>
      <c r="G201" s="111" t="s">
        <v>175</v>
      </c>
      <c r="H201" s="110" t="str">
        <f t="shared" si="8"/>
        <v/>
      </c>
      <c r="I201" s="111">
        <v>7.4999999999999997E-2</v>
      </c>
      <c r="J201" s="110">
        <f t="shared" si="9"/>
        <v>8.3786820542190482E-5</v>
      </c>
      <c r="L201" s="112"/>
    </row>
    <row r="202" spans="1:12" x14ac:dyDescent="0.2">
      <c r="A202" s="99" t="s">
        <v>864</v>
      </c>
      <c r="B202" s="108" t="s">
        <v>865</v>
      </c>
      <c r="C202" s="109">
        <v>128.40600000000001</v>
      </c>
      <c r="D202" s="109">
        <v>326</v>
      </c>
      <c r="E202" s="109">
        <f t="shared" si="10"/>
        <v>41860.356</v>
      </c>
      <c r="F202" s="110">
        <f t="shared" si="11"/>
        <v>1.479685447474381E-3</v>
      </c>
      <c r="G202" s="111">
        <v>1.6319018404907976E-2</v>
      </c>
      <c r="H202" s="110">
        <f t="shared" si="8"/>
        <v>2.4147014050808918E-5</v>
      </c>
      <c r="I202" s="111">
        <v>0.155</v>
      </c>
      <c r="J202" s="110">
        <f t="shared" si="9"/>
        <v>2.2935124435852905E-4</v>
      </c>
      <c r="L202" s="112"/>
    </row>
    <row r="203" spans="1:12" x14ac:dyDescent="0.2">
      <c r="A203" s="99" t="s">
        <v>926</v>
      </c>
      <c r="B203" s="108" t="s">
        <v>927</v>
      </c>
      <c r="C203" s="109">
        <v>492.47199999999998</v>
      </c>
      <c r="D203" s="109">
        <v>36.4</v>
      </c>
      <c r="E203" s="109">
        <f t="shared" si="10"/>
        <v>17925.980799999998</v>
      </c>
      <c r="F203" s="110">
        <f t="shared" si="11"/>
        <v>6.3364996039367563E-4</v>
      </c>
      <c r="G203" s="111">
        <v>1.4285714285714287E-2</v>
      </c>
      <c r="H203" s="110">
        <f t="shared" si="8"/>
        <v>9.0521422913382248E-6</v>
      </c>
      <c r="I203" s="111">
        <v>0.105</v>
      </c>
      <c r="J203" s="110">
        <f t="shared" si="9"/>
        <v>6.6533245841335944E-5</v>
      </c>
      <c r="L203" s="112"/>
    </row>
    <row r="204" spans="1:12" x14ac:dyDescent="0.2">
      <c r="A204" s="99" t="s">
        <v>886</v>
      </c>
      <c r="B204" s="108" t="s">
        <v>887</v>
      </c>
      <c r="C204" s="109">
        <v>736.31799999999998</v>
      </c>
      <c r="D204" s="109">
        <v>29.6</v>
      </c>
      <c r="E204" s="109">
        <f t="shared" si="10"/>
        <v>21795.0128</v>
      </c>
      <c r="F204" s="110">
        <f t="shared" si="11"/>
        <v>7.7041301960446449E-4</v>
      </c>
      <c r="G204" s="111">
        <v>3.0405405405405404E-2</v>
      </c>
      <c r="H204" s="110">
        <f t="shared" si="8"/>
        <v>2.3424720190676282E-5</v>
      </c>
      <c r="I204" s="111">
        <v>0.03</v>
      </c>
      <c r="J204" s="110">
        <f t="shared" si="9"/>
        <v>2.3112390588133934E-5</v>
      </c>
      <c r="L204" s="112"/>
    </row>
    <row r="205" spans="1:12" x14ac:dyDescent="0.2">
      <c r="A205" s="99" t="s">
        <v>381</v>
      </c>
      <c r="B205" s="108" t="s">
        <v>382</v>
      </c>
      <c r="C205" s="109">
        <v>1246.0709999999999</v>
      </c>
      <c r="D205" s="109">
        <v>121.87</v>
      </c>
      <c r="E205" s="109">
        <f t="shared" si="10"/>
        <v>151858.67277</v>
      </c>
      <c r="F205" s="110">
        <f t="shared" si="11"/>
        <v>5.3679206208982807E-3</v>
      </c>
      <c r="G205" s="111">
        <v>5.7438253877082129E-3</v>
      </c>
      <c r="H205" s="110">
        <f t="shared" si="8"/>
        <v>3.0832398741517979E-5</v>
      </c>
      <c r="I205" s="111">
        <v>0.2</v>
      </c>
      <c r="J205" s="110">
        <f t="shared" si="9"/>
        <v>1.0735841241796562E-3</v>
      </c>
      <c r="L205" s="112"/>
    </row>
    <row r="206" spans="1:12" x14ac:dyDescent="0.2">
      <c r="A206" s="99" t="s">
        <v>866</v>
      </c>
      <c r="B206" s="108" t="s">
        <v>867</v>
      </c>
      <c r="C206" s="109">
        <v>227.82</v>
      </c>
      <c r="D206" s="109">
        <v>56.89</v>
      </c>
      <c r="E206" s="109">
        <f t="shared" si="10"/>
        <v>12960.6798</v>
      </c>
      <c r="F206" s="110">
        <f t="shared" si="11"/>
        <v>4.5813583834392551E-4</v>
      </c>
      <c r="G206" s="111">
        <v>1.124978027772895E-2</v>
      </c>
      <c r="H206" s="110">
        <f t="shared" si="8"/>
        <v>5.1539275187223116E-6</v>
      </c>
      <c r="I206" s="111">
        <v>7.0000000000000007E-2</v>
      </c>
      <c r="J206" s="110">
        <f t="shared" si="9"/>
        <v>3.206950868407479E-5</v>
      </c>
      <c r="L206" s="112"/>
    </row>
    <row r="207" spans="1:12" x14ac:dyDescent="0.2">
      <c r="A207" s="99" t="s">
        <v>880</v>
      </c>
      <c r="B207" s="108" t="s">
        <v>881</v>
      </c>
      <c r="C207" s="109">
        <v>113.14</v>
      </c>
      <c r="D207" s="109">
        <v>74.55</v>
      </c>
      <c r="E207" s="109">
        <f t="shared" si="10"/>
        <v>8434.5869999999995</v>
      </c>
      <c r="F207" s="110">
        <f t="shared" si="11"/>
        <v>2.9814690633201009E-4</v>
      </c>
      <c r="G207" s="111">
        <v>4.6411804158283033E-2</v>
      </c>
      <c r="H207" s="110">
        <f t="shared" si="8"/>
        <v>1.3837535827079207E-5</v>
      </c>
      <c r="I207" s="111">
        <v>5.0000000000000001E-3</v>
      </c>
      <c r="J207" s="110">
        <f t="shared" si="9"/>
        <v>1.4907345316600504E-6</v>
      </c>
      <c r="L207" s="112"/>
    </row>
    <row r="208" spans="1:12" x14ac:dyDescent="0.2">
      <c r="A208" s="99" t="s">
        <v>876</v>
      </c>
      <c r="B208" s="108" t="s">
        <v>877</v>
      </c>
      <c r="C208" s="109">
        <v>401</v>
      </c>
      <c r="D208" s="109">
        <v>165.43</v>
      </c>
      <c r="E208" s="109">
        <f t="shared" si="10"/>
        <v>66337.430000000008</v>
      </c>
      <c r="F208" s="110">
        <f t="shared" si="11"/>
        <v>2.3449043241259211E-3</v>
      </c>
      <c r="G208" s="111">
        <v>3.6269116847004776E-2</v>
      </c>
      <c r="H208" s="110">
        <f t="shared" si="8"/>
        <v>8.5047608926769794E-5</v>
      </c>
      <c r="I208" s="111">
        <v>0.12</v>
      </c>
      <c r="J208" s="110">
        <f t="shared" si="9"/>
        <v>2.8138851889511051E-4</v>
      </c>
      <c r="L208" s="112"/>
    </row>
    <row r="209" spans="1:12" x14ac:dyDescent="0.2">
      <c r="A209" s="99" t="s">
        <v>884</v>
      </c>
      <c r="B209" s="108" t="s">
        <v>885</v>
      </c>
      <c r="C209" s="109">
        <v>235.02699999999999</v>
      </c>
      <c r="D209" s="109">
        <v>130.34</v>
      </c>
      <c r="E209" s="109">
        <f t="shared" si="10"/>
        <v>30633.419180000001</v>
      </c>
      <c r="F209" s="110">
        <f t="shared" si="11"/>
        <v>1.0828341872445755E-3</v>
      </c>
      <c r="G209" s="111">
        <v>1.902715973607488E-2</v>
      </c>
      <c r="H209" s="110">
        <f t="shared" si="8"/>
        <v>2.0603259048385355E-5</v>
      </c>
      <c r="I209" s="111">
        <v>0.04</v>
      </c>
      <c r="J209" s="110">
        <f t="shared" si="9"/>
        <v>4.331336748978302E-5</v>
      </c>
      <c r="L209" s="112"/>
    </row>
    <row r="210" spans="1:12" x14ac:dyDescent="0.2">
      <c r="A210" s="99" t="s">
        <v>862</v>
      </c>
      <c r="B210" s="108" t="s">
        <v>863</v>
      </c>
      <c r="C210" s="109">
        <v>584.9</v>
      </c>
      <c r="D210" s="109">
        <v>136.35</v>
      </c>
      <c r="E210" s="109">
        <f t="shared" si="10"/>
        <v>79751.114999999991</v>
      </c>
      <c r="F210" s="110">
        <f t="shared" si="11"/>
        <v>2.8190530507040076E-3</v>
      </c>
      <c r="G210" s="111">
        <v>2.933626696002934E-3</v>
      </c>
      <c r="H210" s="110">
        <f t="shared" si="8"/>
        <v>8.2700492869937897E-6</v>
      </c>
      <c r="I210" s="111">
        <v>6.5000000000000002E-2</v>
      </c>
      <c r="J210" s="110">
        <f t="shared" si="9"/>
        <v>1.832384482957605E-4</v>
      </c>
      <c r="L210" s="112"/>
    </row>
    <row r="211" spans="1:12" x14ac:dyDescent="0.2">
      <c r="A211" s="99" t="s">
        <v>853</v>
      </c>
      <c r="B211" s="108" t="s">
        <v>82</v>
      </c>
      <c r="C211" s="109">
        <v>498.95</v>
      </c>
      <c r="D211" s="109">
        <v>61.93</v>
      </c>
      <c r="E211" s="109">
        <f t="shared" si="10"/>
        <v>30899.9735</v>
      </c>
      <c r="F211" s="110">
        <f t="shared" si="11"/>
        <v>1.092256384902556E-3</v>
      </c>
      <c r="G211" s="111">
        <v>3.4878088164056194E-2</v>
      </c>
      <c r="H211" s="110">
        <f t="shared" ref="H211:H274" si="12">IFERROR($G211*$F211,"")</f>
        <v>3.8095814490384643E-5</v>
      </c>
      <c r="I211" s="111">
        <v>4.4999999999999998E-2</v>
      </c>
      <c r="J211" s="110">
        <f t="shared" ref="J211:J274" si="13">IFERROR($I211*$F211,"")</f>
        <v>4.9151537320615021E-5</v>
      </c>
      <c r="L211" s="112"/>
    </row>
    <row r="212" spans="1:12" x14ac:dyDescent="0.2">
      <c r="A212" s="99" t="s">
        <v>916</v>
      </c>
      <c r="B212" s="108" t="s">
        <v>917</v>
      </c>
      <c r="C212" s="109">
        <v>108.499</v>
      </c>
      <c r="D212" s="109">
        <v>83.96</v>
      </c>
      <c r="E212" s="109">
        <f t="shared" ref="E212:E275" si="14">IFERROR(C212*D212,"")</f>
        <v>9109.5760399999981</v>
      </c>
      <c r="F212" s="110">
        <f t="shared" ref="F212:F275" si="15">IF(AND(ISNUMBER($I212)), IF(AND($I212&lt;=20%,$I212&gt;0%), $E212/SUMIFS($E$19:$E$521,$I$19:$I$521, "&gt;"&amp;0%,$I$19:$I$521, "&lt;="&amp;20%),""),"")</f>
        <v>3.2200650895203319E-4</v>
      </c>
      <c r="G212" s="111">
        <v>2.048594568842306E-2</v>
      </c>
      <c r="H212" s="110">
        <f t="shared" si="12"/>
        <v>6.5966078537100661E-6</v>
      </c>
      <c r="I212" s="111">
        <v>0.105</v>
      </c>
      <c r="J212" s="110">
        <f t="shared" si="13"/>
        <v>3.3810683439963487E-5</v>
      </c>
      <c r="L212" s="112"/>
    </row>
    <row r="213" spans="1:12" x14ac:dyDescent="0.2">
      <c r="A213" s="99" t="s">
        <v>62</v>
      </c>
      <c r="B213" s="108" t="s">
        <v>63</v>
      </c>
      <c r="C213" s="109">
        <v>381.875</v>
      </c>
      <c r="D213" s="109">
        <v>68.900000000000006</v>
      </c>
      <c r="E213" s="109">
        <f t="shared" si="14"/>
        <v>26311.187500000004</v>
      </c>
      <c r="F213" s="110">
        <f t="shared" si="15"/>
        <v>9.3005136529464413E-4</v>
      </c>
      <c r="G213" s="111">
        <v>4.2815674891146585E-2</v>
      </c>
      <c r="H213" s="110">
        <f t="shared" si="12"/>
        <v>3.9820776888522496E-5</v>
      </c>
      <c r="I213" s="111">
        <v>0.16</v>
      </c>
      <c r="J213" s="110">
        <f t="shared" si="13"/>
        <v>1.4880821844714305E-4</v>
      </c>
      <c r="L213" s="112"/>
    </row>
    <row r="214" spans="1:12" x14ac:dyDescent="0.2">
      <c r="A214" s="99" t="s">
        <v>1297</v>
      </c>
      <c r="B214" s="108" t="s">
        <v>954</v>
      </c>
      <c r="C214" s="109">
        <v>1420.1880000000001</v>
      </c>
      <c r="D214" s="109">
        <v>56.98</v>
      </c>
      <c r="E214" s="109">
        <f t="shared" si="14"/>
        <v>80922.312239999999</v>
      </c>
      <c r="F214" s="110" t="str">
        <f t="shared" si="15"/>
        <v/>
      </c>
      <c r="G214" s="111">
        <v>1.755001755001755E-2</v>
      </c>
      <c r="H214" s="110" t="str">
        <f t="shared" si="12"/>
        <v/>
      </c>
      <c r="I214" s="111">
        <v>0.28499999999999998</v>
      </c>
      <c r="J214" s="110" t="str">
        <f t="shared" si="13"/>
        <v/>
      </c>
      <c r="L214" s="112"/>
    </row>
    <row r="215" spans="1:12" x14ac:dyDescent="0.2">
      <c r="A215" s="99" t="s">
        <v>942</v>
      </c>
      <c r="B215" s="108" t="s">
        <v>943</v>
      </c>
      <c r="C215" s="109">
        <v>1815.846</v>
      </c>
      <c r="D215" s="109">
        <v>77.42</v>
      </c>
      <c r="E215" s="109">
        <f t="shared" si="14"/>
        <v>140582.79732000001</v>
      </c>
      <c r="F215" s="110">
        <f t="shared" si="15"/>
        <v>4.9693394714475057E-3</v>
      </c>
      <c r="G215" s="111">
        <v>1.2916559028674762E-2</v>
      </c>
      <c r="H215" s="110">
        <f t="shared" si="12"/>
        <v>6.4186766616475147E-5</v>
      </c>
      <c r="I215" s="111">
        <v>0.09</v>
      </c>
      <c r="J215" s="110">
        <f t="shared" si="13"/>
        <v>4.4724055243027552E-4</v>
      </c>
      <c r="L215" s="112"/>
    </row>
    <row r="216" spans="1:12" x14ac:dyDescent="0.2">
      <c r="A216" s="99" t="s">
        <v>948</v>
      </c>
      <c r="B216" s="108" t="s">
        <v>949</v>
      </c>
      <c r="C216" s="109">
        <v>259.14299999999997</v>
      </c>
      <c r="D216" s="109">
        <v>236.59</v>
      </c>
      <c r="E216" s="109">
        <f t="shared" si="14"/>
        <v>61310.642369999994</v>
      </c>
      <c r="F216" s="110">
        <f t="shared" si="15"/>
        <v>2.1672167644774735E-3</v>
      </c>
      <c r="G216" s="111">
        <v>1.0144131197430153E-2</v>
      </c>
      <c r="H216" s="110">
        <f t="shared" si="12"/>
        <v>2.1984531192129574E-5</v>
      </c>
      <c r="I216" s="111">
        <v>0.115</v>
      </c>
      <c r="J216" s="110">
        <f t="shared" si="13"/>
        <v>2.4922992791490947E-4</v>
      </c>
      <c r="L216" s="112"/>
    </row>
    <row r="217" spans="1:12" x14ac:dyDescent="0.2">
      <c r="A217" s="99" t="s">
        <v>1099</v>
      </c>
      <c r="B217" s="108" t="s">
        <v>1100</v>
      </c>
      <c r="C217" s="109">
        <v>74.033000000000001</v>
      </c>
      <c r="D217" s="109">
        <v>265.60000000000002</v>
      </c>
      <c r="E217" s="109">
        <f t="shared" si="14"/>
        <v>19663.164800000002</v>
      </c>
      <c r="F217" s="110">
        <f t="shared" si="15"/>
        <v>6.9505617214173955E-4</v>
      </c>
      <c r="G217" s="111">
        <v>2.86144578313253E-3</v>
      </c>
      <c r="H217" s="110">
        <f t="shared" si="12"/>
        <v>1.9888655528152185E-6</v>
      </c>
      <c r="I217" s="111">
        <v>0.17</v>
      </c>
      <c r="J217" s="110">
        <f t="shared" si="13"/>
        <v>1.1815954926409573E-4</v>
      </c>
      <c r="L217" s="112"/>
    </row>
    <row r="218" spans="1:12" x14ac:dyDescent="0.2">
      <c r="A218" s="99" t="s">
        <v>952</v>
      </c>
      <c r="B218" s="108" t="s">
        <v>953</v>
      </c>
      <c r="C218" s="109">
        <v>106.639</v>
      </c>
      <c r="D218" s="109">
        <v>152.80000000000001</v>
      </c>
      <c r="E218" s="109">
        <f t="shared" si="14"/>
        <v>16294.439200000001</v>
      </c>
      <c r="F218" s="110">
        <f t="shared" si="15"/>
        <v>5.7597801029203133E-4</v>
      </c>
      <c r="G218" s="111">
        <v>2.670157068062827E-2</v>
      </c>
      <c r="H218" s="110">
        <f t="shared" si="12"/>
        <v>1.5379517552300312E-5</v>
      </c>
      <c r="I218" s="111">
        <v>0.04</v>
      </c>
      <c r="J218" s="110">
        <f t="shared" si="13"/>
        <v>2.3039120411681254E-5</v>
      </c>
      <c r="L218" s="112"/>
    </row>
    <row r="219" spans="1:12" x14ac:dyDescent="0.2">
      <c r="A219" s="99" t="s">
        <v>955</v>
      </c>
      <c r="B219" s="108" t="s">
        <v>956</v>
      </c>
      <c r="C219" s="109">
        <v>53.155000000000001</v>
      </c>
      <c r="D219" s="109">
        <v>248.73</v>
      </c>
      <c r="E219" s="109">
        <f t="shared" si="14"/>
        <v>13221.24315</v>
      </c>
      <c r="F219" s="110">
        <f t="shared" si="15"/>
        <v>4.6734626639523432E-4</v>
      </c>
      <c r="G219" s="111">
        <v>2.6052345917259682E-2</v>
      </c>
      <c r="H219" s="110">
        <f t="shared" si="12"/>
        <v>1.2175466595268439E-5</v>
      </c>
      <c r="I219" s="111">
        <v>4.4999999999999998E-2</v>
      </c>
      <c r="J219" s="110">
        <f t="shared" si="13"/>
        <v>2.1030581987785543E-5</v>
      </c>
      <c r="L219" s="112"/>
    </row>
    <row r="220" spans="1:12" x14ac:dyDescent="0.2">
      <c r="A220" s="99" t="s">
        <v>228</v>
      </c>
      <c r="B220" s="108" t="s">
        <v>229</v>
      </c>
      <c r="C220" s="109">
        <v>229.654</v>
      </c>
      <c r="D220" s="109">
        <v>144.91999999999999</v>
      </c>
      <c r="E220" s="109">
        <f t="shared" si="14"/>
        <v>33281.45768</v>
      </c>
      <c r="F220" s="110">
        <f t="shared" si="15"/>
        <v>1.176437405353898E-3</v>
      </c>
      <c r="G220" s="111">
        <v>6.0723157604195424E-3</v>
      </c>
      <c r="H220" s="110">
        <f t="shared" si="12"/>
        <v>7.1436993976775486E-6</v>
      </c>
      <c r="I220" s="111">
        <v>0.1</v>
      </c>
      <c r="J220" s="110">
        <f t="shared" si="13"/>
        <v>1.176437405353898E-4</v>
      </c>
      <c r="L220" s="112"/>
    </row>
    <row r="221" spans="1:12" x14ac:dyDescent="0.2">
      <c r="A221" s="99" t="s">
        <v>959</v>
      </c>
      <c r="B221" s="108" t="s">
        <v>84</v>
      </c>
      <c r="C221" s="109">
        <v>1088.673</v>
      </c>
      <c r="D221" s="109">
        <v>67.680000000000007</v>
      </c>
      <c r="E221" s="109">
        <f t="shared" si="14"/>
        <v>73681.388640000005</v>
      </c>
      <c r="F221" s="110">
        <f t="shared" si="15"/>
        <v>2.6044995537140721E-3</v>
      </c>
      <c r="G221" s="111">
        <v>4.018912529550827E-2</v>
      </c>
      <c r="H221" s="110">
        <f t="shared" si="12"/>
        <v>1.0467255889631022E-4</v>
      </c>
      <c r="I221" s="111">
        <v>6.5000000000000002E-2</v>
      </c>
      <c r="J221" s="110">
        <f t="shared" si="13"/>
        <v>1.6929247099141468E-4</v>
      </c>
      <c r="L221" s="112"/>
    </row>
    <row r="222" spans="1:12" x14ac:dyDescent="0.2">
      <c r="A222" s="99" t="s">
        <v>998</v>
      </c>
      <c r="B222" s="108" t="s">
        <v>999</v>
      </c>
      <c r="C222" s="109">
        <v>1326.829</v>
      </c>
      <c r="D222" s="109">
        <v>49.39</v>
      </c>
      <c r="E222" s="109">
        <f t="shared" si="14"/>
        <v>65532.084309999998</v>
      </c>
      <c r="F222" s="110">
        <f t="shared" si="15"/>
        <v>2.3164368572539426E-3</v>
      </c>
      <c r="G222" s="111">
        <v>4.2113788216238103E-2</v>
      </c>
      <c r="H222" s="110">
        <f t="shared" si="12"/>
        <v>9.7553931222680706E-5</v>
      </c>
      <c r="I222" s="111">
        <v>5.5E-2</v>
      </c>
      <c r="J222" s="110">
        <f t="shared" si="13"/>
        <v>1.2740402714896685E-4</v>
      </c>
      <c r="L222" s="112"/>
    </row>
    <row r="223" spans="1:12" x14ac:dyDescent="0.2">
      <c r="A223" s="99" t="s">
        <v>706</v>
      </c>
      <c r="B223" s="108" t="s">
        <v>707</v>
      </c>
      <c r="C223" s="109">
        <v>593.75199999999995</v>
      </c>
      <c r="D223" s="109">
        <v>35.770000000000003</v>
      </c>
      <c r="E223" s="109">
        <f t="shared" si="14"/>
        <v>21238.509040000001</v>
      </c>
      <c r="F223" s="110" t="str">
        <f t="shared" si="15"/>
        <v/>
      </c>
      <c r="G223" s="111">
        <v>2.0128599384959461E-2</v>
      </c>
      <c r="H223" s="110" t="str">
        <f t="shared" si="12"/>
        <v/>
      </c>
      <c r="I223" s="111" t="s">
        <v>175</v>
      </c>
      <c r="J223" s="110" t="str">
        <f t="shared" si="13"/>
        <v/>
      </c>
      <c r="L223" s="112"/>
    </row>
    <row r="224" spans="1:12" x14ac:dyDescent="0.2">
      <c r="A224" s="99" t="s">
        <v>1095</v>
      </c>
      <c r="B224" s="108" t="s">
        <v>1096</v>
      </c>
      <c r="C224" s="109">
        <v>264.54599999999999</v>
      </c>
      <c r="D224" s="109">
        <v>70.14</v>
      </c>
      <c r="E224" s="109">
        <f t="shared" si="14"/>
        <v>18555.256440000001</v>
      </c>
      <c r="F224" s="110">
        <f t="shared" si="15"/>
        <v>6.5589367965297025E-4</v>
      </c>
      <c r="G224" s="111">
        <v>5.7028799543769604E-3</v>
      </c>
      <c r="H224" s="110">
        <f t="shared" si="12"/>
        <v>3.7404829178954678E-6</v>
      </c>
      <c r="I224" s="111">
        <v>0.155</v>
      </c>
      <c r="J224" s="110">
        <f t="shared" si="13"/>
        <v>1.0166352034621039E-4</v>
      </c>
      <c r="L224" s="112"/>
    </row>
    <row r="225" spans="1:12" x14ac:dyDescent="0.2">
      <c r="A225" s="99" t="s">
        <v>974</v>
      </c>
      <c r="B225" s="108" t="s">
        <v>975</v>
      </c>
      <c r="C225" s="109">
        <v>147.94200000000001</v>
      </c>
      <c r="D225" s="109">
        <v>89.31</v>
      </c>
      <c r="E225" s="109">
        <f t="shared" si="14"/>
        <v>13212.70002</v>
      </c>
      <c r="F225" s="110">
        <f t="shared" si="15"/>
        <v>4.6704428269646022E-4</v>
      </c>
      <c r="G225" s="111">
        <v>3.5830254170865529E-2</v>
      </c>
      <c r="H225" s="110">
        <f t="shared" si="12"/>
        <v>1.6734315358063742E-5</v>
      </c>
      <c r="I225" s="111">
        <v>0.06</v>
      </c>
      <c r="J225" s="110">
        <f t="shared" si="13"/>
        <v>2.802265696178761E-5</v>
      </c>
      <c r="L225" s="112"/>
    </row>
    <row r="226" spans="1:12" x14ac:dyDescent="0.2">
      <c r="A226" s="99" t="s">
        <v>890</v>
      </c>
      <c r="B226" s="108" t="s">
        <v>891</v>
      </c>
      <c r="C226" s="109">
        <v>175.63800000000001</v>
      </c>
      <c r="D226" s="109">
        <v>304.33999999999997</v>
      </c>
      <c r="E226" s="109">
        <f t="shared" si="14"/>
        <v>53453.668919999996</v>
      </c>
      <c r="F226" s="110">
        <f t="shared" si="15"/>
        <v>1.8894874189564373E-3</v>
      </c>
      <c r="G226" s="111">
        <v>2.6286390221462841E-2</v>
      </c>
      <c r="H226" s="110">
        <f t="shared" si="12"/>
        <v>4.9667803613233552E-5</v>
      </c>
      <c r="I226" s="111">
        <v>0.08</v>
      </c>
      <c r="J226" s="110">
        <f t="shared" si="13"/>
        <v>1.5115899351651499E-4</v>
      </c>
      <c r="L226" s="112"/>
    </row>
    <row r="227" spans="1:12" x14ac:dyDescent="0.2">
      <c r="A227" s="99" t="s">
        <v>238</v>
      </c>
      <c r="B227" s="108" t="s">
        <v>239</v>
      </c>
      <c r="C227" s="109">
        <v>305.57299999999998</v>
      </c>
      <c r="D227" s="109">
        <v>126.02</v>
      </c>
      <c r="E227" s="109">
        <f t="shared" si="14"/>
        <v>38508.309459999997</v>
      </c>
      <c r="F227" s="110">
        <f t="shared" si="15"/>
        <v>1.3611968592623063E-3</v>
      </c>
      <c r="G227" s="111" t="s">
        <v>175</v>
      </c>
      <c r="H227" s="110" t="str">
        <f t="shared" si="12"/>
        <v/>
      </c>
      <c r="I227" s="111">
        <v>0.1</v>
      </c>
      <c r="J227" s="110">
        <f t="shared" si="13"/>
        <v>1.3611968592623064E-4</v>
      </c>
      <c r="L227" s="112"/>
    </row>
    <row r="228" spans="1:12" x14ac:dyDescent="0.2">
      <c r="A228" s="99" t="s">
        <v>982</v>
      </c>
      <c r="B228" s="108" t="s">
        <v>983</v>
      </c>
      <c r="C228" s="109">
        <v>506.76799999999997</v>
      </c>
      <c r="D228" s="109">
        <v>77.459999999999994</v>
      </c>
      <c r="E228" s="109">
        <f t="shared" si="14"/>
        <v>39254.249279999996</v>
      </c>
      <c r="F228" s="110" t="str">
        <f t="shared" si="15"/>
        <v/>
      </c>
      <c r="G228" s="111">
        <v>2.5303382390911441E-2</v>
      </c>
      <c r="H228" s="110" t="str">
        <f t="shared" si="12"/>
        <v/>
      </c>
      <c r="I228" s="111">
        <v>0.215</v>
      </c>
      <c r="J228" s="110" t="str">
        <f t="shared" si="13"/>
        <v/>
      </c>
      <c r="L228" s="112"/>
    </row>
    <row r="229" spans="1:12" x14ac:dyDescent="0.2">
      <c r="A229" s="99" t="s">
        <v>407</v>
      </c>
      <c r="B229" s="108" t="s">
        <v>408</v>
      </c>
      <c r="C229" s="109">
        <v>718.6</v>
      </c>
      <c r="D229" s="109">
        <v>64.45</v>
      </c>
      <c r="E229" s="109">
        <f t="shared" si="14"/>
        <v>46313.770000000004</v>
      </c>
      <c r="F229" s="110">
        <f t="shared" si="15"/>
        <v>1.6371053195695605E-3</v>
      </c>
      <c r="G229" s="111">
        <v>9.3095422808378587E-3</v>
      </c>
      <c r="H229" s="110">
        <f t="shared" si="12"/>
        <v>1.5240701190717399E-5</v>
      </c>
      <c r="I229" s="111">
        <v>0.16500000000000001</v>
      </c>
      <c r="J229" s="110">
        <f t="shared" si="13"/>
        <v>2.7012237772897752E-4</v>
      </c>
      <c r="L229" s="112"/>
    </row>
    <row r="230" spans="1:12" x14ac:dyDescent="0.2">
      <c r="A230" s="99" t="s">
        <v>1028</v>
      </c>
      <c r="B230" s="108" t="s">
        <v>1029</v>
      </c>
      <c r="C230" s="109">
        <v>906</v>
      </c>
      <c r="D230" s="109">
        <v>177.21</v>
      </c>
      <c r="E230" s="109">
        <f t="shared" si="14"/>
        <v>160552.26</v>
      </c>
      <c r="F230" s="110">
        <f t="shared" si="15"/>
        <v>5.675222701907341E-3</v>
      </c>
      <c r="G230" s="111">
        <v>2.7989391117882737E-2</v>
      </c>
      <c r="H230" s="110">
        <f t="shared" si="12"/>
        <v>1.5884602788477181E-4</v>
      </c>
      <c r="I230" s="111">
        <v>7.4999999999999997E-2</v>
      </c>
      <c r="J230" s="110">
        <f t="shared" si="13"/>
        <v>4.2564170264305055E-4</v>
      </c>
      <c r="L230" s="112"/>
    </row>
    <row r="231" spans="1:12" x14ac:dyDescent="0.2">
      <c r="A231" s="99" t="s">
        <v>1030</v>
      </c>
      <c r="B231" s="108" t="s">
        <v>1031</v>
      </c>
      <c r="C231" s="109">
        <v>208.77099999999999</v>
      </c>
      <c r="D231" s="109">
        <v>72.849999999999994</v>
      </c>
      <c r="E231" s="109">
        <f t="shared" si="14"/>
        <v>15208.967349999997</v>
      </c>
      <c r="F231" s="110">
        <f t="shared" si="15"/>
        <v>5.3760860655145877E-4</v>
      </c>
      <c r="G231" s="111">
        <v>1.0981468771448183E-3</v>
      </c>
      <c r="H231" s="110">
        <f t="shared" si="12"/>
        <v>5.9037321241066171E-7</v>
      </c>
      <c r="I231" s="111">
        <v>0.105</v>
      </c>
      <c r="J231" s="110">
        <f t="shared" si="13"/>
        <v>5.6448903687903167E-5</v>
      </c>
      <c r="L231" s="112"/>
    </row>
    <row r="232" spans="1:12" x14ac:dyDescent="0.2">
      <c r="A232" s="99" t="s">
        <v>1006</v>
      </c>
      <c r="B232" s="108" t="s">
        <v>1007</v>
      </c>
      <c r="C232" s="109">
        <v>392.19600000000003</v>
      </c>
      <c r="D232" s="109">
        <v>570.33000000000004</v>
      </c>
      <c r="E232" s="109">
        <f t="shared" si="14"/>
        <v>223681.14468000003</v>
      </c>
      <c r="F232" s="110">
        <f t="shared" si="15"/>
        <v>7.9067109380868052E-3</v>
      </c>
      <c r="G232" s="111">
        <v>2.1040450265635683E-3</v>
      </c>
      <c r="H232" s="110">
        <f t="shared" si="12"/>
        <v>1.6636075825757309E-5</v>
      </c>
      <c r="I232" s="111">
        <v>0.11</v>
      </c>
      <c r="J232" s="110">
        <f t="shared" si="13"/>
        <v>8.6973820318954863E-4</v>
      </c>
      <c r="L232" s="112"/>
    </row>
    <row r="233" spans="1:12" x14ac:dyDescent="0.2">
      <c r="A233" s="99" t="s">
        <v>1004</v>
      </c>
      <c r="B233" s="108" t="s">
        <v>1005</v>
      </c>
      <c r="C233" s="109">
        <v>1155.5039999999999</v>
      </c>
      <c r="D233" s="109">
        <v>81.86</v>
      </c>
      <c r="E233" s="109">
        <f t="shared" si="14"/>
        <v>94589.55743999999</v>
      </c>
      <c r="F233" s="110">
        <f t="shared" si="15"/>
        <v>3.3435642933139424E-3</v>
      </c>
      <c r="G233" s="111">
        <v>1.4414854629855851E-2</v>
      </c>
      <c r="H233" s="110">
        <f t="shared" si="12"/>
        <v>4.819699323369719E-5</v>
      </c>
      <c r="I233" s="111">
        <v>0.17</v>
      </c>
      <c r="J233" s="110">
        <f t="shared" si="13"/>
        <v>5.6840592986337024E-4</v>
      </c>
      <c r="L233" s="112"/>
    </row>
    <row r="234" spans="1:12" x14ac:dyDescent="0.2">
      <c r="A234" s="99" t="s">
        <v>549</v>
      </c>
      <c r="B234" s="108" t="s">
        <v>550</v>
      </c>
      <c r="C234" s="109">
        <v>97.27</v>
      </c>
      <c r="D234" s="109">
        <v>120.85</v>
      </c>
      <c r="E234" s="109">
        <f t="shared" si="14"/>
        <v>11755.0795</v>
      </c>
      <c r="F234" s="110">
        <f t="shared" si="15"/>
        <v>4.1552011812929693E-4</v>
      </c>
      <c r="G234" s="111">
        <v>6.8680182043856022E-3</v>
      </c>
      <c r="H234" s="110">
        <f t="shared" si="12"/>
        <v>2.8537997356004673E-6</v>
      </c>
      <c r="I234" s="111">
        <v>8.5000000000000006E-2</v>
      </c>
      <c r="J234" s="110">
        <f t="shared" si="13"/>
        <v>3.5319210040990241E-5</v>
      </c>
      <c r="L234" s="112"/>
    </row>
    <row r="235" spans="1:12" x14ac:dyDescent="0.2">
      <c r="A235" s="99" t="s">
        <v>647</v>
      </c>
      <c r="B235" s="108" t="s">
        <v>648</v>
      </c>
      <c r="C235" s="109">
        <v>687.21400000000006</v>
      </c>
      <c r="D235" s="109">
        <v>69.569999999999993</v>
      </c>
      <c r="E235" s="109">
        <f t="shared" si="14"/>
        <v>47809.477979999996</v>
      </c>
      <c r="F235" s="110">
        <f t="shared" si="15"/>
        <v>1.6899758047531383E-3</v>
      </c>
      <c r="G235" s="111">
        <v>2.0123616501365533E-2</v>
      </c>
      <c r="H235" s="110">
        <f t="shared" si="12"/>
        <v>3.4008424991438746E-5</v>
      </c>
      <c r="I235" s="111">
        <v>0.125</v>
      </c>
      <c r="J235" s="110">
        <f t="shared" si="13"/>
        <v>2.1124697559414229E-4</v>
      </c>
      <c r="L235" s="112"/>
    </row>
    <row r="236" spans="1:12" x14ac:dyDescent="0.2">
      <c r="A236" s="99" t="s">
        <v>1040</v>
      </c>
      <c r="B236" s="108" t="s">
        <v>1041</v>
      </c>
      <c r="C236" s="109">
        <v>50.881</v>
      </c>
      <c r="D236" s="109">
        <v>513.96</v>
      </c>
      <c r="E236" s="109">
        <f t="shared" si="14"/>
        <v>26150.798760000001</v>
      </c>
      <c r="F236" s="110">
        <f t="shared" si="15"/>
        <v>9.2438192271950795E-4</v>
      </c>
      <c r="G236" s="111" t="s">
        <v>175</v>
      </c>
      <c r="H236" s="110" t="str">
        <f t="shared" si="12"/>
        <v/>
      </c>
      <c r="I236" s="111">
        <v>0.16500000000000001</v>
      </c>
      <c r="J236" s="110">
        <f t="shared" si="13"/>
        <v>1.5252301724871881E-4</v>
      </c>
      <c r="L236" s="112"/>
    </row>
    <row r="237" spans="1:12" x14ac:dyDescent="0.2">
      <c r="A237" s="99" t="s">
        <v>1044</v>
      </c>
      <c r="B237" s="108" t="s">
        <v>1045</v>
      </c>
      <c r="C237" s="109">
        <v>614.80100000000004</v>
      </c>
      <c r="D237" s="109">
        <v>204.19</v>
      </c>
      <c r="E237" s="109">
        <f t="shared" si="14"/>
        <v>125536.21619000001</v>
      </c>
      <c r="F237" s="110">
        <f t="shared" si="15"/>
        <v>4.4374709146606586E-3</v>
      </c>
      <c r="G237" s="111">
        <v>2.5466477300553406E-2</v>
      </c>
      <c r="H237" s="110">
        <f t="shared" si="12"/>
        <v>1.1300675232007162E-4</v>
      </c>
      <c r="I237" s="111">
        <v>9.5000000000000001E-2</v>
      </c>
      <c r="J237" s="110">
        <f t="shared" si="13"/>
        <v>4.2155973689276258E-4</v>
      </c>
      <c r="L237" s="112"/>
    </row>
    <row r="238" spans="1:12" x14ac:dyDescent="0.2">
      <c r="A238" s="99" t="s">
        <v>661</v>
      </c>
      <c r="B238" s="108" t="s">
        <v>662</v>
      </c>
      <c r="C238" s="109">
        <v>178.34399999999999</v>
      </c>
      <c r="D238" s="109">
        <v>179.35</v>
      </c>
      <c r="E238" s="109">
        <f t="shared" si="14"/>
        <v>31985.996399999996</v>
      </c>
      <c r="F238" s="110">
        <f t="shared" si="15"/>
        <v>1.1306452672320306E-3</v>
      </c>
      <c r="G238" s="111" t="s">
        <v>175</v>
      </c>
      <c r="H238" s="110" t="str">
        <f t="shared" si="12"/>
        <v/>
      </c>
      <c r="I238" s="111">
        <v>0.13</v>
      </c>
      <c r="J238" s="110">
        <f t="shared" si="13"/>
        <v>1.4698388474016397E-4</v>
      </c>
      <c r="L238" s="112"/>
    </row>
    <row r="239" spans="1:12" x14ac:dyDescent="0.2">
      <c r="A239" s="99" t="s">
        <v>1042</v>
      </c>
      <c r="B239" s="108" t="s">
        <v>1043</v>
      </c>
      <c r="C239" s="109">
        <v>934.34900000000005</v>
      </c>
      <c r="D239" s="109">
        <v>499.19</v>
      </c>
      <c r="E239" s="109">
        <f t="shared" si="14"/>
        <v>466417.67731</v>
      </c>
      <c r="F239" s="110">
        <f t="shared" si="15"/>
        <v>1.6486994271152612E-2</v>
      </c>
      <c r="G239" s="111">
        <v>1.3221418698291231E-2</v>
      </c>
      <c r="H239" s="110">
        <f t="shared" si="12"/>
        <v>2.1798145433523755E-4</v>
      </c>
      <c r="I239" s="111">
        <v>0.12</v>
      </c>
      <c r="J239" s="110">
        <f t="shared" si="13"/>
        <v>1.9784393125383132E-3</v>
      </c>
      <c r="L239" s="112"/>
    </row>
    <row r="240" spans="1:12" x14ac:dyDescent="0.2">
      <c r="A240" s="99" t="s">
        <v>768</v>
      </c>
      <c r="B240" s="108" t="s">
        <v>769</v>
      </c>
      <c r="C240" s="109">
        <v>635.06799999999998</v>
      </c>
      <c r="D240" s="109">
        <v>27.47</v>
      </c>
      <c r="E240" s="109">
        <f t="shared" si="14"/>
        <v>17445.31796</v>
      </c>
      <c r="F240" s="110" t="str">
        <f t="shared" si="15"/>
        <v/>
      </c>
      <c r="G240" s="111">
        <v>1.4561339643247181E-2</v>
      </c>
      <c r="H240" s="110" t="str">
        <f t="shared" si="12"/>
        <v/>
      </c>
      <c r="I240" s="111" t="s">
        <v>175</v>
      </c>
      <c r="J240" s="110" t="str">
        <f t="shared" si="13"/>
        <v/>
      </c>
      <c r="L240" s="112"/>
    </row>
    <row r="241" spans="1:12" x14ac:dyDescent="0.2">
      <c r="A241" s="99" t="s">
        <v>291</v>
      </c>
      <c r="B241" s="108" t="s">
        <v>292</v>
      </c>
      <c r="C241" s="109">
        <v>24.748999999999999</v>
      </c>
      <c r="D241" s="109">
        <v>467.46</v>
      </c>
      <c r="E241" s="109">
        <f t="shared" si="14"/>
        <v>11569.167539999999</v>
      </c>
      <c r="F241" s="110">
        <f t="shared" si="15"/>
        <v>4.0894847736916E-4</v>
      </c>
      <c r="G241" s="111" t="s">
        <v>175</v>
      </c>
      <c r="H241" s="110" t="str">
        <f t="shared" si="12"/>
        <v/>
      </c>
      <c r="I241" s="111">
        <v>0.115</v>
      </c>
      <c r="J241" s="110">
        <f t="shared" si="13"/>
        <v>4.7029074897453406E-5</v>
      </c>
      <c r="L241" s="112"/>
    </row>
    <row r="242" spans="1:12" x14ac:dyDescent="0.2">
      <c r="A242" s="99" t="s">
        <v>1066</v>
      </c>
      <c r="B242" s="108" t="s">
        <v>1067</v>
      </c>
      <c r="C242" s="109">
        <v>399.71800000000002</v>
      </c>
      <c r="D242" s="109">
        <v>51.81</v>
      </c>
      <c r="E242" s="109">
        <f t="shared" si="14"/>
        <v>20709.389580000003</v>
      </c>
      <c r="F242" s="110">
        <f t="shared" si="15"/>
        <v>7.3203826521694147E-4</v>
      </c>
      <c r="G242" s="111">
        <v>3.4742327735958312E-2</v>
      </c>
      <c r="H242" s="110">
        <f t="shared" si="12"/>
        <v>2.543271332542935E-5</v>
      </c>
      <c r="I242" s="111">
        <v>0.105</v>
      </c>
      <c r="J242" s="110">
        <f t="shared" si="13"/>
        <v>7.6864017847778852E-5</v>
      </c>
      <c r="L242" s="112"/>
    </row>
    <row r="243" spans="1:12" x14ac:dyDescent="0.2">
      <c r="A243" s="99" t="s">
        <v>1054</v>
      </c>
      <c r="B243" s="108" t="s">
        <v>1055</v>
      </c>
      <c r="C243" s="109">
        <v>388.56599999999997</v>
      </c>
      <c r="D243" s="109">
        <v>30.94</v>
      </c>
      <c r="E243" s="109">
        <f t="shared" si="14"/>
        <v>12022.232039999999</v>
      </c>
      <c r="F243" s="110">
        <f t="shared" si="15"/>
        <v>4.2496346174763155E-4</v>
      </c>
      <c r="G243" s="111">
        <v>6.5934065934065936E-2</v>
      </c>
      <c r="H243" s="110">
        <f t="shared" si="12"/>
        <v>2.8019568906437246E-5</v>
      </c>
      <c r="I243" s="111">
        <v>0.09</v>
      </c>
      <c r="J243" s="110">
        <f t="shared" si="13"/>
        <v>3.824671155728684E-5</v>
      </c>
      <c r="L243" s="112"/>
    </row>
    <row r="244" spans="1:12" x14ac:dyDescent="0.2">
      <c r="A244" s="99" t="s">
        <v>1058</v>
      </c>
      <c r="B244" s="108" t="s">
        <v>1059</v>
      </c>
      <c r="C244" s="109">
        <v>132.90700000000001</v>
      </c>
      <c r="D244" s="109">
        <v>183.33</v>
      </c>
      <c r="E244" s="109">
        <f t="shared" si="14"/>
        <v>24365.840310000003</v>
      </c>
      <c r="F244" s="110">
        <f t="shared" si="15"/>
        <v>8.6128697334040031E-4</v>
      </c>
      <c r="G244" s="111">
        <v>8.7274314078437786E-3</v>
      </c>
      <c r="H244" s="110">
        <f t="shared" si="12"/>
        <v>7.5168229822977172E-6</v>
      </c>
      <c r="I244" s="111">
        <v>8.5000000000000006E-2</v>
      </c>
      <c r="J244" s="110">
        <f t="shared" si="13"/>
        <v>7.3209392733934034E-5</v>
      </c>
      <c r="L244" s="112"/>
    </row>
    <row r="245" spans="1:12" x14ac:dyDescent="0.2">
      <c r="A245" s="99" t="s">
        <v>1103</v>
      </c>
      <c r="B245" s="108" t="s">
        <v>1104</v>
      </c>
      <c r="C245" s="109">
        <v>732.79399999999998</v>
      </c>
      <c r="D245" s="109">
        <v>34.43</v>
      </c>
      <c r="E245" s="109">
        <f t="shared" si="14"/>
        <v>25230.097419999998</v>
      </c>
      <c r="F245" s="110">
        <f t="shared" si="15"/>
        <v>8.9183684894449838E-4</v>
      </c>
      <c r="G245" s="111">
        <v>2.0911995352889921E-2</v>
      </c>
      <c r="H245" s="110">
        <f t="shared" si="12"/>
        <v>1.8650088040663341E-5</v>
      </c>
      <c r="I245" s="111">
        <v>7.0000000000000007E-2</v>
      </c>
      <c r="J245" s="110">
        <f t="shared" si="13"/>
        <v>6.2428579426114896E-5</v>
      </c>
      <c r="L245" s="112"/>
    </row>
    <row r="246" spans="1:12" x14ac:dyDescent="0.2">
      <c r="A246" s="99" t="s">
        <v>1087</v>
      </c>
      <c r="B246" s="108" t="s">
        <v>1088</v>
      </c>
      <c r="C246" s="109">
        <v>54</v>
      </c>
      <c r="D246" s="109">
        <v>155.59</v>
      </c>
      <c r="E246" s="109">
        <f t="shared" si="14"/>
        <v>8401.86</v>
      </c>
      <c r="F246" s="110">
        <f t="shared" si="15"/>
        <v>2.9699006797068579E-4</v>
      </c>
      <c r="G246" s="111">
        <v>4.4990037920174815E-2</v>
      </c>
      <c r="H246" s="110">
        <f t="shared" si="12"/>
        <v>1.3361594419916449E-5</v>
      </c>
      <c r="I246" s="111">
        <v>0.06</v>
      </c>
      <c r="J246" s="110">
        <f t="shared" si="13"/>
        <v>1.7819404078241147E-5</v>
      </c>
      <c r="L246" s="112"/>
    </row>
    <row r="247" spans="1:12" x14ac:dyDescent="0.2">
      <c r="A247" s="99" t="s">
        <v>1091</v>
      </c>
      <c r="B247" s="108" t="s">
        <v>1092</v>
      </c>
      <c r="C247" s="109">
        <v>1218.3399999999999</v>
      </c>
      <c r="D247" s="109">
        <v>32.24</v>
      </c>
      <c r="E247" s="109">
        <f t="shared" si="14"/>
        <v>39279.281600000002</v>
      </c>
      <c r="F247" s="110">
        <f t="shared" si="15"/>
        <v>1.3884492853039336E-3</v>
      </c>
      <c r="G247" s="111">
        <v>5.5521091811414389E-2</v>
      </c>
      <c r="H247" s="110">
        <f t="shared" si="12"/>
        <v>7.708822024485239E-5</v>
      </c>
      <c r="I247" s="111">
        <v>0.12</v>
      </c>
      <c r="J247" s="110">
        <f t="shared" si="13"/>
        <v>1.6661391423647203E-4</v>
      </c>
      <c r="L247" s="112"/>
    </row>
    <row r="248" spans="1:12" x14ac:dyDescent="0.2">
      <c r="A248" s="99" t="s">
        <v>342</v>
      </c>
      <c r="B248" s="108" t="s">
        <v>343</v>
      </c>
      <c r="C248" s="109">
        <v>326.66399999999999</v>
      </c>
      <c r="D248" s="109">
        <v>85.36</v>
      </c>
      <c r="E248" s="109">
        <f t="shared" si="14"/>
        <v>27884.03904</v>
      </c>
      <c r="F248" s="110" t="str">
        <f t="shared" si="15"/>
        <v/>
      </c>
      <c r="G248" s="111">
        <v>6.6073102155576376E-3</v>
      </c>
      <c r="H248" s="110" t="str">
        <f t="shared" si="12"/>
        <v/>
      </c>
      <c r="I248" s="111" t="s">
        <v>175</v>
      </c>
      <c r="J248" s="110" t="str">
        <f t="shared" si="13"/>
        <v/>
      </c>
      <c r="L248" s="112"/>
    </row>
    <row r="249" spans="1:12" x14ac:dyDescent="0.2">
      <c r="A249" s="99" t="s">
        <v>1082</v>
      </c>
      <c r="B249" s="108" t="s">
        <v>85</v>
      </c>
      <c r="C249" s="109">
        <v>315.435</v>
      </c>
      <c r="D249" s="109">
        <v>93.99</v>
      </c>
      <c r="E249" s="109">
        <f t="shared" si="14"/>
        <v>29647.735649999999</v>
      </c>
      <c r="F249" s="110">
        <f t="shared" si="15"/>
        <v>1.04799211434973E-3</v>
      </c>
      <c r="G249" s="111">
        <v>3.3195020746887967E-2</v>
      </c>
      <c r="H249" s="110">
        <f t="shared" si="12"/>
        <v>3.4788119978414275E-5</v>
      </c>
      <c r="I249" s="111">
        <v>0.06</v>
      </c>
      <c r="J249" s="110">
        <f t="shared" si="13"/>
        <v>6.2879526860983801E-5</v>
      </c>
      <c r="L249" s="112"/>
    </row>
    <row r="250" spans="1:12" x14ac:dyDescent="0.2">
      <c r="A250" s="99" t="s">
        <v>188</v>
      </c>
      <c r="B250" s="108" t="s">
        <v>189</v>
      </c>
      <c r="C250" s="109">
        <v>457.8</v>
      </c>
      <c r="D250" s="109">
        <v>370.34</v>
      </c>
      <c r="E250" s="109">
        <f t="shared" si="14"/>
        <v>169541.652</v>
      </c>
      <c r="F250" s="110">
        <f t="shared" si="15"/>
        <v>5.9929809293825832E-3</v>
      </c>
      <c r="G250" s="111" t="s">
        <v>175</v>
      </c>
      <c r="H250" s="110" t="str">
        <f t="shared" si="12"/>
        <v/>
      </c>
      <c r="I250" s="111">
        <v>0.13</v>
      </c>
      <c r="J250" s="110">
        <f t="shared" si="13"/>
        <v>7.7908752081973589E-4</v>
      </c>
      <c r="L250" s="112"/>
    </row>
    <row r="251" spans="1:12" x14ac:dyDescent="0.2">
      <c r="A251" s="99" t="s">
        <v>200</v>
      </c>
      <c r="B251" s="108" t="s">
        <v>201</v>
      </c>
      <c r="C251" s="109">
        <v>667.95</v>
      </c>
      <c r="D251" s="109">
        <v>27.41</v>
      </c>
      <c r="E251" s="109">
        <f t="shared" si="14"/>
        <v>18308.5095</v>
      </c>
      <c r="F251" s="110">
        <f t="shared" si="15"/>
        <v>6.4717163590525737E-4</v>
      </c>
      <c r="G251" s="111">
        <v>2.4210142283838013E-2</v>
      </c>
      <c r="H251" s="110">
        <f t="shared" si="12"/>
        <v>1.5668117387330491E-5</v>
      </c>
      <c r="I251" s="111">
        <v>0.14000000000000001</v>
      </c>
      <c r="J251" s="110">
        <f t="shared" si="13"/>
        <v>9.0604029026736041E-5</v>
      </c>
      <c r="L251" s="112"/>
    </row>
    <row r="252" spans="1:12" x14ac:dyDescent="0.2">
      <c r="A252" s="99" t="s">
        <v>230</v>
      </c>
      <c r="B252" s="108" t="s">
        <v>231</v>
      </c>
      <c r="C252" s="109">
        <v>533.57899999999995</v>
      </c>
      <c r="D252" s="109">
        <v>252.4</v>
      </c>
      <c r="E252" s="109">
        <f t="shared" si="14"/>
        <v>134675.33959999998</v>
      </c>
      <c r="F252" s="110">
        <f t="shared" si="15"/>
        <v>4.7605218679886577E-3</v>
      </c>
      <c r="G252" s="111">
        <v>3.375594294770206E-2</v>
      </c>
      <c r="H252" s="110">
        <f t="shared" si="12"/>
        <v>1.6069590457711317E-4</v>
      </c>
      <c r="I252" s="111">
        <v>5.5E-2</v>
      </c>
      <c r="J252" s="110">
        <f t="shared" si="13"/>
        <v>2.6182870273937616E-4</v>
      </c>
      <c r="L252" s="112"/>
    </row>
    <row r="253" spans="1:12" x14ac:dyDescent="0.2">
      <c r="A253" s="99" t="s">
        <v>178</v>
      </c>
      <c r="B253" s="108" t="s">
        <v>179</v>
      </c>
      <c r="C253" s="109">
        <v>15836.213</v>
      </c>
      <c r="D253" s="109">
        <v>144.29</v>
      </c>
      <c r="E253" s="109">
        <f t="shared" si="14"/>
        <v>2285007.1737699998</v>
      </c>
      <c r="F253" s="110">
        <f t="shared" si="15"/>
        <v>8.0770738366439901E-2</v>
      </c>
      <c r="G253" s="111">
        <v>6.3760482361910047E-3</v>
      </c>
      <c r="H253" s="110">
        <f t="shared" si="12"/>
        <v>5.149981238971842E-4</v>
      </c>
      <c r="I253" s="111">
        <v>0.13500000000000001</v>
      </c>
      <c r="J253" s="110">
        <f t="shared" si="13"/>
        <v>1.0904049679469388E-2</v>
      </c>
      <c r="L253" s="112"/>
    </row>
    <row r="254" spans="1:12" x14ac:dyDescent="0.2">
      <c r="A254" s="99" t="s">
        <v>196</v>
      </c>
      <c r="B254" s="108" t="s">
        <v>197</v>
      </c>
      <c r="C254" s="109">
        <v>215.767</v>
      </c>
      <c r="D254" s="109">
        <v>215.16</v>
      </c>
      <c r="E254" s="109">
        <f t="shared" si="14"/>
        <v>46424.42772</v>
      </c>
      <c r="F254" s="110">
        <f t="shared" si="15"/>
        <v>1.6410168634163136E-3</v>
      </c>
      <c r="G254" s="111" t="s">
        <v>175</v>
      </c>
      <c r="H254" s="110" t="str">
        <f t="shared" si="12"/>
        <v/>
      </c>
      <c r="I254" s="111">
        <v>0.14000000000000001</v>
      </c>
      <c r="J254" s="110">
        <f t="shared" si="13"/>
        <v>2.2974236087828392E-4</v>
      </c>
      <c r="L254" s="112"/>
    </row>
    <row r="255" spans="1:12" x14ac:dyDescent="0.2">
      <c r="A255" s="99" t="s">
        <v>399</v>
      </c>
      <c r="B255" s="108" t="s">
        <v>400</v>
      </c>
      <c r="C255" s="109">
        <v>101.62</v>
      </c>
      <c r="D255" s="109">
        <v>443.74</v>
      </c>
      <c r="E255" s="109">
        <f t="shared" si="14"/>
        <v>45092.858800000002</v>
      </c>
      <c r="F255" s="110">
        <f t="shared" si="15"/>
        <v>1.5939483876194719E-3</v>
      </c>
      <c r="G255" s="111">
        <v>1.0366430792806598E-2</v>
      </c>
      <c r="H255" s="110">
        <f t="shared" si="12"/>
        <v>1.6523555647562918E-5</v>
      </c>
      <c r="I255" s="111">
        <v>0.14000000000000001</v>
      </c>
      <c r="J255" s="110">
        <f t="shared" si="13"/>
        <v>2.2315277426672607E-4</v>
      </c>
      <c r="L255" s="112"/>
    </row>
    <row r="256" spans="1:12" x14ac:dyDescent="0.2">
      <c r="A256" s="99" t="s">
        <v>364</v>
      </c>
      <c r="B256" s="108" t="s">
        <v>365</v>
      </c>
      <c r="C256" s="109">
        <v>4313.9639999999999</v>
      </c>
      <c r="D256" s="109">
        <v>39.35</v>
      </c>
      <c r="E256" s="109">
        <f t="shared" si="14"/>
        <v>169754.4834</v>
      </c>
      <c r="F256" s="110">
        <f t="shared" si="15"/>
        <v>6.0005041220985173E-3</v>
      </c>
      <c r="G256" s="111">
        <v>2.9479034307496821E-2</v>
      </c>
      <c r="H256" s="110">
        <f t="shared" si="12"/>
        <v>1.7688906687761828E-4</v>
      </c>
      <c r="I256" s="111">
        <v>0.09</v>
      </c>
      <c r="J256" s="110">
        <f t="shared" si="13"/>
        <v>5.4004537098886654E-4</v>
      </c>
      <c r="L256" s="112"/>
    </row>
    <row r="257" spans="1:12" x14ac:dyDescent="0.2">
      <c r="A257" s="99" t="s">
        <v>986</v>
      </c>
      <c r="B257" s="108" t="s">
        <v>987</v>
      </c>
      <c r="C257" s="109">
        <v>200.14500000000001</v>
      </c>
      <c r="D257" s="109">
        <v>52.58</v>
      </c>
      <c r="E257" s="109">
        <f t="shared" si="14"/>
        <v>10523.624100000001</v>
      </c>
      <c r="F257" s="110" t="str">
        <f t="shared" si="15"/>
        <v/>
      </c>
      <c r="G257" s="111">
        <v>2.890833016356029E-2</v>
      </c>
      <c r="H257" s="110" t="str">
        <f t="shared" si="12"/>
        <v/>
      </c>
      <c r="I257" s="111">
        <v>0.495</v>
      </c>
      <c r="J257" s="110" t="str">
        <f t="shared" si="13"/>
        <v/>
      </c>
      <c r="L257" s="112"/>
    </row>
    <row r="258" spans="1:12" x14ac:dyDescent="0.2">
      <c r="A258" s="99" t="s">
        <v>667</v>
      </c>
      <c r="B258" s="108" t="s">
        <v>668</v>
      </c>
      <c r="C258" s="109">
        <v>138.47999999999999</v>
      </c>
      <c r="D258" s="109">
        <v>392.48</v>
      </c>
      <c r="E258" s="109">
        <f t="shared" si="14"/>
        <v>54350.630400000002</v>
      </c>
      <c r="F258" s="110">
        <f t="shared" si="15"/>
        <v>1.9211933329936015E-3</v>
      </c>
      <c r="G258" s="111">
        <v>1.3249082755809213E-2</v>
      </c>
      <c r="H258" s="110">
        <f t="shared" si="12"/>
        <v>2.5454049458741153E-5</v>
      </c>
      <c r="I258" s="111">
        <v>0.2</v>
      </c>
      <c r="J258" s="110">
        <f t="shared" si="13"/>
        <v>3.842386665987203E-4</v>
      </c>
      <c r="L258" s="112"/>
    </row>
    <row r="259" spans="1:12" x14ac:dyDescent="0.2">
      <c r="A259" s="99" t="s">
        <v>720</v>
      </c>
      <c r="B259" s="108" t="s">
        <v>721</v>
      </c>
      <c r="C259" s="109">
        <v>316.54000000000002</v>
      </c>
      <c r="D259" s="109">
        <v>174.18</v>
      </c>
      <c r="E259" s="109">
        <f t="shared" si="14"/>
        <v>55134.937200000008</v>
      </c>
      <c r="F259" s="110">
        <f t="shared" si="15"/>
        <v>1.948917114375566E-3</v>
      </c>
      <c r="G259" s="111">
        <v>9.1858996440463882E-3</v>
      </c>
      <c r="H259" s="110">
        <f t="shared" si="12"/>
        <v>1.7902557027218424E-5</v>
      </c>
      <c r="I259" s="111">
        <v>0.17499999999999999</v>
      </c>
      <c r="J259" s="110">
        <f t="shared" si="13"/>
        <v>3.4106049501572401E-4</v>
      </c>
      <c r="L259" s="112"/>
    </row>
    <row r="260" spans="1:12" x14ac:dyDescent="0.2">
      <c r="A260" s="99" t="s">
        <v>742</v>
      </c>
      <c r="B260" s="108" t="s">
        <v>743</v>
      </c>
      <c r="C260" s="109">
        <v>250.721</v>
      </c>
      <c r="D260" s="109">
        <v>75.12</v>
      </c>
      <c r="E260" s="109">
        <f t="shared" si="14"/>
        <v>18834.161520000001</v>
      </c>
      <c r="F260" s="110">
        <f t="shared" si="15"/>
        <v>6.6575245362284949E-4</v>
      </c>
      <c r="G260" s="111">
        <v>2.0766773162939296E-2</v>
      </c>
      <c r="H260" s="110">
        <f t="shared" si="12"/>
        <v>1.382553018705598E-5</v>
      </c>
      <c r="I260" s="111">
        <v>4.4999999999999998E-2</v>
      </c>
      <c r="J260" s="110">
        <f t="shared" si="13"/>
        <v>2.9958860413028226E-5</v>
      </c>
      <c r="L260" s="112"/>
    </row>
    <row r="261" spans="1:12" x14ac:dyDescent="0.2">
      <c r="A261" s="99" t="s">
        <v>849</v>
      </c>
      <c r="B261" s="108" t="s">
        <v>850</v>
      </c>
      <c r="C261" s="109">
        <v>348</v>
      </c>
      <c r="D261" s="109">
        <v>109.31</v>
      </c>
      <c r="E261" s="109">
        <f t="shared" si="14"/>
        <v>38039.879999999997</v>
      </c>
      <c r="F261" s="110">
        <f t="shared" si="15"/>
        <v>1.3446387522282838E-3</v>
      </c>
      <c r="G261" s="111">
        <v>9.1482938431982439E-3</v>
      </c>
      <c r="H261" s="110">
        <f t="shared" si="12"/>
        <v>1.2301150418335778E-5</v>
      </c>
      <c r="I261" s="111">
        <v>0.05</v>
      </c>
      <c r="J261" s="110">
        <f t="shared" si="13"/>
        <v>6.7231937611414189E-5</v>
      </c>
      <c r="L261" s="112"/>
    </row>
    <row r="262" spans="1:12" x14ac:dyDescent="0.2">
      <c r="A262" s="99" t="s">
        <v>383</v>
      </c>
      <c r="B262" s="108" t="s">
        <v>384</v>
      </c>
      <c r="C262" s="109">
        <v>443.72899999999998</v>
      </c>
      <c r="D262" s="109">
        <v>511.14</v>
      </c>
      <c r="E262" s="109">
        <f t="shared" si="14"/>
        <v>226807.64105999999</v>
      </c>
      <c r="F262" s="110">
        <f t="shared" si="15"/>
        <v>8.0172267491579602E-3</v>
      </c>
      <c r="G262" s="111">
        <v>7.0430801737293115E-3</v>
      </c>
      <c r="H262" s="110">
        <f t="shared" si="12"/>
        <v>5.6465970765286728E-5</v>
      </c>
      <c r="I262" s="111">
        <v>0.105</v>
      </c>
      <c r="J262" s="110">
        <f t="shared" si="13"/>
        <v>8.4180880866158582E-4</v>
      </c>
      <c r="L262" s="112"/>
    </row>
    <row r="263" spans="1:12" x14ac:dyDescent="0.2">
      <c r="A263" s="99" t="s">
        <v>533</v>
      </c>
      <c r="B263" s="108" t="s">
        <v>534</v>
      </c>
      <c r="C263" s="109">
        <v>182.92500000000001</v>
      </c>
      <c r="D263" s="109">
        <v>140.88</v>
      </c>
      <c r="E263" s="109">
        <f t="shared" si="14"/>
        <v>25770.474000000002</v>
      </c>
      <c r="F263" s="110">
        <f t="shared" si="15"/>
        <v>9.1093815237302102E-4</v>
      </c>
      <c r="G263" s="111">
        <v>7.6660988074957418E-3</v>
      </c>
      <c r="H263" s="110">
        <f t="shared" si="12"/>
        <v>6.9833418836091904E-6</v>
      </c>
      <c r="I263" s="111">
        <v>0.115</v>
      </c>
      <c r="J263" s="110">
        <f t="shared" si="13"/>
        <v>1.0475788752289742E-4</v>
      </c>
      <c r="L263" s="112"/>
    </row>
    <row r="264" spans="1:12" x14ac:dyDescent="0.2">
      <c r="A264" s="99" t="s">
        <v>980</v>
      </c>
      <c r="B264" s="108" t="s">
        <v>981</v>
      </c>
      <c r="C264" s="109">
        <v>378.43</v>
      </c>
      <c r="D264" s="109">
        <v>253.81</v>
      </c>
      <c r="E264" s="109">
        <f t="shared" si="14"/>
        <v>96049.318299999999</v>
      </c>
      <c r="F264" s="110">
        <f t="shared" si="15"/>
        <v>3.3951641149049176E-3</v>
      </c>
      <c r="G264" s="111">
        <v>1.1819865253536109E-2</v>
      </c>
      <c r="H264" s="110">
        <f t="shared" si="12"/>
        <v>4.0130382351817312E-5</v>
      </c>
      <c r="I264" s="111">
        <v>8.5000000000000006E-2</v>
      </c>
      <c r="J264" s="110">
        <f t="shared" si="13"/>
        <v>2.8858894976691799E-4</v>
      </c>
      <c r="L264" s="112"/>
    </row>
    <row r="265" spans="1:12" x14ac:dyDescent="0.2">
      <c r="A265" s="99" t="s">
        <v>1022</v>
      </c>
      <c r="B265" s="108" t="s">
        <v>1023</v>
      </c>
      <c r="C265" s="109">
        <v>287.81599999999997</v>
      </c>
      <c r="D265" s="109">
        <v>65.75</v>
      </c>
      <c r="E265" s="109">
        <f t="shared" si="14"/>
        <v>18923.901999999998</v>
      </c>
      <c r="F265" s="110">
        <f t="shared" si="15"/>
        <v>6.6892461208001514E-4</v>
      </c>
      <c r="G265" s="111">
        <v>2.9201520912547529E-2</v>
      </c>
      <c r="H265" s="110">
        <f t="shared" si="12"/>
        <v>1.9533616048572304E-5</v>
      </c>
      <c r="I265" s="111">
        <v>0.06</v>
      </c>
      <c r="J265" s="110">
        <f t="shared" si="13"/>
        <v>4.0135476724800906E-5</v>
      </c>
      <c r="L265" s="112"/>
    </row>
    <row r="266" spans="1:12" x14ac:dyDescent="0.2">
      <c r="A266" s="99" t="s">
        <v>710</v>
      </c>
      <c r="B266" s="108" t="s">
        <v>711</v>
      </c>
      <c r="C266" s="109">
        <v>143.87100000000001</v>
      </c>
      <c r="D266" s="109">
        <v>99.89</v>
      </c>
      <c r="E266" s="109">
        <f t="shared" si="14"/>
        <v>14371.274190000002</v>
      </c>
      <c r="F266" s="110">
        <f t="shared" si="15"/>
        <v>5.0799771699522041E-4</v>
      </c>
      <c r="G266" s="111">
        <v>1.1212333566923617E-2</v>
      </c>
      <c r="H266" s="110">
        <f t="shared" si="12"/>
        <v>5.6958398541860742E-6</v>
      </c>
      <c r="I266" s="111">
        <v>0.115</v>
      </c>
      <c r="J266" s="110">
        <f t="shared" si="13"/>
        <v>5.8419737454450348E-5</v>
      </c>
      <c r="L266" s="112"/>
    </row>
    <row r="267" spans="1:12" x14ac:dyDescent="0.2">
      <c r="A267" s="99" t="s">
        <v>222</v>
      </c>
      <c r="B267" s="108" t="s">
        <v>223</v>
      </c>
      <c r="C267" s="109">
        <v>843.07799999999997</v>
      </c>
      <c r="D267" s="109">
        <v>111.49</v>
      </c>
      <c r="E267" s="109">
        <f t="shared" si="14"/>
        <v>93994.76621999999</v>
      </c>
      <c r="F267" s="110">
        <f t="shared" si="15"/>
        <v>3.3225395339325477E-3</v>
      </c>
      <c r="G267" s="111">
        <v>9.3281908691362457E-3</v>
      </c>
      <c r="H267" s="110">
        <f t="shared" si="12"/>
        <v>3.099328294277379E-5</v>
      </c>
      <c r="I267" s="111">
        <v>0.13500000000000001</v>
      </c>
      <c r="J267" s="110">
        <f t="shared" si="13"/>
        <v>4.4854283708089398E-4</v>
      </c>
      <c r="L267" s="112"/>
    </row>
    <row r="268" spans="1:12" x14ac:dyDescent="0.2">
      <c r="A268" s="99" t="s">
        <v>173</v>
      </c>
      <c r="B268" s="108" t="s">
        <v>174</v>
      </c>
      <c r="C268" s="109">
        <v>649.90099999999995</v>
      </c>
      <c r="D268" s="109">
        <v>16.14</v>
      </c>
      <c r="E268" s="109">
        <f t="shared" si="14"/>
        <v>10489.40214</v>
      </c>
      <c r="F268" s="110" t="str">
        <f t="shared" si="15"/>
        <v/>
      </c>
      <c r="G268" s="111" t="s">
        <v>175</v>
      </c>
      <c r="H268" s="110" t="str">
        <f t="shared" si="12"/>
        <v/>
      </c>
      <c r="I268" s="111" t="s">
        <v>175</v>
      </c>
      <c r="J268" s="110" t="str">
        <f t="shared" si="13"/>
        <v/>
      </c>
      <c r="L268" s="112"/>
    </row>
    <row r="269" spans="1:12" x14ac:dyDescent="0.2">
      <c r="A269" s="99" t="s">
        <v>319</v>
      </c>
      <c r="B269" s="108" t="s">
        <v>320</v>
      </c>
      <c r="C269" s="109">
        <v>262.13400000000001</v>
      </c>
      <c r="D269" s="109">
        <v>77.25</v>
      </c>
      <c r="E269" s="109">
        <f t="shared" si="14"/>
        <v>20249.851500000001</v>
      </c>
      <c r="F269" s="110">
        <f t="shared" si="15"/>
        <v>7.1579445186914482E-4</v>
      </c>
      <c r="G269" s="111">
        <v>2.5667313915857602E-2</v>
      </c>
      <c r="H269" s="110">
        <f t="shared" si="12"/>
        <v>1.8372520895354566E-5</v>
      </c>
      <c r="I269" s="111">
        <v>0.05</v>
      </c>
      <c r="J269" s="110">
        <f t="shared" si="13"/>
        <v>3.5789722593457243E-5</v>
      </c>
      <c r="L269" s="112"/>
    </row>
    <row r="270" spans="1:12" x14ac:dyDescent="0.2">
      <c r="A270" s="99" t="s">
        <v>356</v>
      </c>
      <c r="B270" s="108" t="s">
        <v>357</v>
      </c>
      <c r="C270" s="109">
        <v>157.184</v>
      </c>
      <c r="D270" s="109">
        <v>113.15</v>
      </c>
      <c r="E270" s="109">
        <f t="shared" si="14"/>
        <v>17785.369600000002</v>
      </c>
      <c r="F270" s="110">
        <f t="shared" si="15"/>
        <v>6.2867961694050708E-4</v>
      </c>
      <c r="G270" s="111">
        <v>2.6513477684489615E-2</v>
      </c>
      <c r="H270" s="110">
        <f t="shared" si="12"/>
        <v>1.6668482994445614E-5</v>
      </c>
      <c r="I270" s="111">
        <v>0.09</v>
      </c>
      <c r="J270" s="110">
        <f t="shared" si="13"/>
        <v>5.6581165524645632E-5</v>
      </c>
      <c r="L270" s="112"/>
    </row>
    <row r="271" spans="1:12" x14ac:dyDescent="0.2">
      <c r="A271" s="99" t="s">
        <v>843</v>
      </c>
      <c r="B271" s="108" t="s">
        <v>844</v>
      </c>
      <c r="C271" s="109">
        <v>608.47</v>
      </c>
      <c r="D271" s="109">
        <v>23.16</v>
      </c>
      <c r="E271" s="109">
        <f t="shared" si="14"/>
        <v>14092.165200000001</v>
      </c>
      <c r="F271" s="110">
        <f t="shared" si="15"/>
        <v>4.9813173518746241E-4</v>
      </c>
      <c r="G271" s="111">
        <v>4.145077720207254E-2</v>
      </c>
      <c r="H271" s="110">
        <f t="shared" si="12"/>
        <v>2.0647947572537302E-5</v>
      </c>
      <c r="I271" s="111">
        <v>4.4999999999999998E-2</v>
      </c>
      <c r="J271" s="110">
        <f t="shared" si="13"/>
        <v>2.2415928083435808E-5</v>
      </c>
      <c r="L271" s="112"/>
    </row>
    <row r="272" spans="1:12" x14ac:dyDescent="0.2">
      <c r="A272" s="99" t="s">
        <v>429</v>
      </c>
      <c r="B272" s="108" t="s">
        <v>430</v>
      </c>
      <c r="C272" s="109">
        <v>343.39299999999997</v>
      </c>
      <c r="D272" s="109">
        <v>98.69</v>
      </c>
      <c r="E272" s="109">
        <f t="shared" si="14"/>
        <v>33889.455169999994</v>
      </c>
      <c r="F272" s="110">
        <f t="shared" si="15"/>
        <v>1.1979289817287847E-3</v>
      </c>
      <c r="G272" s="111">
        <v>1.013273887931908E-2</v>
      </c>
      <c r="H272" s="110">
        <f t="shared" si="12"/>
        <v>1.2138301567826373E-5</v>
      </c>
      <c r="I272" s="111">
        <v>5.0000000000000001E-3</v>
      </c>
      <c r="J272" s="110">
        <f t="shared" si="13"/>
        <v>5.989644908643923E-6</v>
      </c>
      <c r="L272" s="112"/>
    </row>
    <row r="273" spans="1:12" x14ac:dyDescent="0.2">
      <c r="A273" s="99" t="s">
        <v>460</v>
      </c>
      <c r="B273" s="108" t="s">
        <v>461</v>
      </c>
      <c r="C273" s="109">
        <v>276.08</v>
      </c>
      <c r="D273" s="109">
        <v>128.68</v>
      </c>
      <c r="E273" s="109">
        <f t="shared" si="14"/>
        <v>35525.974399999999</v>
      </c>
      <c r="F273" s="110">
        <f t="shared" si="15"/>
        <v>1.2557768817596153E-3</v>
      </c>
      <c r="G273" s="111">
        <v>5.9061237177494555E-3</v>
      </c>
      <c r="H273" s="110">
        <f t="shared" si="12"/>
        <v>7.4167736255619176E-6</v>
      </c>
      <c r="I273" s="111">
        <v>0.13</v>
      </c>
      <c r="J273" s="110">
        <f t="shared" si="13"/>
        <v>1.6325099462875001E-4</v>
      </c>
      <c r="L273" s="112"/>
    </row>
    <row r="274" spans="1:12" x14ac:dyDescent="0.2">
      <c r="A274" s="99" t="s">
        <v>497</v>
      </c>
      <c r="B274" s="108" t="s">
        <v>498</v>
      </c>
      <c r="C274" s="109">
        <v>159.136</v>
      </c>
      <c r="D274" s="109">
        <v>108.15</v>
      </c>
      <c r="E274" s="109">
        <f t="shared" si="14"/>
        <v>17210.558400000002</v>
      </c>
      <c r="F274" s="110">
        <f t="shared" si="15"/>
        <v>6.0836111397112754E-4</v>
      </c>
      <c r="G274" s="111">
        <v>1.2390198797965789E-2</v>
      </c>
      <c r="H274" s="110">
        <f t="shared" si="12"/>
        <v>7.5377151430541926E-6</v>
      </c>
      <c r="I274" s="111">
        <v>0.1</v>
      </c>
      <c r="J274" s="110">
        <f t="shared" si="13"/>
        <v>6.0836111397112758E-5</v>
      </c>
      <c r="L274" s="112"/>
    </row>
    <row r="275" spans="1:12" x14ac:dyDescent="0.2">
      <c r="A275" s="99" t="s">
        <v>507</v>
      </c>
      <c r="B275" s="108" t="s">
        <v>508</v>
      </c>
      <c r="C275" s="109">
        <v>570.81200000000001</v>
      </c>
      <c r="D275" s="109">
        <v>50.2</v>
      </c>
      <c r="E275" s="109">
        <f t="shared" si="14"/>
        <v>28654.762400000003</v>
      </c>
      <c r="F275" s="110">
        <f t="shared" si="15"/>
        <v>1.0128923634599781E-3</v>
      </c>
      <c r="G275" s="111">
        <v>2.7888446215139438E-2</v>
      </c>
      <c r="H275" s="110">
        <f t="shared" ref="H275:H338" si="16">IFERROR($G275*$F275,"")</f>
        <v>2.8247994200079067E-5</v>
      </c>
      <c r="I275" s="111">
        <v>8.5000000000000006E-2</v>
      </c>
      <c r="J275" s="110">
        <f t="shared" ref="J275:J338" si="17">IFERROR($I275*$F275,"")</f>
        <v>8.609585089409815E-5</v>
      </c>
      <c r="L275" s="112"/>
    </row>
    <row r="276" spans="1:12" x14ac:dyDescent="0.2">
      <c r="A276" s="99" t="s">
        <v>778</v>
      </c>
      <c r="B276" s="108" t="s">
        <v>779</v>
      </c>
      <c r="C276" s="109">
        <v>172.613</v>
      </c>
      <c r="D276" s="109">
        <v>156</v>
      </c>
      <c r="E276" s="109">
        <f t="shared" ref="E276:E339" si="18">IFERROR(C276*D276,"")</f>
        <v>26927.628000000001</v>
      </c>
      <c r="F276" s="110">
        <f t="shared" ref="F276:F339" si="19">IF(AND(ISNUMBER($I276)), IF(AND($I276&lt;=20%,$I276&gt;0%), $E276/SUMIFS($E$19:$E$521,$I$19:$I$521, "&gt;"&amp;0%,$I$19:$I$521, "&lt;="&amp;20%),""),"")</f>
        <v>9.5184138631319035E-4</v>
      </c>
      <c r="G276" s="111">
        <v>3.0769230769230767E-2</v>
      </c>
      <c r="H276" s="110">
        <f t="shared" si="16"/>
        <v>2.9287427271175085E-5</v>
      </c>
      <c r="I276" s="111">
        <v>0.09</v>
      </c>
      <c r="J276" s="110">
        <f t="shared" si="17"/>
        <v>8.566572476818713E-5</v>
      </c>
      <c r="L276" s="112"/>
    </row>
    <row r="277" spans="1:12" x14ac:dyDescent="0.2">
      <c r="A277" s="99" t="s">
        <v>1107</v>
      </c>
      <c r="B277" s="108" t="s">
        <v>87</v>
      </c>
      <c r="C277" s="109">
        <v>547.24800000000005</v>
      </c>
      <c r="D277" s="109">
        <v>68.77</v>
      </c>
      <c r="E277" s="109">
        <f t="shared" si="18"/>
        <v>37634.244960000004</v>
      </c>
      <c r="F277" s="110">
        <f t="shared" si="19"/>
        <v>1.3303003107283196E-3</v>
      </c>
      <c r="G277" s="111">
        <v>2.835538752362949E-2</v>
      </c>
      <c r="H277" s="110">
        <f t="shared" si="16"/>
        <v>3.7721180833506223E-5</v>
      </c>
      <c r="I277" s="111">
        <v>0.06</v>
      </c>
      <c r="J277" s="110">
        <f t="shared" si="17"/>
        <v>7.9818018643699174E-5</v>
      </c>
      <c r="L277" s="112"/>
    </row>
    <row r="278" spans="1:12" x14ac:dyDescent="0.2">
      <c r="A278" s="99" t="s">
        <v>522</v>
      </c>
      <c r="B278" s="108" t="s">
        <v>523</v>
      </c>
      <c r="C278" s="109">
        <v>635.02800000000002</v>
      </c>
      <c r="D278" s="109">
        <v>106.68</v>
      </c>
      <c r="E278" s="109">
        <f t="shared" si="18"/>
        <v>67744.78704000001</v>
      </c>
      <c r="F278" s="110">
        <f t="shared" si="19"/>
        <v>2.3946517684975987E-3</v>
      </c>
      <c r="G278" s="111" t="s">
        <v>175</v>
      </c>
      <c r="H278" s="110" t="str">
        <f t="shared" si="16"/>
        <v/>
      </c>
      <c r="I278" s="111">
        <v>0.11</v>
      </c>
      <c r="J278" s="110">
        <f t="shared" si="17"/>
        <v>2.6341169453473584E-4</v>
      </c>
      <c r="L278" s="112"/>
    </row>
    <row r="279" spans="1:12" x14ac:dyDescent="0.2">
      <c r="A279" s="99" t="s">
        <v>524</v>
      </c>
      <c r="B279" s="108" t="s">
        <v>525</v>
      </c>
      <c r="C279" s="109">
        <v>683.38599999999997</v>
      </c>
      <c r="D279" s="109">
        <v>36.29</v>
      </c>
      <c r="E279" s="109">
        <f t="shared" si="18"/>
        <v>24800.077939999999</v>
      </c>
      <c r="F279" s="110">
        <f t="shared" si="19"/>
        <v>8.7663646300687045E-4</v>
      </c>
      <c r="G279" s="111">
        <v>3.6373656654725819E-2</v>
      </c>
      <c r="H279" s="110">
        <f t="shared" si="16"/>
        <v>3.1886473716425156E-5</v>
      </c>
      <c r="I279" s="111">
        <v>9.5000000000000001E-2</v>
      </c>
      <c r="J279" s="110">
        <f t="shared" si="17"/>
        <v>8.328046398565269E-5</v>
      </c>
      <c r="L279" s="112"/>
    </row>
    <row r="280" spans="1:12" x14ac:dyDescent="0.2">
      <c r="A280" s="99" t="s">
        <v>545</v>
      </c>
      <c r="B280" s="108" t="s">
        <v>546</v>
      </c>
      <c r="C280" s="109">
        <v>1254.2439999999999</v>
      </c>
      <c r="D280" s="109">
        <v>83.94</v>
      </c>
      <c r="E280" s="109">
        <f t="shared" si="18"/>
        <v>105281.24135999999</v>
      </c>
      <c r="F280" s="110">
        <f t="shared" si="19"/>
        <v>3.7214953626392927E-3</v>
      </c>
      <c r="G280" s="111">
        <v>3.4786752442220632E-2</v>
      </c>
      <c r="H280" s="110">
        <f t="shared" si="16"/>
        <v>1.2945873789500518E-4</v>
      </c>
      <c r="I280" s="111">
        <v>0.12</v>
      </c>
      <c r="J280" s="110">
        <f t="shared" si="17"/>
        <v>4.4657944351671512E-4</v>
      </c>
      <c r="L280" s="112"/>
    </row>
    <row r="281" spans="1:12" x14ac:dyDescent="0.2">
      <c r="A281" s="99" t="s">
        <v>572</v>
      </c>
      <c r="B281" s="108" t="s">
        <v>573</v>
      </c>
      <c r="C281" s="109">
        <v>138.114</v>
      </c>
      <c r="D281" s="109">
        <v>59.17</v>
      </c>
      <c r="E281" s="109">
        <f t="shared" si="18"/>
        <v>8172.2053800000003</v>
      </c>
      <c r="F281" s="110">
        <f t="shared" si="19"/>
        <v>2.8887220583020951E-4</v>
      </c>
      <c r="G281" s="111">
        <v>4.732127767449721E-2</v>
      </c>
      <c r="H281" s="110">
        <f t="shared" si="16"/>
        <v>1.3669801864535857E-5</v>
      </c>
      <c r="I281" s="111">
        <v>7.4999999999999997E-2</v>
      </c>
      <c r="J281" s="110">
        <f t="shared" si="17"/>
        <v>2.1665415437265711E-5</v>
      </c>
      <c r="L281" s="112"/>
    </row>
    <row r="282" spans="1:12" x14ac:dyDescent="0.2">
      <c r="A282" s="99" t="s">
        <v>574</v>
      </c>
      <c r="B282" s="108" t="s">
        <v>575</v>
      </c>
      <c r="C282" s="109">
        <v>1442.7339999999999</v>
      </c>
      <c r="D282" s="109">
        <v>15.17</v>
      </c>
      <c r="E282" s="109">
        <f t="shared" si="18"/>
        <v>21886.27478</v>
      </c>
      <c r="F282" s="110">
        <f t="shared" si="19"/>
        <v>7.7363896024657702E-4</v>
      </c>
      <c r="G282" s="111">
        <v>4.0870138431114041E-2</v>
      </c>
      <c r="H282" s="110">
        <f t="shared" si="16"/>
        <v>3.1618731400980736E-5</v>
      </c>
      <c r="I282" s="111">
        <v>0.125</v>
      </c>
      <c r="J282" s="110">
        <f t="shared" si="17"/>
        <v>9.6704870030822127E-5</v>
      </c>
      <c r="L282" s="112"/>
    </row>
    <row r="283" spans="1:12" x14ac:dyDescent="0.2">
      <c r="A283" s="99" t="s">
        <v>1083</v>
      </c>
      <c r="B283" s="108" t="s">
        <v>1084</v>
      </c>
      <c r="C283" s="109">
        <v>472.52100000000002</v>
      </c>
      <c r="D283" s="109">
        <v>75.040000000000006</v>
      </c>
      <c r="E283" s="109">
        <f t="shared" si="18"/>
        <v>35457.975840000006</v>
      </c>
      <c r="F283" s="110">
        <f t="shared" si="19"/>
        <v>1.2533732595906781E-3</v>
      </c>
      <c r="G283" s="111">
        <v>3.2515991471215346E-2</v>
      </c>
      <c r="H283" s="110">
        <f t="shared" si="16"/>
        <v>4.0754674219099865E-5</v>
      </c>
      <c r="I283" s="111">
        <v>2.5000000000000001E-2</v>
      </c>
      <c r="J283" s="110">
        <f t="shared" si="17"/>
        <v>3.1334331489766953E-5</v>
      </c>
      <c r="L283" s="112"/>
    </row>
    <row r="284" spans="1:12" x14ac:dyDescent="0.2">
      <c r="A284" s="99" t="s">
        <v>289</v>
      </c>
      <c r="B284" s="108" t="s">
        <v>290</v>
      </c>
      <c r="C284" s="109">
        <v>144.001</v>
      </c>
      <c r="D284" s="109">
        <v>290.89999999999998</v>
      </c>
      <c r="E284" s="109">
        <f t="shared" si="18"/>
        <v>41889.890899999999</v>
      </c>
      <c r="F284" s="110" t="str">
        <f t="shared" si="19"/>
        <v/>
      </c>
      <c r="G284" s="111" t="s">
        <v>175</v>
      </c>
      <c r="H284" s="110" t="str">
        <f t="shared" si="16"/>
        <v/>
      </c>
      <c r="I284" s="111">
        <v>-0.105</v>
      </c>
      <c r="J284" s="110" t="str">
        <f t="shared" si="17"/>
        <v/>
      </c>
      <c r="L284" s="112"/>
    </row>
    <row r="285" spans="1:12" x14ac:dyDescent="0.2">
      <c r="A285" s="99" t="s">
        <v>810</v>
      </c>
      <c r="B285" s="108" t="s">
        <v>811</v>
      </c>
      <c r="C285" s="109">
        <v>208.89400000000001</v>
      </c>
      <c r="D285" s="109">
        <v>96.97</v>
      </c>
      <c r="E285" s="109">
        <f t="shared" si="18"/>
        <v>20256.45118</v>
      </c>
      <c r="F285" s="110">
        <f t="shared" si="19"/>
        <v>7.1602773823808985E-4</v>
      </c>
      <c r="G285" s="111">
        <v>3.0937403320614624E-2</v>
      </c>
      <c r="H285" s="110">
        <f t="shared" si="16"/>
        <v>2.215203892661926E-5</v>
      </c>
      <c r="I285" s="111">
        <v>0.08</v>
      </c>
      <c r="J285" s="110">
        <f t="shared" si="17"/>
        <v>5.7282219059047186E-5</v>
      </c>
      <c r="L285" s="112"/>
    </row>
    <row r="286" spans="1:12" x14ac:dyDescent="0.2">
      <c r="A286" s="99" t="s">
        <v>868</v>
      </c>
      <c r="B286" s="108" t="s">
        <v>869</v>
      </c>
      <c r="C286" s="109">
        <v>92.534000000000006</v>
      </c>
      <c r="D286" s="109">
        <v>142.69999999999999</v>
      </c>
      <c r="E286" s="109">
        <f t="shared" si="18"/>
        <v>13204.6018</v>
      </c>
      <c r="F286" s="110">
        <f t="shared" si="19"/>
        <v>4.6675802573571088E-4</v>
      </c>
      <c r="G286" s="111">
        <v>3.5038542396636306E-2</v>
      </c>
      <c r="H286" s="110">
        <f t="shared" si="16"/>
        <v>1.6354520873710967E-5</v>
      </c>
      <c r="I286" s="111">
        <v>0.11</v>
      </c>
      <c r="J286" s="110">
        <f t="shared" si="17"/>
        <v>5.1343382830928199E-5</v>
      </c>
      <c r="L286" s="112"/>
    </row>
    <row r="287" spans="1:12" x14ac:dyDescent="0.2">
      <c r="A287" s="99" t="s">
        <v>847</v>
      </c>
      <c r="B287" s="108" t="s">
        <v>848</v>
      </c>
      <c r="C287" s="109">
        <v>360.46699999999998</v>
      </c>
      <c r="D287" s="109">
        <v>115.86</v>
      </c>
      <c r="E287" s="109">
        <f t="shared" si="18"/>
        <v>41763.706619999997</v>
      </c>
      <c r="F287" s="110">
        <f t="shared" si="19"/>
        <v>1.4762690722984646E-3</v>
      </c>
      <c r="G287" s="111">
        <v>2.7274296564819611E-2</v>
      </c>
      <c r="H287" s="110">
        <f t="shared" si="16"/>
        <v>4.0264200487339451E-5</v>
      </c>
      <c r="I287" s="111">
        <v>0.105</v>
      </c>
      <c r="J287" s="110">
        <f t="shared" si="17"/>
        <v>1.5500825259133879E-4</v>
      </c>
      <c r="L287" s="112"/>
    </row>
    <row r="288" spans="1:12" x14ac:dyDescent="0.2">
      <c r="A288" s="99" t="s">
        <v>902</v>
      </c>
      <c r="B288" s="108" t="s">
        <v>903</v>
      </c>
      <c r="C288" s="109">
        <v>1117.192</v>
      </c>
      <c r="D288" s="109">
        <v>133.21</v>
      </c>
      <c r="E288" s="109">
        <f t="shared" si="18"/>
        <v>148821.14632</v>
      </c>
      <c r="F288" s="110">
        <f t="shared" si="19"/>
        <v>5.2605497307801098E-3</v>
      </c>
      <c r="G288" s="111">
        <v>2.2520831769386681E-2</v>
      </c>
      <c r="H288" s="110">
        <f t="shared" si="16"/>
        <v>1.1847195550139125E-4</v>
      </c>
      <c r="I288" s="111">
        <v>0.18</v>
      </c>
      <c r="J288" s="110">
        <f t="shared" si="17"/>
        <v>9.4689895154041975E-4</v>
      </c>
      <c r="L288" s="112"/>
    </row>
    <row r="289" spans="1:12" x14ac:dyDescent="0.2">
      <c r="A289" s="99" t="s">
        <v>928</v>
      </c>
      <c r="B289" s="108" t="s">
        <v>929</v>
      </c>
      <c r="C289" s="109">
        <v>106.05200000000001</v>
      </c>
      <c r="D289" s="109">
        <v>426.75</v>
      </c>
      <c r="E289" s="109">
        <f t="shared" si="18"/>
        <v>45257.691000000006</v>
      </c>
      <c r="F289" s="110">
        <f t="shared" si="19"/>
        <v>1.5997748982113835E-3</v>
      </c>
      <c r="G289" s="111">
        <v>6.3971880492091392E-3</v>
      </c>
      <c r="H289" s="110">
        <f t="shared" si="16"/>
        <v>1.0234060860262629E-5</v>
      </c>
      <c r="I289" s="111">
        <v>3.5000000000000003E-2</v>
      </c>
      <c r="J289" s="110">
        <f t="shared" si="17"/>
        <v>5.5992121437398428E-5</v>
      </c>
      <c r="L289" s="112"/>
    </row>
    <row r="290" spans="1:12" x14ac:dyDescent="0.2">
      <c r="A290" s="99" t="s">
        <v>930</v>
      </c>
      <c r="B290" s="108" t="s">
        <v>931</v>
      </c>
      <c r="C290" s="109">
        <v>344.37099999999998</v>
      </c>
      <c r="D290" s="109">
        <v>118.19</v>
      </c>
      <c r="E290" s="109">
        <f t="shared" si="18"/>
        <v>40701.208489999997</v>
      </c>
      <c r="F290" s="110">
        <f t="shared" si="19"/>
        <v>1.4387117466768253E-3</v>
      </c>
      <c r="G290" s="111">
        <v>1.0491581352060242E-2</v>
      </c>
      <c r="H290" s="110">
        <f t="shared" si="16"/>
        <v>1.5094361332424598E-5</v>
      </c>
      <c r="I290" s="111">
        <v>0.14000000000000001</v>
      </c>
      <c r="J290" s="110">
        <f t="shared" si="17"/>
        <v>2.0141964453475555E-4</v>
      </c>
      <c r="L290" s="112"/>
    </row>
    <row r="291" spans="1:12" x14ac:dyDescent="0.2">
      <c r="A291" s="99" t="s">
        <v>612</v>
      </c>
      <c r="B291" s="108" t="s">
        <v>613</v>
      </c>
      <c r="C291" s="109">
        <v>82.816999999999993</v>
      </c>
      <c r="D291" s="109">
        <v>480.5</v>
      </c>
      <c r="E291" s="109">
        <f t="shared" si="18"/>
        <v>39793.568499999994</v>
      </c>
      <c r="F291" s="110">
        <f t="shared" si="19"/>
        <v>1.4066283672438172E-3</v>
      </c>
      <c r="G291" s="111" t="s">
        <v>175</v>
      </c>
      <c r="H291" s="110" t="str">
        <f t="shared" si="16"/>
        <v/>
      </c>
      <c r="I291" s="111">
        <v>0.12</v>
      </c>
      <c r="J291" s="110">
        <f t="shared" si="17"/>
        <v>1.6879540406925805E-4</v>
      </c>
      <c r="L291" s="112"/>
    </row>
    <row r="292" spans="1:12" x14ac:dyDescent="0.2">
      <c r="A292" s="99" t="s">
        <v>940</v>
      </c>
      <c r="B292" s="108" t="s">
        <v>941</v>
      </c>
      <c r="C292" s="109">
        <v>1148.559</v>
      </c>
      <c r="D292" s="109">
        <v>109.14</v>
      </c>
      <c r="E292" s="109">
        <f t="shared" si="18"/>
        <v>125353.72925999999</v>
      </c>
      <c r="F292" s="110">
        <f t="shared" si="19"/>
        <v>4.4310203423178129E-3</v>
      </c>
      <c r="G292" s="111">
        <v>1.9424592266813267E-2</v>
      </c>
      <c r="H292" s="110">
        <f t="shared" si="16"/>
        <v>8.6070763475478863E-5</v>
      </c>
      <c r="I292" s="111">
        <v>0.16</v>
      </c>
      <c r="J292" s="110">
        <f t="shared" si="17"/>
        <v>7.089632547708501E-4</v>
      </c>
      <c r="L292" s="112"/>
    </row>
    <row r="293" spans="1:12" x14ac:dyDescent="0.2">
      <c r="A293" s="99" t="s">
        <v>659</v>
      </c>
      <c r="B293" s="108" t="s">
        <v>660</v>
      </c>
      <c r="C293" s="109">
        <v>933.32500000000005</v>
      </c>
      <c r="D293" s="109">
        <v>19.190000000000001</v>
      </c>
      <c r="E293" s="109">
        <f t="shared" si="18"/>
        <v>17910.50675</v>
      </c>
      <c r="F293" s="110">
        <f t="shared" si="19"/>
        <v>6.3310298161025366E-4</v>
      </c>
      <c r="G293" s="111">
        <v>4.2730588848358515E-2</v>
      </c>
      <c r="H293" s="110">
        <f t="shared" si="16"/>
        <v>2.7052863205857631E-5</v>
      </c>
      <c r="I293" s="111">
        <v>7.4999999999999997E-2</v>
      </c>
      <c r="J293" s="110">
        <f t="shared" si="17"/>
        <v>4.7482723620769022E-5</v>
      </c>
      <c r="L293" s="112"/>
    </row>
    <row r="294" spans="1:12" x14ac:dyDescent="0.2">
      <c r="A294" s="99" t="s">
        <v>530</v>
      </c>
      <c r="B294" s="108" t="s">
        <v>532</v>
      </c>
      <c r="C294" s="109">
        <v>302.47500000000002</v>
      </c>
      <c r="D294" s="109">
        <v>33.94</v>
      </c>
      <c r="E294" s="109">
        <f t="shared" si="18"/>
        <v>10266.0015</v>
      </c>
      <c r="F294" s="110">
        <f t="shared" si="19"/>
        <v>3.6288399036310553E-4</v>
      </c>
      <c r="G294" s="111">
        <v>1.4731879787860933E-2</v>
      </c>
      <c r="H294" s="110">
        <f t="shared" si="16"/>
        <v>5.3459633229685558E-6</v>
      </c>
      <c r="I294" s="111">
        <v>0.12</v>
      </c>
      <c r="J294" s="110">
        <f t="shared" si="17"/>
        <v>4.3546078843572661E-5</v>
      </c>
      <c r="L294" s="112"/>
    </row>
    <row r="295" spans="1:12" x14ac:dyDescent="0.2">
      <c r="A295" s="99" t="s">
        <v>530</v>
      </c>
      <c r="B295" s="108" t="s">
        <v>531</v>
      </c>
      <c r="C295" s="109">
        <v>240.21899999999999</v>
      </c>
      <c r="D295" s="109">
        <v>31.7</v>
      </c>
      <c r="E295" s="109">
        <f t="shared" si="18"/>
        <v>7614.9422999999997</v>
      </c>
      <c r="F295" s="110" t="str">
        <f t="shared" si="19"/>
        <v/>
      </c>
      <c r="G295" s="111">
        <v>1.5772870662460567E-2</v>
      </c>
      <c r="H295" s="110" t="str">
        <f t="shared" si="16"/>
        <v/>
      </c>
      <c r="I295" s="111" t="s">
        <v>175</v>
      </c>
      <c r="J295" s="110" t="str">
        <f t="shared" si="17"/>
        <v/>
      </c>
      <c r="L295" s="112"/>
    </row>
    <row r="296" spans="1:12" x14ac:dyDescent="0.2">
      <c r="A296" s="99" t="s">
        <v>968</v>
      </c>
      <c r="B296" s="108" t="s">
        <v>969</v>
      </c>
      <c r="C296" s="109">
        <v>349.024</v>
      </c>
      <c r="D296" s="109">
        <v>91.33</v>
      </c>
      <c r="E296" s="109">
        <f t="shared" si="18"/>
        <v>31876.361919999999</v>
      </c>
      <c r="F296" s="110">
        <f t="shared" si="19"/>
        <v>1.1267698930092836E-3</v>
      </c>
      <c r="G296" s="111">
        <v>2.7592247892258844E-2</v>
      </c>
      <c r="H296" s="110">
        <f t="shared" si="16"/>
        <v>3.1090114205446128E-5</v>
      </c>
      <c r="I296" s="111">
        <v>8.5000000000000006E-2</v>
      </c>
      <c r="J296" s="110">
        <f t="shared" si="17"/>
        <v>9.5775440905789116E-5</v>
      </c>
      <c r="L296" s="112"/>
    </row>
    <row r="297" spans="1:12" x14ac:dyDescent="0.2">
      <c r="A297" s="99" t="s">
        <v>786</v>
      </c>
      <c r="B297" s="108" t="s">
        <v>787</v>
      </c>
      <c r="C297" s="109">
        <v>421.39600000000002</v>
      </c>
      <c r="D297" s="109">
        <v>15.21</v>
      </c>
      <c r="E297" s="109">
        <f t="shared" si="18"/>
        <v>6409.4331600000005</v>
      </c>
      <c r="F297" s="110" t="str">
        <f t="shared" si="19"/>
        <v/>
      </c>
      <c r="G297" s="111" t="s">
        <v>175</v>
      </c>
      <c r="H297" s="110" t="str">
        <f t="shared" si="16"/>
        <v/>
      </c>
      <c r="I297" s="111" t="s">
        <v>175</v>
      </c>
      <c r="J297" s="110" t="str">
        <f t="shared" si="17"/>
        <v/>
      </c>
      <c r="L297" s="112"/>
    </row>
    <row r="298" spans="1:12" x14ac:dyDescent="0.2">
      <c r="A298" s="99" t="s">
        <v>1050</v>
      </c>
      <c r="B298" s="108" t="s">
        <v>1051</v>
      </c>
      <c r="C298" s="109">
        <v>1531</v>
      </c>
      <c r="D298" s="109">
        <v>49.8</v>
      </c>
      <c r="E298" s="109">
        <f t="shared" si="18"/>
        <v>76243.8</v>
      </c>
      <c r="F298" s="110">
        <f t="shared" si="19"/>
        <v>2.6950760122572111E-3</v>
      </c>
      <c r="G298" s="111">
        <v>3.8554216867469883E-2</v>
      </c>
      <c r="H298" s="110">
        <f t="shared" si="16"/>
        <v>1.0390654505088044E-4</v>
      </c>
      <c r="I298" s="111">
        <v>0.06</v>
      </c>
      <c r="J298" s="110">
        <f t="shared" si="17"/>
        <v>1.6170456073543265E-4</v>
      </c>
      <c r="L298" s="112"/>
    </row>
    <row r="299" spans="1:12" x14ac:dyDescent="0.2">
      <c r="A299" s="99" t="s">
        <v>244</v>
      </c>
      <c r="B299" s="108" t="s">
        <v>245</v>
      </c>
      <c r="C299" s="109">
        <v>126.87</v>
      </c>
      <c r="D299" s="109">
        <v>67.7</v>
      </c>
      <c r="E299" s="109">
        <f t="shared" si="18"/>
        <v>8589.0990000000002</v>
      </c>
      <c r="F299" s="110">
        <f t="shared" si="19"/>
        <v>3.0360861711775119E-4</v>
      </c>
      <c r="G299" s="111">
        <v>1.7725258493353026E-2</v>
      </c>
      <c r="H299" s="110">
        <f t="shared" si="16"/>
        <v>5.3815412192215861E-6</v>
      </c>
      <c r="I299" s="111">
        <v>0.115</v>
      </c>
      <c r="J299" s="110">
        <f t="shared" si="17"/>
        <v>3.4914990968541388E-5</v>
      </c>
      <c r="L299" s="112"/>
    </row>
    <row r="300" spans="1:12" x14ac:dyDescent="0.2">
      <c r="A300" s="99" t="s">
        <v>1298</v>
      </c>
      <c r="B300" s="108" t="s">
        <v>1299</v>
      </c>
      <c r="C300" s="109">
        <v>651.36</v>
      </c>
      <c r="D300" s="109">
        <v>23.01</v>
      </c>
      <c r="E300" s="109">
        <f t="shared" si="18"/>
        <v>14987.793600000001</v>
      </c>
      <c r="F300" s="110">
        <f t="shared" si="19"/>
        <v>5.2979052733497217E-4</v>
      </c>
      <c r="G300" s="111">
        <v>2.1729682746631899E-2</v>
      </c>
      <c r="H300" s="110">
        <f t="shared" si="16"/>
        <v>1.1512180081159759E-5</v>
      </c>
      <c r="I300" s="111">
        <v>0.105</v>
      </c>
      <c r="J300" s="110">
        <f t="shared" si="17"/>
        <v>5.5628005370172077E-5</v>
      </c>
      <c r="L300" s="112"/>
    </row>
    <row r="301" spans="1:12" x14ac:dyDescent="0.2">
      <c r="A301" s="99" t="s">
        <v>1014</v>
      </c>
      <c r="B301" s="108" t="s">
        <v>1015</v>
      </c>
      <c r="C301" s="109">
        <v>224.3</v>
      </c>
      <c r="D301" s="109">
        <v>116.47</v>
      </c>
      <c r="E301" s="109">
        <f t="shared" si="18"/>
        <v>26124.221000000001</v>
      </c>
      <c r="F301" s="110">
        <f t="shared" si="19"/>
        <v>9.2344244851392632E-4</v>
      </c>
      <c r="G301" s="111">
        <v>4.1212329355198765E-2</v>
      </c>
      <c r="H301" s="110">
        <f t="shared" si="16"/>
        <v>3.8057214328727107E-5</v>
      </c>
      <c r="I301" s="111">
        <v>4.4999999999999998E-2</v>
      </c>
      <c r="J301" s="110">
        <f t="shared" si="17"/>
        <v>4.1554910183126685E-5</v>
      </c>
      <c r="L301" s="112"/>
    </row>
    <row r="302" spans="1:12" x14ac:dyDescent="0.2">
      <c r="A302" s="99" t="s">
        <v>1089</v>
      </c>
      <c r="B302" s="108" t="s">
        <v>1090</v>
      </c>
      <c r="C302" s="109">
        <v>410.47699999999998</v>
      </c>
      <c r="D302" s="109">
        <v>154.72999999999999</v>
      </c>
      <c r="E302" s="109">
        <f t="shared" si="18"/>
        <v>63513.106209999991</v>
      </c>
      <c r="F302" s="110">
        <f t="shared" si="19"/>
        <v>2.2450697500716842E-3</v>
      </c>
      <c r="G302" s="111">
        <v>1.6803464098752666E-2</v>
      </c>
      <c r="H302" s="110">
        <f t="shared" si="16"/>
        <v>3.7724948944525165E-5</v>
      </c>
      <c r="I302" s="111">
        <v>6.5000000000000002E-2</v>
      </c>
      <c r="J302" s="110">
        <f t="shared" si="17"/>
        <v>1.4592953375465947E-4</v>
      </c>
      <c r="L302" s="112"/>
    </row>
    <row r="303" spans="1:12" x14ac:dyDescent="0.2">
      <c r="A303" s="99" t="s">
        <v>972</v>
      </c>
      <c r="B303" s="108" t="s">
        <v>973</v>
      </c>
      <c r="C303" s="109">
        <v>184.49799999999999</v>
      </c>
      <c r="D303" s="109">
        <v>231.52</v>
      </c>
      <c r="E303" s="109">
        <f t="shared" si="18"/>
        <v>42714.97696</v>
      </c>
      <c r="F303" s="110">
        <f t="shared" si="19"/>
        <v>1.5098947031629516E-3</v>
      </c>
      <c r="G303" s="111">
        <v>1.3821700069108501E-2</v>
      </c>
      <c r="H303" s="110">
        <f t="shared" si="16"/>
        <v>2.0869311723053928E-5</v>
      </c>
      <c r="I303" s="111">
        <v>0.06</v>
      </c>
      <c r="J303" s="110">
        <f t="shared" si="17"/>
        <v>9.0593682189777099E-5</v>
      </c>
      <c r="L303" s="112"/>
    </row>
    <row r="304" spans="1:12" x14ac:dyDescent="0.2">
      <c r="A304" s="99" t="s">
        <v>1110</v>
      </c>
      <c r="B304" s="108" t="s">
        <v>1111</v>
      </c>
      <c r="C304" s="109">
        <v>214.91200000000001</v>
      </c>
      <c r="D304" s="109">
        <v>36.83</v>
      </c>
      <c r="E304" s="109">
        <f t="shared" si="18"/>
        <v>7915.2089599999999</v>
      </c>
      <c r="F304" s="110">
        <f t="shared" si="19"/>
        <v>2.7978786209631928E-4</v>
      </c>
      <c r="G304" s="111">
        <v>1.3575889220743959E-2</v>
      </c>
      <c r="H304" s="110">
        <f t="shared" si="16"/>
        <v>3.7983690211284179E-6</v>
      </c>
      <c r="I304" s="111">
        <v>0.12</v>
      </c>
      <c r="J304" s="110">
        <f t="shared" si="17"/>
        <v>3.3574543451558312E-5</v>
      </c>
      <c r="L304" s="112"/>
    </row>
    <row r="305" spans="1:12" x14ac:dyDescent="0.2">
      <c r="A305" s="99" t="s">
        <v>1120</v>
      </c>
      <c r="B305" s="108" t="s">
        <v>1121</v>
      </c>
      <c r="C305" s="109">
        <v>148.66399999999999</v>
      </c>
      <c r="D305" s="109">
        <v>53.16</v>
      </c>
      <c r="E305" s="109">
        <f t="shared" si="18"/>
        <v>7902.9782399999986</v>
      </c>
      <c r="F305" s="110">
        <f t="shared" si="19"/>
        <v>2.7935552897435213E-4</v>
      </c>
      <c r="G305" s="111">
        <v>3.0850263355906696E-2</v>
      </c>
      <c r="H305" s="110">
        <f t="shared" si="16"/>
        <v>8.6181916387873869E-6</v>
      </c>
      <c r="I305" s="111">
        <v>6.5000000000000002E-2</v>
      </c>
      <c r="J305" s="110">
        <f t="shared" si="17"/>
        <v>1.8158109383332888E-5</v>
      </c>
      <c r="L305" s="112"/>
    </row>
    <row r="306" spans="1:12" x14ac:dyDescent="0.2">
      <c r="A306" s="99" t="s">
        <v>216</v>
      </c>
      <c r="B306" s="108" t="s">
        <v>217</v>
      </c>
      <c r="C306" s="109">
        <v>127.533</v>
      </c>
      <c r="D306" s="109">
        <v>51.34</v>
      </c>
      <c r="E306" s="109">
        <f t="shared" si="18"/>
        <v>6547.5442200000007</v>
      </c>
      <c r="F306" s="110" t="str">
        <f t="shared" si="19"/>
        <v/>
      </c>
      <c r="G306" s="111" t="s">
        <v>175</v>
      </c>
      <c r="H306" s="110" t="str">
        <f t="shared" si="16"/>
        <v/>
      </c>
      <c r="I306" s="111" t="s">
        <v>175</v>
      </c>
      <c r="J306" s="110" t="str">
        <f t="shared" si="17"/>
        <v/>
      </c>
      <c r="L306" s="112"/>
    </row>
    <row r="307" spans="1:12" x14ac:dyDescent="0.2">
      <c r="A307" s="99" t="s">
        <v>642</v>
      </c>
      <c r="B307" s="108" t="s">
        <v>643</v>
      </c>
      <c r="C307" s="109">
        <v>454.8</v>
      </c>
      <c r="D307" s="109">
        <v>18.510000000000002</v>
      </c>
      <c r="E307" s="109">
        <f t="shared" si="18"/>
        <v>8418.3480000000018</v>
      </c>
      <c r="F307" s="110">
        <f t="shared" si="19"/>
        <v>2.9757288799395453E-4</v>
      </c>
      <c r="G307" s="111">
        <v>4.0518638573743916E-2</v>
      </c>
      <c r="H307" s="110">
        <f t="shared" si="16"/>
        <v>1.2057248297972223E-5</v>
      </c>
      <c r="I307" s="111">
        <v>0.1</v>
      </c>
      <c r="J307" s="110">
        <f t="shared" si="17"/>
        <v>2.9757288799395456E-5</v>
      </c>
      <c r="L307" s="112"/>
    </row>
    <row r="308" spans="1:12" x14ac:dyDescent="0.2">
      <c r="A308" s="99" t="s">
        <v>689</v>
      </c>
      <c r="B308" s="108" t="s">
        <v>690</v>
      </c>
      <c r="C308" s="109">
        <v>492.45699999999999</v>
      </c>
      <c r="D308" s="109">
        <v>330.94</v>
      </c>
      <c r="E308" s="109">
        <f t="shared" si="18"/>
        <v>162973.71958</v>
      </c>
      <c r="F308" s="110">
        <f t="shared" si="19"/>
        <v>5.7608167781300432E-3</v>
      </c>
      <c r="G308" s="111">
        <v>1.414153623013235E-2</v>
      </c>
      <c r="H308" s="110">
        <f t="shared" si="16"/>
        <v>8.1466799183080318E-5</v>
      </c>
      <c r="I308" s="111">
        <v>0.12</v>
      </c>
      <c r="J308" s="110">
        <f t="shared" si="17"/>
        <v>6.9129801337560511E-4</v>
      </c>
      <c r="L308" s="112"/>
    </row>
    <row r="309" spans="1:12" x14ac:dyDescent="0.2">
      <c r="A309" s="99" t="s">
        <v>624</v>
      </c>
      <c r="B309" s="108" t="s">
        <v>625</v>
      </c>
      <c r="C309" s="109">
        <v>280.92500000000001</v>
      </c>
      <c r="D309" s="109">
        <v>422.67</v>
      </c>
      <c r="E309" s="109">
        <f t="shared" si="18"/>
        <v>118738.56975000001</v>
      </c>
      <c r="F309" s="110">
        <f t="shared" si="19"/>
        <v>4.197186801588519E-3</v>
      </c>
      <c r="G309" s="111">
        <v>7.381645255163603E-3</v>
      </c>
      <c r="H309" s="110">
        <f t="shared" si="16"/>
        <v>3.0982144038981191E-5</v>
      </c>
      <c r="I309" s="111">
        <v>0.16500000000000001</v>
      </c>
      <c r="J309" s="110">
        <f t="shared" si="17"/>
        <v>6.9253582226210572E-4</v>
      </c>
      <c r="L309" s="112"/>
    </row>
    <row r="310" spans="1:12" x14ac:dyDescent="0.2">
      <c r="A310" s="99" t="s">
        <v>770</v>
      </c>
      <c r="B310" s="108" t="s">
        <v>771</v>
      </c>
      <c r="C310" s="109">
        <v>1690.1089999999999</v>
      </c>
      <c r="D310" s="109">
        <v>97.33</v>
      </c>
      <c r="E310" s="109">
        <f t="shared" si="18"/>
        <v>164498.30896999998</v>
      </c>
      <c r="F310" s="110">
        <f t="shared" si="19"/>
        <v>5.8147081672466766E-3</v>
      </c>
      <c r="G310" s="111">
        <v>3.1850405835816296E-2</v>
      </c>
      <c r="H310" s="110">
        <f t="shared" si="16"/>
        <v>1.8520081494364222E-4</v>
      </c>
      <c r="I310" s="111">
        <v>8.5000000000000006E-2</v>
      </c>
      <c r="J310" s="110">
        <f t="shared" si="17"/>
        <v>4.9425019421596753E-4</v>
      </c>
      <c r="L310" s="112"/>
    </row>
    <row r="311" spans="1:12" x14ac:dyDescent="0.2">
      <c r="A311" s="99" t="s">
        <v>726</v>
      </c>
      <c r="B311" s="108" t="s">
        <v>727</v>
      </c>
      <c r="C311" s="109">
        <v>550.00900000000001</v>
      </c>
      <c r="D311" s="109">
        <v>77.62</v>
      </c>
      <c r="E311" s="109">
        <f t="shared" si="18"/>
        <v>42691.698580000004</v>
      </c>
      <c r="F311" s="110">
        <f t="shared" si="19"/>
        <v>1.5090718558817011E-3</v>
      </c>
      <c r="G311" s="111">
        <v>1.6902860087606286E-2</v>
      </c>
      <c r="H311" s="110">
        <f t="shared" si="16"/>
        <v>2.5507630442112748E-5</v>
      </c>
      <c r="I311" s="111">
        <v>0.1</v>
      </c>
      <c r="J311" s="110">
        <f t="shared" si="17"/>
        <v>1.5090718558817011E-4</v>
      </c>
      <c r="L311" s="112"/>
    </row>
    <row r="312" spans="1:12" x14ac:dyDescent="0.2">
      <c r="A312" s="99" t="s">
        <v>325</v>
      </c>
      <c r="B312" s="108" t="s">
        <v>326</v>
      </c>
      <c r="C312" s="109">
        <v>415.05</v>
      </c>
      <c r="D312" s="109">
        <v>227.49</v>
      </c>
      <c r="E312" s="109">
        <f t="shared" si="18"/>
        <v>94419.724500000011</v>
      </c>
      <c r="F312" s="110">
        <f t="shared" si="19"/>
        <v>3.3375610158974832E-3</v>
      </c>
      <c r="G312" s="111">
        <v>1.4594048090025935E-2</v>
      </c>
      <c r="H312" s="110">
        <f t="shared" si="16"/>
        <v>4.870852596940368E-5</v>
      </c>
      <c r="I312" s="111">
        <v>0.14499999999999999</v>
      </c>
      <c r="J312" s="110">
        <f t="shared" si="17"/>
        <v>4.8394634730513503E-4</v>
      </c>
      <c r="L312" s="112"/>
    </row>
    <row r="313" spans="1:12" x14ac:dyDescent="0.2">
      <c r="A313" s="99" t="s">
        <v>588</v>
      </c>
      <c r="B313" s="108" t="s">
        <v>589</v>
      </c>
      <c r="C313" s="109">
        <v>246.55099999999999</v>
      </c>
      <c r="D313" s="109">
        <v>81.37</v>
      </c>
      <c r="E313" s="109">
        <f t="shared" si="18"/>
        <v>20061.854869999999</v>
      </c>
      <c r="F313" s="110" t="str">
        <f t="shared" si="19"/>
        <v/>
      </c>
      <c r="G313" s="111" t="s">
        <v>175</v>
      </c>
      <c r="H313" s="110" t="str">
        <f t="shared" si="16"/>
        <v/>
      </c>
      <c r="I313" s="111">
        <v>0.25</v>
      </c>
      <c r="J313" s="110" t="str">
        <f t="shared" si="17"/>
        <v/>
      </c>
      <c r="L313" s="112"/>
    </row>
    <row r="314" spans="1:12" x14ac:dyDescent="0.2">
      <c r="A314" s="99" t="s">
        <v>346</v>
      </c>
      <c r="B314" s="108" t="s">
        <v>347</v>
      </c>
      <c r="C314" s="109">
        <v>492.49099999999999</v>
      </c>
      <c r="D314" s="109">
        <v>43.32</v>
      </c>
      <c r="E314" s="109">
        <f t="shared" si="18"/>
        <v>21334.71012</v>
      </c>
      <c r="F314" s="110">
        <f t="shared" si="19"/>
        <v>7.541421790738809E-4</v>
      </c>
      <c r="G314" s="111">
        <v>3.8781163434903045E-2</v>
      </c>
      <c r="H314" s="110">
        <f t="shared" si="16"/>
        <v>2.9246511099818095E-5</v>
      </c>
      <c r="I314" s="111">
        <v>0.08</v>
      </c>
      <c r="J314" s="110">
        <f t="shared" si="17"/>
        <v>6.0331374325910474E-5</v>
      </c>
      <c r="L314" s="112"/>
    </row>
    <row r="315" spans="1:12" x14ac:dyDescent="0.2">
      <c r="A315" s="99" t="s">
        <v>837</v>
      </c>
      <c r="B315" s="108" t="s">
        <v>838</v>
      </c>
      <c r="C315" s="109">
        <v>62.576000000000001</v>
      </c>
      <c r="D315" s="109">
        <v>792.35</v>
      </c>
      <c r="E315" s="109">
        <f t="shared" si="18"/>
        <v>49582.0936</v>
      </c>
      <c r="F315" s="110">
        <f t="shared" si="19"/>
        <v>1.7526344581310451E-3</v>
      </c>
      <c r="G315" s="111" t="s">
        <v>175</v>
      </c>
      <c r="H315" s="110" t="str">
        <f t="shared" si="16"/>
        <v/>
      </c>
      <c r="I315" s="111">
        <v>0.13</v>
      </c>
      <c r="J315" s="110">
        <f t="shared" si="17"/>
        <v>2.2784247955703586E-4</v>
      </c>
      <c r="L315" s="112"/>
    </row>
    <row r="316" spans="1:12" x14ac:dyDescent="0.2">
      <c r="A316" s="99" t="s">
        <v>218</v>
      </c>
      <c r="B316" s="108" t="s">
        <v>219</v>
      </c>
      <c r="C316" s="109">
        <v>265.20999999999998</v>
      </c>
      <c r="D316" s="109">
        <v>128.47</v>
      </c>
      <c r="E316" s="109">
        <f t="shared" si="18"/>
        <v>34071.528699999995</v>
      </c>
      <c r="F316" s="110">
        <f t="shared" si="19"/>
        <v>1.2043649411532886E-3</v>
      </c>
      <c r="G316" s="111">
        <v>2.6465322643418696E-2</v>
      </c>
      <c r="H316" s="110">
        <f t="shared" si="16"/>
        <v>3.1873906748043754E-5</v>
      </c>
      <c r="I316" s="111">
        <v>2.5000000000000001E-2</v>
      </c>
      <c r="J316" s="110">
        <f t="shared" si="17"/>
        <v>3.0109123528832216E-5</v>
      </c>
      <c r="L316" s="112"/>
    </row>
    <row r="317" spans="1:12" x14ac:dyDescent="0.2">
      <c r="A317" s="99" t="s">
        <v>483</v>
      </c>
      <c r="B317" s="108" t="s">
        <v>484</v>
      </c>
      <c r="C317" s="109">
        <v>377.91899999999998</v>
      </c>
      <c r="D317" s="109">
        <v>63.65</v>
      </c>
      <c r="E317" s="109">
        <f t="shared" si="18"/>
        <v>24054.54435</v>
      </c>
      <c r="F317" s="110" t="str">
        <f t="shared" si="19"/>
        <v/>
      </c>
      <c r="G317" s="111">
        <v>3.927729772191673E-2</v>
      </c>
      <c r="H317" s="110" t="str">
        <f t="shared" si="16"/>
        <v/>
      </c>
      <c r="I317" s="111">
        <v>-0.06</v>
      </c>
      <c r="J317" s="110" t="str">
        <f t="shared" si="17"/>
        <v/>
      </c>
      <c r="L317" s="112"/>
    </row>
    <row r="318" spans="1:12" x14ac:dyDescent="0.2">
      <c r="A318" s="99" t="s">
        <v>311</v>
      </c>
      <c r="B318" s="108" t="s">
        <v>312</v>
      </c>
      <c r="C318" s="109">
        <v>234.154</v>
      </c>
      <c r="D318" s="109">
        <v>47.28</v>
      </c>
      <c r="E318" s="109">
        <f t="shared" si="18"/>
        <v>11070.80112</v>
      </c>
      <c r="F318" s="110">
        <f t="shared" si="19"/>
        <v>3.9133215467988564E-4</v>
      </c>
      <c r="G318" s="111">
        <v>1.4382402707275805E-2</v>
      </c>
      <c r="H318" s="110">
        <f t="shared" si="16"/>
        <v>5.628296640912061E-6</v>
      </c>
      <c r="I318" s="111">
        <v>9.5000000000000001E-2</v>
      </c>
      <c r="J318" s="110">
        <f t="shared" si="17"/>
        <v>3.7176554694589134E-5</v>
      </c>
      <c r="L318" s="112"/>
    </row>
    <row r="319" spans="1:12" x14ac:dyDescent="0.2">
      <c r="A319" s="99" t="s">
        <v>1300</v>
      </c>
      <c r="B319" s="108" t="s">
        <v>1301</v>
      </c>
      <c r="C319" s="109">
        <v>1416.251</v>
      </c>
      <c r="D319" s="109">
        <v>35.28</v>
      </c>
      <c r="E319" s="109">
        <f t="shared" si="18"/>
        <v>49965.335279999999</v>
      </c>
      <c r="F319" s="110">
        <f t="shared" si="19"/>
        <v>1.7661813361547684E-3</v>
      </c>
      <c r="G319" s="111">
        <v>2.2675736961451247E-2</v>
      </c>
      <c r="H319" s="110">
        <f t="shared" si="16"/>
        <v>4.0049463404870035E-5</v>
      </c>
      <c r="I319" s="111">
        <v>0.115</v>
      </c>
      <c r="J319" s="110">
        <f t="shared" si="17"/>
        <v>2.0311085365779837E-4</v>
      </c>
      <c r="L319" s="112"/>
    </row>
    <row r="320" spans="1:12" x14ac:dyDescent="0.2">
      <c r="A320" s="99" t="s">
        <v>829</v>
      </c>
      <c r="B320" s="108" t="s">
        <v>830</v>
      </c>
      <c r="C320" s="109">
        <v>254.364</v>
      </c>
      <c r="D320" s="109">
        <v>30.13</v>
      </c>
      <c r="E320" s="109">
        <f t="shared" si="18"/>
        <v>7663.9873200000002</v>
      </c>
      <c r="F320" s="110" t="str">
        <f t="shared" si="19"/>
        <v/>
      </c>
      <c r="G320" s="111">
        <v>3.7172253567872557E-2</v>
      </c>
      <c r="H320" s="110" t="str">
        <f t="shared" si="16"/>
        <v/>
      </c>
      <c r="I320" s="111" t="s">
        <v>175</v>
      </c>
      <c r="J320" s="110" t="str">
        <f t="shared" si="17"/>
        <v/>
      </c>
      <c r="L320" s="112"/>
    </row>
    <row r="321" spans="1:12" x14ac:dyDescent="0.2">
      <c r="A321" s="99" t="s">
        <v>600</v>
      </c>
      <c r="B321" s="108" t="s">
        <v>601</v>
      </c>
      <c r="C321" s="109">
        <v>715.02800000000002</v>
      </c>
      <c r="D321" s="109">
        <v>18.850000000000001</v>
      </c>
      <c r="E321" s="109">
        <f t="shared" si="18"/>
        <v>13478.277800000002</v>
      </c>
      <c r="F321" s="110" t="str">
        <f t="shared" si="19"/>
        <v/>
      </c>
      <c r="G321" s="111">
        <v>2.5464190981432357E-2</v>
      </c>
      <c r="H321" s="110" t="str">
        <f t="shared" si="16"/>
        <v/>
      </c>
      <c r="I321" s="111">
        <v>0.59499999999999997</v>
      </c>
      <c r="J321" s="110" t="str">
        <f t="shared" si="17"/>
        <v/>
      </c>
      <c r="L321" s="112"/>
    </row>
    <row r="322" spans="1:12" x14ac:dyDescent="0.2">
      <c r="A322" s="99" t="s">
        <v>620</v>
      </c>
      <c r="B322" s="108" t="s">
        <v>621</v>
      </c>
      <c r="C322" s="109">
        <v>222.47499999999999</v>
      </c>
      <c r="D322" s="109">
        <v>85.14</v>
      </c>
      <c r="E322" s="109">
        <f t="shared" si="18"/>
        <v>18941.521499999999</v>
      </c>
      <c r="F322" s="110" t="str">
        <f t="shared" si="19"/>
        <v/>
      </c>
      <c r="G322" s="111" t="s">
        <v>175</v>
      </c>
      <c r="H322" s="110" t="str">
        <f t="shared" si="16"/>
        <v/>
      </c>
      <c r="I322" s="111">
        <v>0.255</v>
      </c>
      <c r="J322" s="110" t="str">
        <f t="shared" si="17"/>
        <v/>
      </c>
      <c r="L322" s="112"/>
    </row>
    <row r="323" spans="1:12" x14ac:dyDescent="0.2">
      <c r="A323" s="99" t="s">
        <v>960</v>
      </c>
      <c r="B323" s="108" t="s">
        <v>961</v>
      </c>
      <c r="C323" s="109">
        <v>326.94600000000003</v>
      </c>
      <c r="D323" s="109">
        <v>128.46</v>
      </c>
      <c r="E323" s="109">
        <f t="shared" si="18"/>
        <v>41999.483160000003</v>
      </c>
      <c r="F323" s="110">
        <f t="shared" si="19"/>
        <v>1.4846033328836797E-3</v>
      </c>
      <c r="G323" s="111">
        <v>5.6048575432041101E-2</v>
      </c>
      <c r="H323" s="110">
        <f t="shared" si="16"/>
        <v>8.3209901889790547E-5</v>
      </c>
      <c r="I323" s="111">
        <v>0.03</v>
      </c>
      <c r="J323" s="110">
        <f t="shared" si="17"/>
        <v>4.453809998651039E-5</v>
      </c>
      <c r="L323" s="112"/>
    </row>
    <row r="324" spans="1:12" x14ac:dyDescent="0.2">
      <c r="A324" s="99" t="s">
        <v>471</v>
      </c>
      <c r="B324" s="108" t="s">
        <v>472</v>
      </c>
      <c r="C324" s="109">
        <v>119.99</v>
      </c>
      <c r="D324" s="109">
        <v>88.17</v>
      </c>
      <c r="E324" s="109">
        <f t="shared" si="18"/>
        <v>10579.5183</v>
      </c>
      <c r="F324" s="110">
        <f t="shared" si="19"/>
        <v>3.7396622402826441E-4</v>
      </c>
      <c r="G324" s="111">
        <v>3.5839854825904502E-2</v>
      </c>
      <c r="H324" s="110">
        <f t="shared" si="16"/>
        <v>1.3402895178964677E-5</v>
      </c>
      <c r="I324" s="111">
        <v>7.0000000000000007E-2</v>
      </c>
      <c r="J324" s="110">
        <f t="shared" si="17"/>
        <v>2.6177635681978512E-5</v>
      </c>
      <c r="L324" s="112"/>
    </row>
    <row r="325" spans="1:12" x14ac:dyDescent="0.2">
      <c r="A325" s="99" t="s">
        <v>259</v>
      </c>
      <c r="B325" s="108" t="s">
        <v>260</v>
      </c>
      <c r="C325" s="109">
        <v>139.89699999999999</v>
      </c>
      <c r="D325" s="109">
        <v>177.44</v>
      </c>
      <c r="E325" s="109">
        <f t="shared" si="18"/>
        <v>24823.323679999998</v>
      </c>
      <c r="F325" s="110">
        <f t="shared" si="19"/>
        <v>8.7745815652504717E-4</v>
      </c>
      <c r="G325" s="111">
        <v>3.5843101893597837E-2</v>
      </c>
      <c r="H325" s="110">
        <f t="shared" si="16"/>
        <v>3.1450822111695782E-5</v>
      </c>
      <c r="I325" s="111">
        <v>0.09</v>
      </c>
      <c r="J325" s="110">
        <f t="shared" si="17"/>
        <v>7.8971234087254246E-5</v>
      </c>
      <c r="L325" s="112"/>
    </row>
    <row r="326" spans="1:12" x14ac:dyDescent="0.2">
      <c r="A326" s="99" t="s">
        <v>888</v>
      </c>
      <c r="B326" s="108" t="s">
        <v>889</v>
      </c>
      <c r="C326" s="109">
        <v>368</v>
      </c>
      <c r="D326" s="109">
        <v>104.94</v>
      </c>
      <c r="E326" s="109">
        <f t="shared" si="18"/>
        <v>38617.919999999998</v>
      </c>
      <c r="F326" s="110">
        <f t="shared" si="19"/>
        <v>1.3650713872507402E-3</v>
      </c>
      <c r="G326" s="111">
        <v>4.5740423098913664E-2</v>
      </c>
      <c r="H326" s="110">
        <f t="shared" si="16"/>
        <v>6.2438942813069871E-5</v>
      </c>
      <c r="I326" s="111">
        <v>0.05</v>
      </c>
      <c r="J326" s="110">
        <f t="shared" si="17"/>
        <v>6.8253569362537015E-5</v>
      </c>
      <c r="L326" s="112"/>
    </row>
    <row r="327" spans="1:12" x14ac:dyDescent="0.2">
      <c r="A327" s="99" t="s">
        <v>1046</v>
      </c>
      <c r="B327" s="108" t="s">
        <v>1047</v>
      </c>
      <c r="C327" s="109">
        <v>729.82100000000003</v>
      </c>
      <c r="D327" s="109">
        <v>185.23</v>
      </c>
      <c r="E327" s="109">
        <f t="shared" si="18"/>
        <v>135184.74382999999</v>
      </c>
      <c r="F327" s="110">
        <f t="shared" si="19"/>
        <v>4.7785283566581021E-3</v>
      </c>
      <c r="G327" s="111">
        <v>3.4983533984775689E-2</v>
      </c>
      <c r="H327" s="110">
        <f t="shared" si="16"/>
        <v>1.6716980916236303E-4</v>
      </c>
      <c r="I327" s="111">
        <v>0.115</v>
      </c>
      <c r="J327" s="110">
        <f t="shared" si="17"/>
        <v>5.4953076101568179E-4</v>
      </c>
      <c r="L327" s="112"/>
    </row>
    <row r="328" spans="1:12" x14ac:dyDescent="0.2">
      <c r="A328" s="99" t="s">
        <v>1076</v>
      </c>
      <c r="B328" s="108" t="s">
        <v>1077</v>
      </c>
      <c r="C328" s="109">
        <v>862.50400000000002</v>
      </c>
      <c r="D328" s="109">
        <v>36.86</v>
      </c>
      <c r="E328" s="109">
        <f t="shared" si="18"/>
        <v>31791.897440000001</v>
      </c>
      <c r="F328" s="110">
        <f t="shared" si="19"/>
        <v>1.1237842313038626E-3</v>
      </c>
      <c r="G328" s="111">
        <v>5.2088985349972868E-2</v>
      </c>
      <c r="H328" s="110">
        <f t="shared" si="16"/>
        <v>5.8536780360917422E-5</v>
      </c>
      <c r="I328" s="111">
        <v>0.03</v>
      </c>
      <c r="J328" s="110">
        <f t="shared" si="17"/>
        <v>3.3713526939115877E-5</v>
      </c>
      <c r="L328" s="112"/>
    </row>
    <row r="329" spans="1:12" x14ac:dyDescent="0.2">
      <c r="A329" s="99" t="s">
        <v>966</v>
      </c>
      <c r="B329" s="108" t="s">
        <v>967</v>
      </c>
      <c r="C329" s="109">
        <v>99.822999999999993</v>
      </c>
      <c r="D329" s="109">
        <v>206.51</v>
      </c>
      <c r="E329" s="109">
        <f t="shared" si="18"/>
        <v>20614.447729999996</v>
      </c>
      <c r="F329" s="110">
        <f t="shared" si="19"/>
        <v>7.2868224803922558E-4</v>
      </c>
      <c r="G329" s="111">
        <v>9.1036753668103237E-3</v>
      </c>
      <c r="H329" s="110">
        <f t="shared" si="16"/>
        <v>6.6336866317066686E-6</v>
      </c>
      <c r="I329" s="111">
        <v>0.1</v>
      </c>
      <c r="J329" s="110">
        <f t="shared" si="17"/>
        <v>7.2868224803922555E-5</v>
      </c>
      <c r="L329" s="112"/>
    </row>
    <row r="330" spans="1:12" x14ac:dyDescent="0.2">
      <c r="A330" s="99" t="s">
        <v>728</v>
      </c>
      <c r="B330" s="108" t="s">
        <v>729</v>
      </c>
      <c r="C330" s="109">
        <v>141.79300000000001</v>
      </c>
      <c r="D330" s="109">
        <v>378.68</v>
      </c>
      <c r="E330" s="109">
        <f t="shared" si="18"/>
        <v>53694.173240000004</v>
      </c>
      <c r="F330" s="110">
        <f t="shared" si="19"/>
        <v>1.8979887977397122E-3</v>
      </c>
      <c r="G330" s="111">
        <v>5.70402450617936E-3</v>
      </c>
      <c r="H330" s="110">
        <f t="shared" si="16"/>
        <v>1.0826174614761219E-5</v>
      </c>
      <c r="I330" s="111">
        <v>0.1</v>
      </c>
      <c r="J330" s="110">
        <f t="shared" si="17"/>
        <v>1.8979887977397123E-4</v>
      </c>
      <c r="L330" s="112"/>
    </row>
    <row r="331" spans="1:12" x14ac:dyDescent="0.2">
      <c r="A331" s="99" t="s">
        <v>695</v>
      </c>
      <c r="B331" s="108" t="s">
        <v>696</v>
      </c>
      <c r="C331" s="109">
        <v>255.297</v>
      </c>
      <c r="D331" s="109">
        <v>463.26</v>
      </c>
      <c r="E331" s="109">
        <f t="shared" si="18"/>
        <v>118268.88821999999</v>
      </c>
      <c r="F331" s="110">
        <f t="shared" si="19"/>
        <v>4.1805844362171277E-3</v>
      </c>
      <c r="G331" s="111">
        <v>2.5903380391141043E-2</v>
      </c>
      <c r="H331" s="110">
        <f t="shared" si="16"/>
        <v>1.0829126890861618E-4</v>
      </c>
      <c r="I331" s="111">
        <v>0.08</v>
      </c>
      <c r="J331" s="110">
        <f t="shared" si="17"/>
        <v>3.3444675489737022E-4</v>
      </c>
      <c r="L331" s="112"/>
    </row>
    <row r="332" spans="1:12" x14ac:dyDescent="0.2">
      <c r="A332" s="99" t="s">
        <v>182</v>
      </c>
      <c r="B332" s="108" t="s">
        <v>183</v>
      </c>
      <c r="C332" s="109">
        <v>202.23599999999999</v>
      </c>
      <c r="D332" s="109">
        <v>168.96</v>
      </c>
      <c r="E332" s="109">
        <f t="shared" si="18"/>
        <v>34169.794560000002</v>
      </c>
      <c r="F332" s="110">
        <f t="shared" si="19"/>
        <v>1.2078384558798609E-3</v>
      </c>
      <c r="G332" s="111">
        <v>1.1482007575757574E-2</v>
      </c>
      <c r="H332" s="110">
        <f t="shared" si="16"/>
        <v>1.3868410300703894E-5</v>
      </c>
      <c r="I332" s="111">
        <v>8.5000000000000006E-2</v>
      </c>
      <c r="J332" s="110">
        <f t="shared" si="17"/>
        <v>1.0266626874978818E-4</v>
      </c>
      <c r="L332" s="112"/>
    </row>
    <row r="333" spans="1:12" x14ac:dyDescent="0.2">
      <c r="A333" s="99" t="s">
        <v>377</v>
      </c>
      <c r="B333" s="108" t="s">
        <v>378</v>
      </c>
      <c r="C333" s="109">
        <v>381.3</v>
      </c>
      <c r="D333" s="109">
        <v>119</v>
      </c>
      <c r="E333" s="109">
        <f t="shared" si="18"/>
        <v>45374.700000000004</v>
      </c>
      <c r="F333" s="110" t="str">
        <f t="shared" si="19"/>
        <v/>
      </c>
      <c r="G333" s="111">
        <v>2.0168067226890754E-2</v>
      </c>
      <c r="H333" s="110" t="str">
        <f t="shared" si="16"/>
        <v/>
      </c>
      <c r="I333" s="111" t="s">
        <v>175</v>
      </c>
      <c r="J333" s="110" t="str">
        <f t="shared" si="17"/>
        <v/>
      </c>
      <c r="L333" s="112"/>
    </row>
    <row r="334" spans="1:12" x14ac:dyDescent="0.2">
      <c r="A334" s="99" t="s">
        <v>1074</v>
      </c>
      <c r="B334" s="108" t="s">
        <v>1075</v>
      </c>
      <c r="C334" s="109">
        <v>59.408000000000001</v>
      </c>
      <c r="D334" s="109">
        <v>328.58</v>
      </c>
      <c r="E334" s="109">
        <f t="shared" si="18"/>
        <v>19520.280640000001</v>
      </c>
      <c r="F334" s="110">
        <f t="shared" si="19"/>
        <v>6.9000548379530974E-4</v>
      </c>
      <c r="G334" s="111" t="s">
        <v>175</v>
      </c>
      <c r="H334" s="110" t="str">
        <f t="shared" si="16"/>
        <v/>
      </c>
      <c r="I334" s="111">
        <v>0.06</v>
      </c>
      <c r="J334" s="110">
        <f t="shared" si="17"/>
        <v>4.1400329027718581E-5</v>
      </c>
      <c r="L334" s="112"/>
    </row>
    <row r="335" spans="1:12" x14ac:dyDescent="0.2">
      <c r="A335" s="99" t="s">
        <v>790</v>
      </c>
      <c r="B335" s="108" t="s">
        <v>791</v>
      </c>
      <c r="C335" s="109">
        <v>57.179000000000002</v>
      </c>
      <c r="D335" s="109">
        <v>243.3</v>
      </c>
      <c r="E335" s="109">
        <f t="shared" si="18"/>
        <v>13911.650700000002</v>
      </c>
      <c r="F335" s="110">
        <f t="shared" si="19"/>
        <v>4.9175088456335128E-4</v>
      </c>
      <c r="G335" s="111">
        <v>1.0686395396629675E-2</v>
      </c>
      <c r="H335" s="110">
        <f t="shared" si="16"/>
        <v>5.2550443890863674E-6</v>
      </c>
      <c r="I335" s="111">
        <v>0.12</v>
      </c>
      <c r="J335" s="110">
        <f t="shared" si="17"/>
        <v>5.9010106147602148E-5</v>
      </c>
      <c r="L335" s="112"/>
    </row>
    <row r="336" spans="1:12" x14ac:dyDescent="0.2">
      <c r="A336" s="99" t="s">
        <v>439</v>
      </c>
      <c r="B336" s="108" t="s">
        <v>440</v>
      </c>
      <c r="C336" s="109">
        <v>221.184</v>
      </c>
      <c r="D336" s="109">
        <v>150.18</v>
      </c>
      <c r="E336" s="109">
        <f t="shared" si="18"/>
        <v>33217.413120000005</v>
      </c>
      <c r="F336" s="110">
        <f t="shared" si="19"/>
        <v>1.174173549704369E-3</v>
      </c>
      <c r="G336" s="111" t="s">
        <v>175</v>
      </c>
      <c r="H336" s="110" t="str">
        <f t="shared" si="16"/>
        <v/>
      </c>
      <c r="I336" s="111">
        <v>0.12</v>
      </c>
      <c r="J336" s="110">
        <f t="shared" si="17"/>
        <v>1.4090082596452427E-4</v>
      </c>
      <c r="L336" s="112"/>
    </row>
    <row r="337" spans="1:12" x14ac:dyDescent="0.2">
      <c r="A337" s="99" t="s">
        <v>447</v>
      </c>
      <c r="B337" s="108" t="s">
        <v>448</v>
      </c>
      <c r="C337" s="109">
        <v>121.705</v>
      </c>
      <c r="D337" s="109">
        <v>147.97</v>
      </c>
      <c r="E337" s="109">
        <f t="shared" si="18"/>
        <v>18008.688849999999</v>
      </c>
      <c r="F337" s="110" t="str">
        <f t="shared" si="19"/>
        <v/>
      </c>
      <c r="G337" s="111">
        <v>3.2709332972899914E-2</v>
      </c>
      <c r="H337" s="110" t="str">
        <f t="shared" si="16"/>
        <v/>
      </c>
      <c r="I337" s="111">
        <v>0.215</v>
      </c>
      <c r="J337" s="110" t="str">
        <f t="shared" si="17"/>
        <v/>
      </c>
      <c r="L337" s="112"/>
    </row>
    <row r="338" spans="1:12" x14ac:dyDescent="0.2">
      <c r="A338" s="99" t="s">
        <v>492</v>
      </c>
      <c r="B338" s="108" t="s">
        <v>66</v>
      </c>
      <c r="C338" s="109">
        <v>229.47800000000001</v>
      </c>
      <c r="D338" s="109">
        <v>62.65</v>
      </c>
      <c r="E338" s="109">
        <f t="shared" si="18"/>
        <v>14376.796700000001</v>
      </c>
      <c r="F338" s="110">
        <f t="shared" si="19"/>
        <v>5.0819292741532604E-4</v>
      </c>
      <c r="G338" s="111">
        <v>3.9106145251396648E-2</v>
      </c>
      <c r="H338" s="110">
        <f t="shared" si="16"/>
        <v>1.9873466435236214E-5</v>
      </c>
      <c r="I338" s="111">
        <v>7.4999999999999997E-2</v>
      </c>
      <c r="J338" s="110">
        <f t="shared" si="17"/>
        <v>3.811446955614945E-5</v>
      </c>
      <c r="L338" s="112"/>
    </row>
    <row r="339" spans="1:12" x14ac:dyDescent="0.2">
      <c r="A339" s="99" t="s">
        <v>780</v>
      </c>
      <c r="B339" s="108" t="s">
        <v>781</v>
      </c>
      <c r="C339" s="109">
        <v>279.30599999999998</v>
      </c>
      <c r="D339" s="109">
        <v>54.12</v>
      </c>
      <c r="E339" s="109">
        <f t="shared" si="18"/>
        <v>15116.040719999999</v>
      </c>
      <c r="F339" s="110" t="str">
        <f t="shared" si="19"/>
        <v/>
      </c>
      <c r="G339" s="111" t="s">
        <v>175</v>
      </c>
      <c r="H339" s="110" t="str">
        <f t="shared" ref="H339:H402" si="20">IFERROR($G339*$F339,"")</f>
        <v/>
      </c>
      <c r="I339" s="111">
        <v>0.21</v>
      </c>
      <c r="J339" s="110" t="str">
        <f t="shared" ref="J339:J402" si="21">IFERROR($I339*$F339,"")</f>
        <v/>
      </c>
      <c r="L339" s="112"/>
    </row>
    <row r="340" spans="1:12" x14ac:dyDescent="0.2">
      <c r="A340" s="99" t="s">
        <v>445</v>
      </c>
      <c r="B340" s="108" t="s">
        <v>446</v>
      </c>
      <c r="C340" s="109">
        <v>35.399000000000001</v>
      </c>
      <c r="D340" s="109">
        <v>353</v>
      </c>
      <c r="E340" s="109">
        <f t="shared" ref="E340:E403" si="22">IFERROR(C340*D340,"")</f>
        <v>12495.847</v>
      </c>
      <c r="F340" s="110">
        <f t="shared" ref="F340:F403" si="23">IF(AND(ISNUMBER($I340)), IF(AND($I340&lt;=20%,$I340&gt;0%), $E340/SUMIFS($E$19:$E$521,$I$19:$I$521, "&gt;"&amp;0%,$I$19:$I$521, "&lt;="&amp;20%),""),"")</f>
        <v>4.4170486652732723E-4</v>
      </c>
      <c r="G340" s="111">
        <v>1.246458923512748E-2</v>
      </c>
      <c r="H340" s="110">
        <f t="shared" si="20"/>
        <v>5.5056697244199432E-6</v>
      </c>
      <c r="I340" s="111">
        <v>0.14000000000000001</v>
      </c>
      <c r="J340" s="110">
        <f t="shared" si="21"/>
        <v>6.1838681313825818E-5</v>
      </c>
      <c r="L340" s="112"/>
    </row>
    <row r="341" spans="1:12" x14ac:dyDescent="0.2">
      <c r="A341" s="99" t="s">
        <v>816</v>
      </c>
      <c r="B341" s="108" t="s">
        <v>817</v>
      </c>
      <c r="C341" s="109">
        <v>3.1960000000000002</v>
      </c>
      <c r="D341" s="109">
        <v>5270</v>
      </c>
      <c r="E341" s="109">
        <f t="shared" si="22"/>
        <v>16842.920000000002</v>
      </c>
      <c r="F341" s="110">
        <f t="shared" si="23"/>
        <v>5.9536578277010366E-4</v>
      </c>
      <c r="G341" s="111" t="s">
        <v>175</v>
      </c>
      <c r="H341" s="110" t="str">
        <f t="shared" si="20"/>
        <v/>
      </c>
      <c r="I341" s="111">
        <v>5.5E-2</v>
      </c>
      <c r="J341" s="110">
        <f t="shared" si="21"/>
        <v>3.2745118052355705E-5</v>
      </c>
      <c r="L341" s="112"/>
    </row>
    <row r="342" spans="1:12" x14ac:dyDescent="0.2">
      <c r="A342" s="99" t="s">
        <v>808</v>
      </c>
      <c r="B342" s="108" t="s">
        <v>809</v>
      </c>
      <c r="C342" s="109">
        <v>215.57300000000001</v>
      </c>
      <c r="D342" s="109">
        <v>66.23</v>
      </c>
      <c r="E342" s="109">
        <f t="shared" si="22"/>
        <v>14277.399790000001</v>
      </c>
      <c r="F342" s="110">
        <f t="shared" si="23"/>
        <v>5.0467943218248756E-4</v>
      </c>
      <c r="G342" s="111">
        <v>3.019779556092405E-2</v>
      </c>
      <c r="H342" s="110">
        <f t="shared" si="20"/>
        <v>1.5240206316849992E-5</v>
      </c>
      <c r="I342" s="111">
        <v>8.5000000000000006E-2</v>
      </c>
      <c r="J342" s="110">
        <f t="shared" si="21"/>
        <v>4.2897751735511445E-5</v>
      </c>
      <c r="L342" s="112"/>
    </row>
    <row r="343" spans="1:12" x14ac:dyDescent="0.2">
      <c r="A343" s="99" t="s">
        <v>456</v>
      </c>
      <c r="B343" s="108" t="s">
        <v>457</v>
      </c>
      <c r="C343" s="109">
        <v>230.065</v>
      </c>
      <c r="D343" s="109">
        <v>28.73</v>
      </c>
      <c r="E343" s="109">
        <f t="shared" si="22"/>
        <v>6609.7674500000003</v>
      </c>
      <c r="F343" s="110">
        <f t="shared" si="23"/>
        <v>2.3364294147318885E-4</v>
      </c>
      <c r="G343" s="111" t="s">
        <v>175</v>
      </c>
      <c r="H343" s="110" t="str">
        <f t="shared" si="20"/>
        <v/>
      </c>
      <c r="I343" s="111">
        <v>0.12</v>
      </c>
      <c r="J343" s="110">
        <f t="shared" si="21"/>
        <v>2.8037152976782662E-5</v>
      </c>
      <c r="L343" s="112"/>
    </row>
    <row r="344" spans="1:12" x14ac:dyDescent="0.2">
      <c r="A344" s="99" t="s">
        <v>827</v>
      </c>
      <c r="B344" s="108" t="s">
        <v>828</v>
      </c>
      <c r="C344" s="109">
        <v>110.482</v>
      </c>
      <c r="D344" s="109">
        <v>333.24</v>
      </c>
      <c r="E344" s="109">
        <f t="shared" si="22"/>
        <v>36817.021679999998</v>
      </c>
      <c r="F344" s="110">
        <f t="shared" si="23"/>
        <v>1.3014129932207167E-3</v>
      </c>
      <c r="G344" s="111">
        <v>3.6010082823190489E-3</v>
      </c>
      <c r="H344" s="110">
        <f t="shared" si="20"/>
        <v>4.6863989673054247E-6</v>
      </c>
      <c r="I344" s="111">
        <v>0.115</v>
      </c>
      <c r="J344" s="110">
        <f t="shared" si="21"/>
        <v>1.4966249422038242E-4</v>
      </c>
      <c r="L344" s="112"/>
    </row>
    <row r="345" spans="1:12" x14ac:dyDescent="0.2">
      <c r="A345" s="99" t="s">
        <v>452</v>
      </c>
      <c r="B345" s="108" t="s">
        <v>453</v>
      </c>
      <c r="C345" s="109">
        <v>90.1</v>
      </c>
      <c r="D345" s="109">
        <v>82.39</v>
      </c>
      <c r="E345" s="109">
        <f t="shared" si="22"/>
        <v>7423.3389999999999</v>
      </c>
      <c r="F345" s="110">
        <f t="shared" si="23"/>
        <v>2.624011771416618E-4</v>
      </c>
      <c r="G345" s="111" t="s">
        <v>175</v>
      </c>
      <c r="H345" s="110" t="str">
        <f t="shared" si="20"/>
        <v/>
      </c>
      <c r="I345" s="111">
        <v>8.5000000000000006E-2</v>
      </c>
      <c r="J345" s="110">
        <f t="shared" si="21"/>
        <v>2.2304100057041254E-5</v>
      </c>
      <c r="L345" s="112"/>
    </row>
    <row r="346" spans="1:12" x14ac:dyDescent="0.2">
      <c r="A346" s="99" t="s">
        <v>582</v>
      </c>
      <c r="B346" s="108" t="s">
        <v>583</v>
      </c>
      <c r="C346" s="109">
        <v>318.09899999999999</v>
      </c>
      <c r="D346" s="109">
        <v>77.61</v>
      </c>
      <c r="E346" s="109">
        <f t="shared" si="22"/>
        <v>24687.663389999998</v>
      </c>
      <c r="F346" s="110">
        <f t="shared" si="23"/>
        <v>8.7266281849894068E-4</v>
      </c>
      <c r="G346" s="111">
        <v>2.1904393763690244E-2</v>
      </c>
      <c r="H346" s="110">
        <f t="shared" si="20"/>
        <v>1.9115149999332548E-5</v>
      </c>
      <c r="I346" s="111">
        <v>6.5000000000000002E-2</v>
      </c>
      <c r="J346" s="110">
        <f t="shared" si="21"/>
        <v>5.6723083202431143E-5</v>
      </c>
      <c r="L346" s="112"/>
    </row>
    <row r="347" spans="1:12" x14ac:dyDescent="0.2">
      <c r="A347" s="99" t="s">
        <v>634</v>
      </c>
      <c r="B347" s="108" t="s">
        <v>635</v>
      </c>
      <c r="C347" s="109">
        <v>290.714</v>
      </c>
      <c r="D347" s="109">
        <v>54.58</v>
      </c>
      <c r="E347" s="109">
        <f t="shared" si="22"/>
        <v>15867.170119999999</v>
      </c>
      <c r="F347" s="110">
        <f t="shared" si="23"/>
        <v>5.608748458604682E-4</v>
      </c>
      <c r="G347" s="111">
        <v>4.5327958959325766E-2</v>
      </c>
      <c r="H347" s="110">
        <f t="shared" si="20"/>
        <v>2.5423311994481469E-5</v>
      </c>
      <c r="I347" s="111">
        <v>0.11</v>
      </c>
      <c r="J347" s="110">
        <f t="shared" si="21"/>
        <v>6.1696233044651502E-5</v>
      </c>
      <c r="L347" s="112"/>
    </row>
    <row r="348" spans="1:12" x14ac:dyDescent="0.2">
      <c r="A348" s="99" t="s">
        <v>469</v>
      </c>
      <c r="B348" s="108" t="s">
        <v>470</v>
      </c>
      <c r="C348" s="109">
        <v>231.27</v>
      </c>
      <c r="D348" s="109">
        <v>277.08</v>
      </c>
      <c r="E348" s="109">
        <f t="shared" si="22"/>
        <v>64080.291599999997</v>
      </c>
      <c r="F348" s="110">
        <f t="shared" si="23"/>
        <v>2.2651186948920076E-3</v>
      </c>
      <c r="G348" s="111">
        <v>9.5279341706366403E-3</v>
      </c>
      <c r="H348" s="110">
        <f t="shared" si="20"/>
        <v>2.1581901813609431E-5</v>
      </c>
      <c r="I348" s="111">
        <v>0.14000000000000001</v>
      </c>
      <c r="J348" s="110">
        <f t="shared" si="21"/>
        <v>3.1711661728488108E-4</v>
      </c>
      <c r="L348" s="112"/>
    </row>
    <row r="349" spans="1:12" x14ac:dyDescent="0.2">
      <c r="A349" s="99" t="s">
        <v>336</v>
      </c>
      <c r="B349" s="108" t="s">
        <v>337</v>
      </c>
      <c r="C349" s="109">
        <v>274.31599999999997</v>
      </c>
      <c r="D349" s="109">
        <v>182.83</v>
      </c>
      <c r="E349" s="109">
        <f t="shared" si="22"/>
        <v>50153.194279999996</v>
      </c>
      <c r="F349" s="110">
        <f t="shared" si="23"/>
        <v>1.772821801144533E-3</v>
      </c>
      <c r="G349" s="111" t="s">
        <v>175</v>
      </c>
      <c r="H349" s="110" t="str">
        <f t="shared" si="20"/>
        <v/>
      </c>
      <c r="I349" s="111">
        <v>0.12</v>
      </c>
      <c r="J349" s="110">
        <f t="shared" si="21"/>
        <v>2.1273861613734397E-4</v>
      </c>
      <c r="L349" s="112"/>
    </row>
    <row r="350" spans="1:12" x14ac:dyDescent="0.2">
      <c r="A350" s="99" t="s">
        <v>1032</v>
      </c>
      <c r="B350" s="108" t="s">
        <v>1033</v>
      </c>
      <c r="C350" s="109">
        <v>41.64</v>
      </c>
      <c r="D350" s="109">
        <v>322.77</v>
      </c>
      <c r="E350" s="109">
        <f t="shared" si="22"/>
        <v>13440.1428</v>
      </c>
      <c r="F350" s="110">
        <f t="shared" si="23"/>
        <v>4.7508396042158791E-4</v>
      </c>
      <c r="G350" s="111" t="s">
        <v>175</v>
      </c>
      <c r="H350" s="110" t="str">
        <f t="shared" si="20"/>
        <v/>
      </c>
      <c r="I350" s="111">
        <v>0.12</v>
      </c>
      <c r="J350" s="110">
        <f t="shared" si="21"/>
        <v>5.7010075250590547E-5</v>
      </c>
      <c r="L350" s="112"/>
    </row>
    <row r="351" spans="1:12" x14ac:dyDescent="0.2">
      <c r="A351" s="99" t="s">
        <v>1038</v>
      </c>
      <c r="B351" s="108" t="s">
        <v>1039</v>
      </c>
      <c r="C351" s="109">
        <v>64.156999999999996</v>
      </c>
      <c r="D351" s="109">
        <v>148.21</v>
      </c>
      <c r="E351" s="109">
        <f t="shared" si="22"/>
        <v>9508.7089699999997</v>
      </c>
      <c r="F351" s="110">
        <f t="shared" si="23"/>
        <v>3.3611511300042722E-4</v>
      </c>
      <c r="G351" s="111">
        <v>5.3977464408609408E-3</v>
      </c>
      <c r="H351" s="110">
        <f t="shared" si="20"/>
        <v>1.8142641549176288E-6</v>
      </c>
      <c r="I351" s="111">
        <v>7.0000000000000007E-2</v>
      </c>
      <c r="J351" s="110">
        <f t="shared" si="21"/>
        <v>2.3528057910029906E-5</v>
      </c>
      <c r="L351" s="112"/>
    </row>
    <row r="352" spans="1:12" x14ac:dyDescent="0.2">
      <c r="A352" s="99" t="s">
        <v>976</v>
      </c>
      <c r="B352" s="108" t="s">
        <v>977</v>
      </c>
      <c r="C352" s="109">
        <v>160.161</v>
      </c>
      <c r="D352" s="109">
        <v>109.67</v>
      </c>
      <c r="E352" s="109">
        <f t="shared" si="22"/>
        <v>17564.85687</v>
      </c>
      <c r="F352" s="110">
        <f t="shared" si="23"/>
        <v>6.2088490354715109E-4</v>
      </c>
      <c r="G352" s="111">
        <v>2.2613294428740768E-2</v>
      </c>
      <c r="H352" s="110">
        <f t="shared" si="20"/>
        <v>1.4040253130272041E-5</v>
      </c>
      <c r="I352" s="111">
        <v>0.09</v>
      </c>
      <c r="J352" s="110">
        <f t="shared" si="21"/>
        <v>5.5879641319243599E-5</v>
      </c>
      <c r="L352" s="112"/>
    </row>
    <row r="353" spans="1:12" x14ac:dyDescent="0.2">
      <c r="A353" s="99" t="s">
        <v>427</v>
      </c>
      <c r="B353" s="108" t="s">
        <v>428</v>
      </c>
      <c r="C353" s="109">
        <v>113.887</v>
      </c>
      <c r="D353" s="109">
        <v>148.47999999999999</v>
      </c>
      <c r="E353" s="109">
        <f t="shared" si="22"/>
        <v>16909.941759999998</v>
      </c>
      <c r="F353" s="110">
        <f t="shared" si="23"/>
        <v>5.9773487688234944E-4</v>
      </c>
      <c r="G353" s="111">
        <v>1.7780172413793104E-2</v>
      </c>
      <c r="H353" s="110">
        <f t="shared" si="20"/>
        <v>1.0627829168705567E-5</v>
      </c>
      <c r="I353" s="111">
        <v>3.5000000000000003E-2</v>
      </c>
      <c r="J353" s="110">
        <f t="shared" si="21"/>
        <v>2.0920720690882233E-5</v>
      </c>
      <c r="L353" s="112"/>
    </row>
    <row r="354" spans="1:12" x14ac:dyDescent="0.2">
      <c r="A354" s="99" t="s">
        <v>257</v>
      </c>
      <c r="B354" s="108" t="s">
        <v>258</v>
      </c>
      <c r="C354" s="109">
        <v>782.625</v>
      </c>
      <c r="D354" s="109">
        <v>76.569999999999993</v>
      </c>
      <c r="E354" s="109">
        <f t="shared" si="22"/>
        <v>59925.596249999995</v>
      </c>
      <c r="F354" s="110">
        <f t="shared" si="23"/>
        <v>2.1182579694819207E-3</v>
      </c>
      <c r="G354" s="111">
        <v>6.1381742196682772E-3</v>
      </c>
      <c r="H354" s="110">
        <f t="shared" si="20"/>
        <v>1.3002236458880798E-5</v>
      </c>
      <c r="I354" s="111">
        <v>0.115</v>
      </c>
      <c r="J354" s="110">
        <f t="shared" si="21"/>
        <v>2.4359966649042087E-4</v>
      </c>
      <c r="L354" s="112"/>
    </row>
    <row r="355" spans="1:12" x14ac:dyDescent="0.2">
      <c r="A355" s="99" t="s">
        <v>924</v>
      </c>
      <c r="B355" s="108" t="s">
        <v>925</v>
      </c>
      <c r="C355" s="109">
        <v>114.782</v>
      </c>
      <c r="D355" s="109">
        <v>282.02999999999997</v>
      </c>
      <c r="E355" s="109">
        <f t="shared" si="22"/>
        <v>32371.967459999996</v>
      </c>
      <c r="F355" s="110">
        <f t="shared" si="23"/>
        <v>1.1442886237440551E-3</v>
      </c>
      <c r="G355" s="111">
        <v>1.6735808247349573E-2</v>
      </c>
      <c r="H355" s="110">
        <f t="shared" si="20"/>
        <v>1.9150594986604051E-5</v>
      </c>
      <c r="I355" s="111">
        <v>9.5000000000000001E-2</v>
      </c>
      <c r="J355" s="110">
        <f t="shared" si="21"/>
        <v>1.0870741925568524E-4</v>
      </c>
      <c r="L355" s="112"/>
    </row>
    <row r="356" spans="1:12" x14ac:dyDescent="0.2">
      <c r="A356" s="99" t="s">
        <v>663</v>
      </c>
      <c r="B356" s="108" t="s">
        <v>664</v>
      </c>
      <c r="C356" s="109">
        <v>1224.93</v>
      </c>
      <c r="D356" s="109">
        <v>40.53</v>
      </c>
      <c r="E356" s="109">
        <f t="shared" si="22"/>
        <v>49646.412900000003</v>
      </c>
      <c r="F356" s="110">
        <f t="shared" si="23"/>
        <v>1.7549080253267408E-3</v>
      </c>
      <c r="G356" s="111">
        <v>3.9476930668640511E-2</v>
      </c>
      <c r="H356" s="110">
        <f t="shared" si="20"/>
        <v>6.9278382445664571E-5</v>
      </c>
      <c r="I356" s="111">
        <v>6.5000000000000002E-2</v>
      </c>
      <c r="J356" s="110">
        <f t="shared" si="21"/>
        <v>1.1406902164623816E-4</v>
      </c>
      <c r="L356" s="112"/>
    </row>
    <row r="357" spans="1:12" x14ac:dyDescent="0.2">
      <c r="A357" s="99" t="s">
        <v>234</v>
      </c>
      <c r="B357" s="108" t="s">
        <v>235</v>
      </c>
      <c r="C357" s="109">
        <v>465.60599999999999</v>
      </c>
      <c r="D357" s="109">
        <v>223.39</v>
      </c>
      <c r="E357" s="109">
        <f t="shared" si="22"/>
        <v>104011.72433999999</v>
      </c>
      <c r="F357" s="110">
        <f t="shared" si="23"/>
        <v>3.6766203056805072E-3</v>
      </c>
      <c r="G357" s="111">
        <v>2.7933210976319445E-2</v>
      </c>
      <c r="H357" s="110">
        <f t="shared" si="20"/>
        <v>1.0269981067839369E-4</v>
      </c>
      <c r="I357" s="111">
        <v>0.09</v>
      </c>
      <c r="J357" s="110">
        <f t="shared" si="21"/>
        <v>3.3089582751124561E-4</v>
      </c>
      <c r="L357" s="112"/>
    </row>
    <row r="358" spans="1:12" x14ac:dyDescent="0.2">
      <c r="A358" s="99" t="s">
        <v>912</v>
      </c>
      <c r="B358" s="108" t="s">
        <v>913</v>
      </c>
      <c r="C358" s="109">
        <v>107.084</v>
      </c>
      <c r="D358" s="109">
        <v>758.47</v>
      </c>
      <c r="E358" s="109">
        <f t="shared" si="22"/>
        <v>81220.001480000006</v>
      </c>
      <c r="F358" s="110">
        <f t="shared" si="23"/>
        <v>2.8709754459279729E-3</v>
      </c>
      <c r="G358" s="111" t="s">
        <v>175</v>
      </c>
      <c r="H358" s="110" t="str">
        <f t="shared" si="20"/>
        <v/>
      </c>
      <c r="I358" s="111">
        <v>0.03</v>
      </c>
      <c r="J358" s="110">
        <f t="shared" si="21"/>
        <v>8.6129263377839179E-5</v>
      </c>
      <c r="L358" s="112"/>
    </row>
    <row r="359" spans="1:12" x14ac:dyDescent="0.2">
      <c r="A359" s="99" t="s">
        <v>236</v>
      </c>
      <c r="B359" s="108" t="s">
        <v>237</v>
      </c>
      <c r="C359" s="109">
        <v>10201.654</v>
      </c>
      <c r="D359" s="109">
        <v>103.13</v>
      </c>
      <c r="E359" s="109">
        <f t="shared" si="22"/>
        <v>1052096.57702</v>
      </c>
      <c r="F359" s="110" t="str">
        <f t="shared" si="23"/>
        <v/>
      </c>
      <c r="G359" s="111" t="s">
        <v>175</v>
      </c>
      <c r="H359" s="110" t="str">
        <f t="shared" si="20"/>
        <v/>
      </c>
      <c r="I359" s="111">
        <v>0.26500000000000001</v>
      </c>
      <c r="J359" s="110" t="str">
        <f t="shared" si="21"/>
        <v/>
      </c>
      <c r="L359" s="112"/>
    </row>
    <row r="360" spans="1:12" x14ac:dyDescent="0.2">
      <c r="A360" s="99" t="s">
        <v>649</v>
      </c>
      <c r="B360" s="108" t="s">
        <v>650</v>
      </c>
      <c r="C360" s="109">
        <v>72.948999999999998</v>
      </c>
      <c r="D360" s="109">
        <v>180.09</v>
      </c>
      <c r="E360" s="109">
        <f t="shared" si="22"/>
        <v>13137.385410000001</v>
      </c>
      <c r="F360" s="110">
        <f t="shared" si="23"/>
        <v>4.6438205181626395E-4</v>
      </c>
      <c r="G360" s="111">
        <v>1.0883447165306235E-2</v>
      </c>
      <c r="H360" s="110">
        <f t="shared" si="20"/>
        <v>5.0540775254588108E-6</v>
      </c>
      <c r="I360" s="111">
        <v>8.5000000000000006E-2</v>
      </c>
      <c r="J360" s="110">
        <f t="shared" si="21"/>
        <v>3.9472474404382441E-5</v>
      </c>
      <c r="L360" s="112"/>
    </row>
    <row r="361" spans="1:12" x14ac:dyDescent="0.2">
      <c r="A361" s="99" t="s">
        <v>920</v>
      </c>
      <c r="B361" s="108" t="s">
        <v>921</v>
      </c>
      <c r="C361" s="109">
        <v>41.091000000000001</v>
      </c>
      <c r="D361" s="109">
        <v>123.85</v>
      </c>
      <c r="E361" s="109">
        <f t="shared" si="22"/>
        <v>5089.1203500000001</v>
      </c>
      <c r="F361" s="110">
        <f t="shared" si="23"/>
        <v>1.7989090494932076E-4</v>
      </c>
      <c r="G361" s="111">
        <v>2.4222850222042795E-2</v>
      </c>
      <c r="H361" s="110">
        <f t="shared" si="20"/>
        <v>4.3574704468951333E-6</v>
      </c>
      <c r="I361" s="111">
        <v>0.12</v>
      </c>
      <c r="J361" s="110">
        <f t="shared" si="21"/>
        <v>2.158690859391849E-5</v>
      </c>
      <c r="L361" s="112"/>
    </row>
    <row r="362" spans="1:12" x14ac:dyDescent="0.2">
      <c r="A362" s="99" t="s">
        <v>313</v>
      </c>
      <c r="B362" s="108" t="s">
        <v>314</v>
      </c>
      <c r="C362" s="109">
        <v>156.755</v>
      </c>
      <c r="D362" s="109">
        <v>74.540000000000006</v>
      </c>
      <c r="E362" s="109">
        <f t="shared" si="22"/>
        <v>11684.5177</v>
      </c>
      <c r="F362" s="110" t="str">
        <f t="shared" si="23"/>
        <v/>
      </c>
      <c r="G362" s="111">
        <v>5.2589213844915474E-2</v>
      </c>
      <c r="H362" s="110" t="str">
        <f t="shared" si="20"/>
        <v/>
      </c>
      <c r="I362" s="111">
        <v>-0.01</v>
      </c>
      <c r="J362" s="110" t="str">
        <f t="shared" si="21"/>
        <v/>
      </c>
      <c r="L362" s="112"/>
    </row>
    <row r="363" spans="1:12" x14ac:dyDescent="0.2">
      <c r="A363" s="99" t="s">
        <v>250</v>
      </c>
      <c r="B363" s="108" t="s">
        <v>251</v>
      </c>
      <c r="C363" s="109">
        <v>595.09500000000003</v>
      </c>
      <c r="D363" s="109">
        <v>79.77</v>
      </c>
      <c r="E363" s="109">
        <f t="shared" si="22"/>
        <v>47470.728150000003</v>
      </c>
      <c r="F363" s="110">
        <f t="shared" si="23"/>
        <v>1.6780016305778063E-3</v>
      </c>
      <c r="G363" s="111">
        <v>1.0530274539300489E-2</v>
      </c>
      <c r="H363" s="110">
        <f t="shared" si="20"/>
        <v>1.7669817847378179E-5</v>
      </c>
      <c r="I363" s="111">
        <v>0.13</v>
      </c>
      <c r="J363" s="110">
        <f t="shared" si="21"/>
        <v>2.1814021197511481E-4</v>
      </c>
      <c r="L363" s="112"/>
    </row>
    <row r="364" spans="1:12" x14ac:dyDescent="0.2">
      <c r="A364" s="99" t="s">
        <v>606</v>
      </c>
      <c r="B364" s="108" t="s">
        <v>607</v>
      </c>
      <c r="C364" s="109">
        <v>413.71199999999999</v>
      </c>
      <c r="D364" s="109">
        <v>40.69</v>
      </c>
      <c r="E364" s="109">
        <f t="shared" si="22"/>
        <v>16833.941279999999</v>
      </c>
      <c r="F364" s="110">
        <f t="shared" si="23"/>
        <v>5.9504840177790786E-4</v>
      </c>
      <c r="G364" s="111">
        <v>3.9321700663553704E-3</v>
      </c>
      <c r="H364" s="110">
        <f t="shared" si="20"/>
        <v>2.3398315135036931E-6</v>
      </c>
      <c r="I364" s="111">
        <v>0.12</v>
      </c>
      <c r="J364" s="110">
        <f t="shared" si="21"/>
        <v>7.1405808213348946E-5</v>
      </c>
      <c r="L364" s="112"/>
    </row>
    <row r="365" spans="1:12" x14ac:dyDescent="0.2">
      <c r="A365" s="99" t="s">
        <v>898</v>
      </c>
      <c r="B365" s="108" t="s">
        <v>899</v>
      </c>
      <c r="C365" s="109">
        <v>237.59899999999999</v>
      </c>
      <c r="D365" s="109">
        <v>230.35</v>
      </c>
      <c r="E365" s="109">
        <f t="shared" si="22"/>
        <v>54730.929649999998</v>
      </c>
      <c r="F365" s="110" t="str">
        <f t="shared" si="23"/>
        <v/>
      </c>
      <c r="G365" s="111">
        <v>9.9153462122856528E-2</v>
      </c>
      <c r="H365" s="110" t="str">
        <f t="shared" si="20"/>
        <v/>
      </c>
      <c r="I365" s="111">
        <v>0.21</v>
      </c>
      <c r="J365" s="110" t="str">
        <f t="shared" si="21"/>
        <v/>
      </c>
      <c r="L365" s="112"/>
    </row>
    <row r="366" spans="1:12" x14ac:dyDescent="0.2">
      <c r="A366" s="99" t="s">
        <v>1056</v>
      </c>
      <c r="B366" s="108" t="s">
        <v>1057</v>
      </c>
      <c r="C366" s="109">
        <v>385.52300000000002</v>
      </c>
      <c r="D366" s="109">
        <v>140.03</v>
      </c>
      <c r="E366" s="109">
        <f t="shared" si="22"/>
        <v>53984.785690000004</v>
      </c>
      <c r="F366" s="110">
        <f t="shared" si="23"/>
        <v>1.9082614053859508E-3</v>
      </c>
      <c r="G366" s="111">
        <v>2.9136613582803686E-2</v>
      </c>
      <c r="H366" s="110">
        <f t="shared" si="20"/>
        <v>5.5600275183708343E-5</v>
      </c>
      <c r="I366" s="111">
        <v>0.11</v>
      </c>
      <c r="J366" s="110">
        <f t="shared" si="21"/>
        <v>2.099087545924546E-4</v>
      </c>
      <c r="L366" s="112"/>
    </row>
    <row r="367" spans="1:12" x14ac:dyDescent="0.2">
      <c r="A367" s="99" t="s">
        <v>957</v>
      </c>
      <c r="B367" s="108" t="s">
        <v>958</v>
      </c>
      <c r="C367" s="109">
        <v>152.417</v>
      </c>
      <c r="D367" s="109">
        <v>353.75</v>
      </c>
      <c r="E367" s="109">
        <f t="shared" si="22"/>
        <v>53917.513749999998</v>
      </c>
      <c r="F367" s="110">
        <f t="shared" si="23"/>
        <v>1.9058834678776942E-3</v>
      </c>
      <c r="G367" s="111" t="s">
        <v>175</v>
      </c>
      <c r="H367" s="110" t="str">
        <f t="shared" si="20"/>
        <v/>
      </c>
      <c r="I367" s="111">
        <v>0.125</v>
      </c>
      <c r="J367" s="110">
        <f t="shared" si="21"/>
        <v>2.3823543348471177E-4</v>
      </c>
      <c r="L367" s="112"/>
    </row>
    <row r="368" spans="1:12" x14ac:dyDescent="0.2">
      <c r="A368" s="99" t="s">
        <v>490</v>
      </c>
      <c r="B368" s="108" t="s">
        <v>491</v>
      </c>
      <c r="C368" s="109">
        <v>125.688</v>
      </c>
      <c r="D368" s="109">
        <v>137.58000000000001</v>
      </c>
      <c r="E368" s="109">
        <f t="shared" si="22"/>
        <v>17292.155040000001</v>
      </c>
      <c r="F368" s="110" t="str">
        <f t="shared" si="23"/>
        <v/>
      </c>
      <c r="G368" s="111" t="s">
        <v>175</v>
      </c>
      <c r="H368" s="110" t="str">
        <f t="shared" si="20"/>
        <v/>
      </c>
      <c r="I368" s="111">
        <v>0.245</v>
      </c>
      <c r="J368" s="110" t="str">
        <f t="shared" si="21"/>
        <v/>
      </c>
      <c r="L368" s="112"/>
    </row>
    <row r="369" spans="1:12" x14ac:dyDescent="0.2">
      <c r="A369" s="99" t="s">
        <v>350</v>
      </c>
      <c r="B369" s="108" t="s">
        <v>351</v>
      </c>
      <c r="C369" s="109">
        <v>117.709</v>
      </c>
      <c r="D369" s="109">
        <v>100.17</v>
      </c>
      <c r="E369" s="109">
        <f t="shared" si="22"/>
        <v>11790.910530000001</v>
      </c>
      <c r="F369" s="110">
        <f t="shared" si="23"/>
        <v>4.1678667815709552E-4</v>
      </c>
      <c r="G369" s="111">
        <v>2.4358590396326246E-2</v>
      </c>
      <c r="H369" s="110">
        <f t="shared" si="20"/>
        <v>1.0152335975874145E-5</v>
      </c>
      <c r="I369" s="111">
        <v>8.5000000000000006E-2</v>
      </c>
      <c r="J369" s="110">
        <f t="shared" si="21"/>
        <v>3.5426867643353122E-5</v>
      </c>
      <c r="L369" s="112"/>
    </row>
    <row r="370" spans="1:12" x14ac:dyDescent="0.2">
      <c r="A370" s="99" t="s">
        <v>186</v>
      </c>
      <c r="B370" s="108" t="s">
        <v>187</v>
      </c>
      <c r="C370" s="109">
        <v>658.38900000000001</v>
      </c>
      <c r="D370" s="109">
        <v>279.05</v>
      </c>
      <c r="E370" s="109">
        <f t="shared" si="22"/>
        <v>183723.45045</v>
      </c>
      <c r="F370" s="110">
        <f t="shared" si="23"/>
        <v>6.494281032646868E-3</v>
      </c>
      <c r="G370" s="111">
        <v>1.6054470524995521E-2</v>
      </c>
      <c r="H370" s="110">
        <f t="shared" si="20"/>
        <v>1.0426224341966661E-4</v>
      </c>
      <c r="I370" s="111">
        <v>0.125</v>
      </c>
      <c r="J370" s="110">
        <f t="shared" si="21"/>
        <v>8.117851290808585E-4</v>
      </c>
      <c r="L370" s="112"/>
    </row>
    <row r="371" spans="1:12" x14ac:dyDescent="0.2">
      <c r="A371" s="99" t="s">
        <v>988</v>
      </c>
      <c r="B371" s="108" t="s">
        <v>989</v>
      </c>
      <c r="C371" s="109">
        <v>54.534999999999997</v>
      </c>
      <c r="D371" s="109">
        <v>717.75</v>
      </c>
      <c r="E371" s="109">
        <f t="shared" si="22"/>
        <v>39142.496249999997</v>
      </c>
      <c r="F371" s="110">
        <f t="shared" si="23"/>
        <v>1.3836141785068797E-3</v>
      </c>
      <c r="G371" s="111" t="s">
        <v>175</v>
      </c>
      <c r="H371" s="110" t="str">
        <f t="shared" si="20"/>
        <v/>
      </c>
      <c r="I371" s="111">
        <v>0.19500000000000001</v>
      </c>
      <c r="J371" s="110">
        <f t="shared" si="21"/>
        <v>2.6980476480884154E-4</v>
      </c>
      <c r="L371" s="112"/>
    </row>
    <row r="372" spans="1:12" x14ac:dyDescent="0.2">
      <c r="A372" s="99" t="s">
        <v>1114</v>
      </c>
      <c r="B372" s="108" t="s">
        <v>1115</v>
      </c>
      <c r="C372" s="109">
        <v>281.68799999999999</v>
      </c>
      <c r="D372" s="109">
        <v>130.51</v>
      </c>
      <c r="E372" s="109">
        <f t="shared" si="22"/>
        <v>36763.100879999998</v>
      </c>
      <c r="F372" s="110">
        <f t="shared" si="23"/>
        <v>1.2995069935900357E-3</v>
      </c>
      <c r="G372" s="111">
        <v>1.7469925676193394E-2</v>
      </c>
      <c r="H372" s="110">
        <f t="shared" si="20"/>
        <v>2.2702290593711448E-5</v>
      </c>
      <c r="I372" s="111">
        <v>0.105</v>
      </c>
      <c r="J372" s="110">
        <f t="shared" si="21"/>
        <v>1.3644823432695373E-4</v>
      </c>
      <c r="L372" s="112"/>
    </row>
    <row r="373" spans="1:12" x14ac:dyDescent="0.2">
      <c r="A373" s="99" t="s">
        <v>872</v>
      </c>
      <c r="B373" s="108" t="s">
        <v>873</v>
      </c>
      <c r="C373" s="109">
        <v>923.07899999999995</v>
      </c>
      <c r="D373" s="109">
        <v>129.28</v>
      </c>
      <c r="E373" s="109">
        <f t="shared" si="22"/>
        <v>119335.65311999999</v>
      </c>
      <c r="F373" s="110">
        <f t="shared" si="23"/>
        <v>4.2182925841938541E-3</v>
      </c>
      <c r="G373" s="111">
        <v>2.4443069306930694E-2</v>
      </c>
      <c r="H373" s="110">
        <f t="shared" si="20"/>
        <v>1.0310801799236216E-4</v>
      </c>
      <c r="I373" s="111">
        <v>0.06</v>
      </c>
      <c r="J373" s="110">
        <f t="shared" si="21"/>
        <v>2.5309755505163126E-4</v>
      </c>
      <c r="L373" s="112"/>
    </row>
    <row r="374" spans="1:12" x14ac:dyDescent="0.2">
      <c r="A374" s="99" t="s">
        <v>516</v>
      </c>
      <c r="B374" s="108" t="s">
        <v>517</v>
      </c>
      <c r="C374" s="109">
        <v>571.75300000000004</v>
      </c>
      <c r="D374" s="109">
        <v>40.950000000000003</v>
      </c>
      <c r="E374" s="109">
        <f t="shared" si="22"/>
        <v>23413.285350000002</v>
      </c>
      <c r="F374" s="110">
        <f t="shared" si="23"/>
        <v>8.2761593355680312E-4</v>
      </c>
      <c r="G374" s="111">
        <v>3.8095238095238092E-2</v>
      </c>
      <c r="H374" s="110">
        <f t="shared" si="20"/>
        <v>3.1528226040259163E-5</v>
      </c>
      <c r="I374" s="111">
        <v>0.03</v>
      </c>
      <c r="J374" s="110">
        <f t="shared" si="21"/>
        <v>2.4828478006704094E-5</v>
      </c>
      <c r="L374" s="112"/>
    </row>
    <row r="375" spans="1:12" x14ac:dyDescent="0.2">
      <c r="A375" s="99" t="s">
        <v>1062</v>
      </c>
      <c r="B375" s="108" t="s">
        <v>1063</v>
      </c>
      <c r="C375" s="109">
        <v>106.01600000000001</v>
      </c>
      <c r="D375" s="109">
        <v>218.05</v>
      </c>
      <c r="E375" s="109">
        <f t="shared" si="22"/>
        <v>23116.788800000002</v>
      </c>
      <c r="F375" s="110">
        <f t="shared" si="23"/>
        <v>8.171353339589077E-4</v>
      </c>
      <c r="G375" s="111" t="s">
        <v>175</v>
      </c>
      <c r="H375" s="110" t="str">
        <f t="shared" si="20"/>
        <v/>
      </c>
      <c r="I375" s="111">
        <v>0.11</v>
      </c>
      <c r="J375" s="110">
        <f t="shared" si="21"/>
        <v>8.9884886735479852E-5</v>
      </c>
      <c r="L375" s="112"/>
    </row>
    <row r="376" spans="1:12" x14ac:dyDescent="0.2">
      <c r="A376" s="99" t="s">
        <v>896</v>
      </c>
      <c r="B376" s="108" t="s">
        <v>897</v>
      </c>
      <c r="C376" s="109">
        <v>142.90100000000001</v>
      </c>
      <c r="D376" s="109">
        <v>152.19</v>
      </c>
      <c r="E376" s="109">
        <f t="shared" si="22"/>
        <v>21748.103190000002</v>
      </c>
      <c r="F376" s="110">
        <f t="shared" si="23"/>
        <v>7.6875485245309831E-4</v>
      </c>
      <c r="G376" s="111">
        <v>2.102634864314344E-3</v>
      </c>
      <c r="H376" s="110">
        <f t="shared" si="20"/>
        <v>1.6164107548787138E-6</v>
      </c>
      <c r="I376" s="111">
        <v>0.16500000000000001</v>
      </c>
      <c r="J376" s="110">
        <f t="shared" si="21"/>
        <v>1.2684455065476122E-4</v>
      </c>
      <c r="L376" s="112"/>
    </row>
    <row r="377" spans="1:12" x14ac:dyDescent="0.2">
      <c r="A377" s="99" t="s">
        <v>598</v>
      </c>
      <c r="B377" s="108" t="s">
        <v>599</v>
      </c>
      <c r="C377" s="109">
        <v>135.548</v>
      </c>
      <c r="D377" s="109">
        <v>86.15</v>
      </c>
      <c r="E377" s="109">
        <f t="shared" si="22"/>
        <v>11677.460200000001</v>
      </c>
      <c r="F377" s="110">
        <f t="shared" si="23"/>
        <v>4.1277642075956728E-4</v>
      </c>
      <c r="G377" s="111" t="s">
        <v>175</v>
      </c>
      <c r="H377" s="110" t="str">
        <f t="shared" si="20"/>
        <v/>
      </c>
      <c r="I377" s="111">
        <v>7.0000000000000007E-2</v>
      </c>
      <c r="J377" s="110">
        <f t="shared" si="21"/>
        <v>2.8894349453169711E-5</v>
      </c>
      <c r="L377" s="112"/>
    </row>
    <row r="378" spans="1:12" x14ac:dyDescent="0.2">
      <c r="A378" s="99" t="s">
        <v>198</v>
      </c>
      <c r="B378" s="108" t="s">
        <v>50</v>
      </c>
      <c r="C378" s="109">
        <v>258.37099999999998</v>
      </c>
      <c r="D378" s="109">
        <v>86.87</v>
      </c>
      <c r="E378" s="109">
        <f t="shared" si="22"/>
        <v>22444.688770000001</v>
      </c>
      <c r="F378" s="110">
        <f t="shared" si="23"/>
        <v>7.9337785244971797E-4</v>
      </c>
      <c r="G378" s="111">
        <v>2.7167031196040057E-2</v>
      </c>
      <c r="H378" s="110">
        <f t="shared" si="20"/>
        <v>2.1553720867748752E-5</v>
      </c>
      <c r="I378" s="111">
        <v>6.5000000000000002E-2</v>
      </c>
      <c r="J378" s="110">
        <f t="shared" si="21"/>
        <v>5.1569560409231668E-5</v>
      </c>
      <c r="L378" s="112"/>
    </row>
    <row r="379" spans="1:12" x14ac:dyDescent="0.2">
      <c r="A379" s="99" t="s">
        <v>240</v>
      </c>
      <c r="B379" s="108" t="s">
        <v>241</v>
      </c>
      <c r="C379" s="109">
        <v>87.111999999999995</v>
      </c>
      <c r="D379" s="109">
        <v>266.36</v>
      </c>
      <c r="E379" s="109">
        <f t="shared" si="22"/>
        <v>23203.152320000001</v>
      </c>
      <c r="F379" s="110">
        <f t="shared" si="23"/>
        <v>8.2018812318355398E-4</v>
      </c>
      <c r="G379" s="111" t="s">
        <v>175</v>
      </c>
      <c r="H379" s="110" t="str">
        <f t="shared" si="20"/>
        <v/>
      </c>
      <c r="I379" s="111">
        <v>8.5000000000000006E-2</v>
      </c>
      <c r="J379" s="110">
        <f t="shared" si="21"/>
        <v>6.9715990470602094E-5</v>
      </c>
      <c r="L379" s="112"/>
    </row>
    <row r="380" spans="1:12" x14ac:dyDescent="0.2">
      <c r="A380" s="99" t="s">
        <v>512</v>
      </c>
      <c r="B380" s="108" t="s">
        <v>513</v>
      </c>
      <c r="C380" s="109">
        <v>38.252000000000002</v>
      </c>
      <c r="D380" s="109">
        <v>422.94</v>
      </c>
      <c r="E380" s="109">
        <f t="shared" si="22"/>
        <v>16178.300880000001</v>
      </c>
      <c r="F380" s="110">
        <f t="shared" si="23"/>
        <v>5.7187273746544284E-4</v>
      </c>
      <c r="G380" s="111">
        <v>8.4172695890670068E-3</v>
      </c>
      <c r="H380" s="110">
        <f t="shared" si="20"/>
        <v>4.8136070018843721E-6</v>
      </c>
      <c r="I380" s="111">
        <v>0.105</v>
      </c>
      <c r="J380" s="110">
        <f t="shared" si="21"/>
        <v>6.0046637433871495E-5</v>
      </c>
      <c r="L380" s="112"/>
    </row>
    <row r="381" spans="1:12" x14ac:dyDescent="0.2">
      <c r="A381" s="99" t="s">
        <v>814</v>
      </c>
      <c r="B381" s="108" t="s">
        <v>815</v>
      </c>
      <c r="C381" s="109">
        <v>2460</v>
      </c>
      <c r="D381" s="109">
        <v>195.37</v>
      </c>
      <c r="E381" s="109">
        <f t="shared" si="22"/>
        <v>480610.2</v>
      </c>
      <c r="F381" s="110" t="str">
        <f t="shared" si="23"/>
        <v/>
      </c>
      <c r="G381" s="111">
        <v>8.189588985002815E-4</v>
      </c>
      <c r="H381" s="110" t="str">
        <f t="shared" si="20"/>
        <v/>
      </c>
      <c r="I381" s="111">
        <v>0.23</v>
      </c>
      <c r="J381" s="110" t="str">
        <f t="shared" si="21"/>
        <v/>
      </c>
      <c r="L381" s="112"/>
    </row>
    <row r="382" spans="1:12" x14ac:dyDescent="0.2">
      <c r="A382" s="99" t="s">
        <v>946</v>
      </c>
      <c r="B382" s="108" t="s">
        <v>947</v>
      </c>
      <c r="C382" s="109">
        <v>144.65799999999999</v>
      </c>
      <c r="D382" s="109">
        <v>54.76</v>
      </c>
      <c r="E382" s="109">
        <f t="shared" si="22"/>
        <v>7921.4720799999986</v>
      </c>
      <c r="F382" s="110">
        <f t="shared" si="23"/>
        <v>2.8000925169749185E-4</v>
      </c>
      <c r="G382" s="111">
        <v>1.4609203798392988E-2</v>
      </c>
      <c r="H382" s="110">
        <f t="shared" si="20"/>
        <v>4.0907122234841764E-6</v>
      </c>
      <c r="I382" s="111">
        <v>0.1</v>
      </c>
      <c r="J382" s="110">
        <f t="shared" si="21"/>
        <v>2.8000925169749187E-5</v>
      </c>
      <c r="L382" s="112"/>
    </row>
    <row r="383" spans="1:12" x14ac:dyDescent="0.2">
      <c r="A383" s="99" t="s">
        <v>405</v>
      </c>
      <c r="B383" s="108" t="s">
        <v>406</v>
      </c>
      <c r="C383" s="109">
        <v>513.92100000000005</v>
      </c>
      <c r="D383" s="109">
        <v>66.75</v>
      </c>
      <c r="E383" s="109">
        <f t="shared" si="22"/>
        <v>34304.226750000002</v>
      </c>
      <c r="F383" s="110">
        <f t="shared" si="23"/>
        <v>1.2125903828633562E-3</v>
      </c>
      <c r="G383" s="111">
        <v>1.6179775280898877E-2</v>
      </c>
      <c r="H383" s="110">
        <f t="shared" si="20"/>
        <v>1.9619439902508236E-5</v>
      </c>
      <c r="I383" s="111">
        <v>0.08</v>
      </c>
      <c r="J383" s="110">
        <f t="shared" si="21"/>
        <v>9.7007230629068497E-5</v>
      </c>
      <c r="L383" s="112"/>
    </row>
    <row r="384" spans="1:12" x14ac:dyDescent="0.2">
      <c r="A384" s="99" t="s">
        <v>950</v>
      </c>
      <c r="B384" s="108" t="s">
        <v>951</v>
      </c>
      <c r="C384" s="109">
        <v>59.171999999999997</v>
      </c>
      <c r="D384" s="109">
        <v>302.44</v>
      </c>
      <c r="E384" s="109">
        <f t="shared" si="22"/>
        <v>17895.97968</v>
      </c>
      <c r="F384" s="110">
        <f t="shared" si="23"/>
        <v>6.3258947680218565E-4</v>
      </c>
      <c r="G384" s="111" t="s">
        <v>175</v>
      </c>
      <c r="H384" s="110" t="str">
        <f t="shared" si="20"/>
        <v/>
      </c>
      <c r="I384" s="111">
        <v>8.5000000000000006E-2</v>
      </c>
      <c r="J384" s="110">
        <f t="shared" si="21"/>
        <v>5.3770105528185781E-5</v>
      </c>
      <c r="L384" s="112"/>
    </row>
    <row r="385" spans="1:12" x14ac:dyDescent="0.2">
      <c r="A385" s="99" t="s">
        <v>636</v>
      </c>
      <c r="B385" s="108" t="s">
        <v>637</v>
      </c>
      <c r="C385" s="109">
        <v>353.38499999999999</v>
      </c>
      <c r="D385" s="109">
        <v>245.69</v>
      </c>
      <c r="E385" s="109">
        <f t="shared" si="22"/>
        <v>86823.160649999991</v>
      </c>
      <c r="F385" s="110">
        <f t="shared" si="23"/>
        <v>3.0690366636522467E-3</v>
      </c>
      <c r="G385" s="111" t="s">
        <v>175</v>
      </c>
      <c r="H385" s="110" t="str">
        <f t="shared" si="20"/>
        <v/>
      </c>
      <c r="I385" s="111">
        <v>0.125</v>
      </c>
      <c r="J385" s="110">
        <f t="shared" si="21"/>
        <v>3.8362958295653084E-4</v>
      </c>
      <c r="L385" s="112"/>
    </row>
    <row r="386" spans="1:12" x14ac:dyDescent="0.2">
      <c r="A386" s="99" t="s">
        <v>1026</v>
      </c>
      <c r="B386" s="108" t="s">
        <v>1027</v>
      </c>
      <c r="C386" s="109">
        <v>167.81899999999999</v>
      </c>
      <c r="D386" s="109">
        <v>113.23</v>
      </c>
      <c r="E386" s="109">
        <f t="shared" si="22"/>
        <v>19002.145369999998</v>
      </c>
      <c r="F386" s="110">
        <f t="shared" si="23"/>
        <v>6.7169036915934704E-4</v>
      </c>
      <c r="G386" s="111" t="s">
        <v>175</v>
      </c>
      <c r="H386" s="110" t="str">
        <f t="shared" si="20"/>
        <v/>
      </c>
      <c r="I386" s="111">
        <v>0.03</v>
      </c>
      <c r="J386" s="110">
        <f t="shared" si="21"/>
        <v>2.0150711074780409E-5</v>
      </c>
      <c r="L386" s="112"/>
    </row>
    <row r="387" spans="1:12" x14ac:dyDescent="0.2">
      <c r="A387" s="99" t="s">
        <v>932</v>
      </c>
      <c r="B387" s="108" t="s">
        <v>933</v>
      </c>
      <c r="C387" s="109">
        <v>316.00099999999998</v>
      </c>
      <c r="D387" s="109">
        <v>124.82</v>
      </c>
      <c r="E387" s="109">
        <f t="shared" si="22"/>
        <v>39443.244819999993</v>
      </c>
      <c r="F387" s="110">
        <f t="shared" si="23"/>
        <v>1.394245079074895E-3</v>
      </c>
      <c r="G387" s="111">
        <v>1.5862842493190196E-2</v>
      </c>
      <c r="H387" s="110">
        <f t="shared" si="20"/>
        <v>2.2116690086270567E-5</v>
      </c>
      <c r="I387" s="111">
        <v>0.125</v>
      </c>
      <c r="J387" s="110">
        <f t="shared" si="21"/>
        <v>1.7428063488436187E-4</v>
      </c>
      <c r="L387" s="112"/>
    </row>
    <row r="388" spans="1:12" x14ac:dyDescent="0.2">
      <c r="A388" s="99" t="s">
        <v>462</v>
      </c>
      <c r="B388" s="108" t="s">
        <v>463</v>
      </c>
      <c r="C388" s="109">
        <v>542.65899999999999</v>
      </c>
      <c r="D388" s="109">
        <v>49.5</v>
      </c>
      <c r="E388" s="109">
        <f t="shared" si="22"/>
        <v>26861.620500000001</v>
      </c>
      <c r="F388" s="110">
        <f t="shared" si="23"/>
        <v>9.4950814439871245E-4</v>
      </c>
      <c r="G388" s="111">
        <v>1.7777777777777778E-2</v>
      </c>
      <c r="H388" s="110">
        <f t="shared" si="20"/>
        <v>1.6880144789310442E-5</v>
      </c>
      <c r="I388" s="111">
        <v>0.125</v>
      </c>
      <c r="J388" s="110">
        <f t="shared" si="21"/>
        <v>1.1868851804983906E-4</v>
      </c>
      <c r="L388" s="112"/>
    </row>
    <row r="389" spans="1:12" x14ac:dyDescent="0.2">
      <c r="A389" s="99" t="s">
        <v>566</v>
      </c>
      <c r="B389" s="108" t="s">
        <v>567</v>
      </c>
      <c r="C389" s="109">
        <v>334.916</v>
      </c>
      <c r="D389" s="109">
        <v>365.81</v>
      </c>
      <c r="E389" s="109">
        <f t="shared" si="22"/>
        <v>122515.62196</v>
      </c>
      <c r="F389" s="110">
        <f t="shared" si="23"/>
        <v>4.3306985469135691E-3</v>
      </c>
      <c r="G389" s="111">
        <v>2.7336595500396379E-2</v>
      </c>
      <c r="H389" s="110">
        <f t="shared" si="20"/>
        <v>1.1838655441113061E-4</v>
      </c>
      <c r="I389" s="111">
        <v>0.05</v>
      </c>
      <c r="J389" s="110">
        <f t="shared" si="21"/>
        <v>2.1653492734567846E-4</v>
      </c>
      <c r="L389" s="112"/>
    </row>
    <row r="390" spans="1:12" x14ac:dyDescent="0.2">
      <c r="A390" s="99" t="s">
        <v>936</v>
      </c>
      <c r="B390" s="108" t="s">
        <v>937</v>
      </c>
      <c r="C390" s="109">
        <v>107.96599999999999</v>
      </c>
      <c r="D390" s="109">
        <v>297.52999999999997</v>
      </c>
      <c r="E390" s="109">
        <f t="shared" si="22"/>
        <v>32123.123979999997</v>
      </c>
      <c r="F390" s="110" t="str">
        <f t="shared" si="23"/>
        <v/>
      </c>
      <c r="G390" s="111">
        <v>9.5452559405774205E-3</v>
      </c>
      <c r="H390" s="110" t="str">
        <f t="shared" si="20"/>
        <v/>
      </c>
      <c r="I390" s="111">
        <v>0.35499999999999998</v>
      </c>
      <c r="J390" s="110" t="str">
        <f t="shared" si="21"/>
        <v/>
      </c>
      <c r="L390" s="112"/>
    </row>
    <row r="391" spans="1:12" x14ac:dyDescent="0.2">
      <c r="A391" s="99" t="s">
        <v>964</v>
      </c>
      <c r="B391" s="108" t="s">
        <v>965</v>
      </c>
      <c r="C391" s="109">
        <v>314.33300000000003</v>
      </c>
      <c r="D391" s="109">
        <v>160.33000000000001</v>
      </c>
      <c r="E391" s="109">
        <f t="shared" si="22"/>
        <v>50397.009890000008</v>
      </c>
      <c r="F391" s="110">
        <f t="shared" si="23"/>
        <v>1.7814402278484079E-3</v>
      </c>
      <c r="G391" s="111">
        <v>2.8566082454936692E-2</v>
      </c>
      <c r="H391" s="110">
        <f t="shared" si="20"/>
        <v>5.088876843725883E-5</v>
      </c>
      <c r="I391" s="111">
        <v>7.4999999999999997E-2</v>
      </c>
      <c r="J391" s="110">
        <f t="shared" si="21"/>
        <v>1.336080170886306E-4</v>
      </c>
      <c r="L391" s="112"/>
    </row>
    <row r="392" spans="1:12" x14ac:dyDescent="0.2">
      <c r="A392" s="99" t="s">
        <v>730</v>
      </c>
      <c r="B392" s="108" t="s">
        <v>731</v>
      </c>
      <c r="C392" s="109">
        <v>183.2</v>
      </c>
      <c r="D392" s="109">
        <v>322.75</v>
      </c>
      <c r="E392" s="109">
        <f t="shared" si="22"/>
        <v>59127.799999999996</v>
      </c>
      <c r="F392" s="110">
        <f t="shared" si="23"/>
        <v>2.0900573612220525E-3</v>
      </c>
      <c r="G392" s="111">
        <v>9.5429899302865995E-3</v>
      </c>
      <c r="H392" s="110">
        <f t="shared" si="20"/>
        <v>1.9945396351863429E-5</v>
      </c>
      <c r="I392" s="111">
        <v>0.04</v>
      </c>
      <c r="J392" s="110">
        <f t="shared" si="21"/>
        <v>8.3602294448882096E-5</v>
      </c>
      <c r="L392" s="112"/>
    </row>
    <row r="393" spans="1:12" x14ac:dyDescent="0.2">
      <c r="A393" s="99" t="s">
        <v>1302</v>
      </c>
      <c r="B393" s="108" t="s">
        <v>1303</v>
      </c>
      <c r="C393" s="109">
        <v>432.42399999999998</v>
      </c>
      <c r="D393" s="109">
        <v>73.45</v>
      </c>
      <c r="E393" s="109">
        <f t="shared" si="22"/>
        <v>31761.542799999999</v>
      </c>
      <c r="F393" s="110" t="str">
        <f t="shared" si="23"/>
        <v/>
      </c>
      <c r="G393" s="111" t="s">
        <v>175</v>
      </c>
      <c r="H393" s="110" t="str">
        <f t="shared" si="20"/>
        <v/>
      </c>
      <c r="I393" s="111">
        <v>0.22500000000000001</v>
      </c>
      <c r="J393" s="110" t="str">
        <f t="shared" si="21"/>
        <v/>
      </c>
      <c r="L393" s="112"/>
    </row>
    <row r="394" spans="1:12" x14ac:dyDescent="0.2">
      <c r="A394" s="99" t="s">
        <v>295</v>
      </c>
      <c r="B394" s="108" t="s">
        <v>296</v>
      </c>
      <c r="C394" s="109">
        <v>38.789000000000001</v>
      </c>
      <c r="D394" s="109">
        <v>2434.1</v>
      </c>
      <c r="E394" s="109">
        <f t="shared" si="22"/>
        <v>94416.304900000003</v>
      </c>
      <c r="F394" s="110" t="str">
        <f t="shared" si="23"/>
        <v/>
      </c>
      <c r="G394" s="111" t="s">
        <v>175</v>
      </c>
      <c r="H394" s="110" t="str">
        <f t="shared" si="20"/>
        <v/>
      </c>
      <c r="I394" s="111">
        <v>0.22</v>
      </c>
      <c r="J394" s="110" t="str">
        <f t="shared" si="21"/>
        <v/>
      </c>
      <c r="L394" s="112"/>
    </row>
    <row r="395" spans="1:12" x14ac:dyDescent="0.2">
      <c r="A395" s="99" t="s">
        <v>518</v>
      </c>
      <c r="B395" s="108" t="s">
        <v>519</v>
      </c>
      <c r="C395" s="109">
        <v>60.118000000000002</v>
      </c>
      <c r="D395" s="109">
        <v>147.66</v>
      </c>
      <c r="E395" s="109">
        <f t="shared" si="22"/>
        <v>8877.0238800000006</v>
      </c>
      <c r="F395" s="110">
        <f t="shared" si="23"/>
        <v>3.1378622418114569E-4</v>
      </c>
      <c r="G395" s="111" t="s">
        <v>175</v>
      </c>
      <c r="H395" s="110" t="str">
        <f t="shared" si="20"/>
        <v/>
      </c>
      <c r="I395" s="111">
        <v>0.1</v>
      </c>
      <c r="J395" s="110">
        <f t="shared" si="21"/>
        <v>3.137862241811457E-5</v>
      </c>
      <c r="L395" s="112"/>
    </row>
    <row r="396" spans="1:12" x14ac:dyDescent="0.2">
      <c r="A396" s="99" t="s">
        <v>210</v>
      </c>
      <c r="B396" s="108" t="s">
        <v>211</v>
      </c>
      <c r="C396" s="109">
        <v>157.24199999999999</v>
      </c>
      <c r="D396" s="109">
        <v>88.95</v>
      </c>
      <c r="E396" s="109">
        <f t="shared" si="22"/>
        <v>13986.6759</v>
      </c>
      <c r="F396" s="110">
        <f t="shared" si="23"/>
        <v>4.9440288534026422E-4</v>
      </c>
      <c r="G396" s="111" t="s">
        <v>175</v>
      </c>
      <c r="H396" s="110" t="str">
        <f t="shared" si="20"/>
        <v/>
      </c>
      <c r="I396" s="111">
        <v>5.5E-2</v>
      </c>
      <c r="J396" s="110">
        <f t="shared" si="21"/>
        <v>2.7192158693714531E-5</v>
      </c>
      <c r="L396" s="112"/>
    </row>
    <row r="397" spans="1:12" x14ac:dyDescent="0.2">
      <c r="A397" s="99" t="s">
        <v>391</v>
      </c>
      <c r="B397" s="108" t="s">
        <v>392</v>
      </c>
      <c r="C397" s="109">
        <v>50.878999999999998</v>
      </c>
      <c r="D397" s="109">
        <v>243.25</v>
      </c>
      <c r="E397" s="109">
        <f t="shared" si="22"/>
        <v>12376.31675</v>
      </c>
      <c r="F397" s="110">
        <f t="shared" si="23"/>
        <v>4.3747969530666267E-4</v>
      </c>
      <c r="G397" s="111" t="s">
        <v>175</v>
      </c>
      <c r="H397" s="110" t="str">
        <f t="shared" si="20"/>
        <v/>
      </c>
      <c r="I397" s="111">
        <v>0.12</v>
      </c>
      <c r="J397" s="110">
        <f t="shared" si="21"/>
        <v>5.2497563436799518E-5</v>
      </c>
      <c r="L397" s="112"/>
    </row>
    <row r="398" spans="1:12" x14ac:dyDescent="0.2">
      <c r="A398" s="99" t="s">
        <v>744</v>
      </c>
      <c r="B398" s="108" t="s">
        <v>745</v>
      </c>
      <c r="C398" s="109">
        <v>37.637</v>
      </c>
      <c r="D398" s="109">
        <v>363.85</v>
      </c>
      <c r="E398" s="109">
        <f t="shared" si="22"/>
        <v>13694.222450000001</v>
      </c>
      <c r="F398" s="110">
        <f t="shared" si="23"/>
        <v>4.8406520178046185E-4</v>
      </c>
      <c r="G398" s="111">
        <v>7.9153497320324298E-3</v>
      </c>
      <c r="H398" s="110">
        <f t="shared" si="20"/>
        <v>3.8315453651992025E-6</v>
      </c>
      <c r="I398" s="111">
        <v>0.1</v>
      </c>
      <c r="J398" s="110">
        <f t="shared" si="21"/>
        <v>4.8406520178046189E-5</v>
      </c>
      <c r="L398" s="112"/>
    </row>
    <row r="399" spans="1:12" x14ac:dyDescent="0.2">
      <c r="A399" s="99" t="s">
        <v>454</v>
      </c>
      <c r="B399" s="108" t="s">
        <v>455</v>
      </c>
      <c r="C399" s="109">
        <v>653.70000000000005</v>
      </c>
      <c r="D399" s="109">
        <v>63.24</v>
      </c>
      <c r="E399" s="109">
        <f t="shared" si="22"/>
        <v>41339.988000000005</v>
      </c>
      <c r="F399" s="110" t="str">
        <f t="shared" si="23"/>
        <v/>
      </c>
      <c r="G399" s="111">
        <v>8.5388994307400379E-2</v>
      </c>
      <c r="H399" s="110" t="str">
        <f t="shared" si="20"/>
        <v/>
      </c>
      <c r="I399" s="111">
        <v>0.33500000000000002</v>
      </c>
      <c r="J399" s="110" t="str">
        <f t="shared" si="21"/>
        <v/>
      </c>
      <c r="L399" s="112"/>
    </row>
    <row r="400" spans="1:12" x14ac:dyDescent="0.2">
      <c r="A400" s="99" t="s">
        <v>992</v>
      </c>
      <c r="B400" s="108" t="s">
        <v>993</v>
      </c>
      <c r="C400" s="109">
        <v>156.97</v>
      </c>
      <c r="D400" s="109">
        <v>79.66</v>
      </c>
      <c r="E400" s="109">
        <f t="shared" si="22"/>
        <v>12504.2302</v>
      </c>
      <c r="F400" s="110">
        <f t="shared" si="23"/>
        <v>4.4200119699912895E-4</v>
      </c>
      <c r="G400" s="111">
        <v>4.0170725583730856E-3</v>
      </c>
      <c r="H400" s="110">
        <f t="shared" si="20"/>
        <v>1.7755508792332572E-6</v>
      </c>
      <c r="I400" s="111">
        <v>0.14499999999999999</v>
      </c>
      <c r="J400" s="110">
        <f t="shared" si="21"/>
        <v>6.4090173564873687E-5</v>
      </c>
      <c r="L400" s="112"/>
    </row>
    <row r="401" spans="1:12" x14ac:dyDescent="0.2">
      <c r="A401" s="99" t="s">
        <v>557</v>
      </c>
      <c r="B401" s="108" t="s">
        <v>559</v>
      </c>
      <c r="C401" s="109">
        <v>5973</v>
      </c>
      <c r="D401" s="109">
        <v>98.84</v>
      </c>
      <c r="E401" s="109">
        <f t="shared" si="22"/>
        <v>590371.32000000007</v>
      </c>
      <c r="F401" s="110" t="str">
        <f t="shared" si="23"/>
        <v/>
      </c>
      <c r="G401" s="111" t="s">
        <v>175</v>
      </c>
      <c r="H401" s="110" t="str">
        <f t="shared" si="20"/>
        <v/>
      </c>
      <c r="I401" s="111" t="s">
        <v>175</v>
      </c>
      <c r="J401" s="110" t="str">
        <f t="shared" si="21"/>
        <v/>
      </c>
      <c r="L401" s="112"/>
    </row>
    <row r="402" spans="1:12" x14ac:dyDescent="0.2">
      <c r="A402" s="99" t="s">
        <v>1000</v>
      </c>
      <c r="B402" s="108" t="s">
        <v>1001</v>
      </c>
      <c r="C402" s="109">
        <v>46.905999999999999</v>
      </c>
      <c r="D402" s="109">
        <v>243.42</v>
      </c>
      <c r="E402" s="109">
        <f t="shared" si="22"/>
        <v>11417.85852</v>
      </c>
      <c r="F402" s="110">
        <f t="shared" si="23"/>
        <v>4.0359998594769174E-4</v>
      </c>
      <c r="G402" s="111">
        <v>5.5870511872483783E-3</v>
      </c>
      <c r="H402" s="110">
        <f t="shared" si="20"/>
        <v>2.2549337806624801E-6</v>
      </c>
      <c r="I402" s="111">
        <v>0.1</v>
      </c>
      <c r="J402" s="110">
        <f t="shared" si="21"/>
        <v>4.0359998594769176E-5</v>
      </c>
      <c r="L402" s="112"/>
    </row>
    <row r="403" spans="1:12" x14ac:dyDescent="0.2">
      <c r="A403" s="99" t="s">
        <v>795</v>
      </c>
      <c r="B403" s="108" t="s">
        <v>796</v>
      </c>
      <c r="C403" s="109">
        <v>445.34699999999998</v>
      </c>
      <c r="D403" s="109">
        <v>353.86</v>
      </c>
      <c r="E403" s="109">
        <f t="shared" si="22"/>
        <v>157590.48942</v>
      </c>
      <c r="F403" s="110">
        <f t="shared" si="23"/>
        <v>5.570529640386704E-3</v>
      </c>
      <c r="G403" s="111" t="s">
        <v>175</v>
      </c>
      <c r="H403" s="110" t="str">
        <f t="shared" ref="H403:H466" si="24">IFERROR($G403*$F403,"")</f>
        <v/>
      </c>
      <c r="I403" s="111">
        <v>0.14499999999999999</v>
      </c>
      <c r="J403" s="110">
        <f t="shared" ref="J403:J466" si="25">IFERROR($I403*$F403,"")</f>
        <v>8.0772679785607205E-4</v>
      </c>
      <c r="L403" s="112"/>
    </row>
    <row r="404" spans="1:12" x14ac:dyDescent="0.2">
      <c r="A404" s="99" t="s">
        <v>220</v>
      </c>
      <c r="B404" s="108" t="s">
        <v>221</v>
      </c>
      <c r="C404" s="109">
        <v>87.844999999999999</v>
      </c>
      <c r="D404" s="109">
        <v>117.55</v>
      </c>
      <c r="E404" s="109">
        <f t="shared" ref="E404:E467" si="26">IFERROR(C404*D404,"")</f>
        <v>10326.179749999999</v>
      </c>
      <c r="F404" s="110">
        <f t="shared" ref="F404:F467" si="27">IF(AND(ISNUMBER($I404)), IF(AND($I404&lt;=20%,$I404&gt;0%), $E404/SUMIFS($E$19:$E$521,$I$19:$I$521, "&gt;"&amp;0%,$I$19:$I$521, "&lt;="&amp;20%),""),"")</f>
        <v>3.650111791710429E-4</v>
      </c>
      <c r="G404" s="111">
        <v>1.395150999574649E-2</v>
      </c>
      <c r="H404" s="110">
        <f t="shared" si="24"/>
        <v>5.0924571147640178E-6</v>
      </c>
      <c r="I404" s="111">
        <v>0.11</v>
      </c>
      <c r="J404" s="110">
        <f t="shared" si="25"/>
        <v>4.0151229708814723E-5</v>
      </c>
      <c r="L404" s="112"/>
    </row>
    <row r="405" spans="1:12" x14ac:dyDescent="0.2">
      <c r="A405" s="99" t="s">
        <v>171</v>
      </c>
      <c r="B405" s="108" t="s">
        <v>172</v>
      </c>
      <c r="C405" s="109">
        <v>296.072</v>
      </c>
      <c r="D405" s="109">
        <v>152.08000000000001</v>
      </c>
      <c r="E405" s="109">
        <f t="shared" si="26"/>
        <v>45026.629760000003</v>
      </c>
      <c r="F405" s="110">
        <f t="shared" si="27"/>
        <v>1.5916073146795236E-3</v>
      </c>
      <c r="G405" s="111">
        <v>5.9179379274066279E-3</v>
      </c>
      <c r="H405" s="110">
        <f t="shared" si="24"/>
        <v>9.4190332930797688E-6</v>
      </c>
      <c r="I405" s="111">
        <v>0.12</v>
      </c>
      <c r="J405" s="110">
        <f t="shared" si="25"/>
        <v>1.9099287776154283E-4</v>
      </c>
      <c r="L405" s="112"/>
    </row>
    <row r="406" spans="1:12" x14ac:dyDescent="0.2">
      <c r="A406" s="99" t="s">
        <v>1078</v>
      </c>
      <c r="B406" s="108" t="s">
        <v>1079</v>
      </c>
      <c r="C406" s="109">
        <v>2428.3960000000002</v>
      </c>
      <c r="D406" s="109">
        <v>14.82</v>
      </c>
      <c r="E406" s="109">
        <f t="shared" si="26"/>
        <v>35988.828720000005</v>
      </c>
      <c r="F406" s="110" t="str">
        <f t="shared" si="27"/>
        <v/>
      </c>
      <c r="G406" s="111" t="s">
        <v>175</v>
      </c>
      <c r="H406" s="110" t="str">
        <f t="shared" si="24"/>
        <v/>
      </c>
      <c r="I406" s="111" t="s">
        <v>175</v>
      </c>
      <c r="J406" s="110" t="str">
        <f t="shared" si="25"/>
        <v/>
      </c>
      <c r="L406" s="112"/>
    </row>
    <row r="407" spans="1:12" x14ac:dyDescent="0.2">
      <c r="A407" s="99" t="s">
        <v>1304</v>
      </c>
      <c r="B407" s="108" t="s">
        <v>1305</v>
      </c>
      <c r="C407" s="109">
        <v>238.828</v>
      </c>
      <c r="D407" s="109">
        <v>499.99</v>
      </c>
      <c r="E407" s="109">
        <f t="shared" si="26"/>
        <v>119411.61172</v>
      </c>
      <c r="F407" s="110">
        <f t="shared" si="27"/>
        <v>4.2209775789184703E-3</v>
      </c>
      <c r="G407" s="111">
        <v>1.1840236804736094E-2</v>
      </c>
      <c r="H407" s="110">
        <f t="shared" si="24"/>
        <v>4.9977374081876321E-5</v>
      </c>
      <c r="I407" s="111">
        <v>0.125</v>
      </c>
      <c r="J407" s="110">
        <f t="shared" si="25"/>
        <v>5.2762219736480879E-4</v>
      </c>
      <c r="L407" s="112"/>
    </row>
    <row r="408" spans="1:12" x14ac:dyDescent="0.2">
      <c r="A408" s="99" t="s">
        <v>1012</v>
      </c>
      <c r="B408" s="108" t="s">
        <v>1013</v>
      </c>
      <c r="C408" s="109">
        <v>246.625</v>
      </c>
      <c r="D408" s="109">
        <v>58.06</v>
      </c>
      <c r="E408" s="109">
        <f t="shared" si="26"/>
        <v>14319.047500000001</v>
      </c>
      <c r="F408" s="110">
        <f t="shared" si="27"/>
        <v>5.0615160099078994E-4</v>
      </c>
      <c r="G408" s="111" t="s">
        <v>175</v>
      </c>
      <c r="H408" s="110" t="str">
        <f t="shared" si="24"/>
        <v/>
      </c>
      <c r="I408" s="111">
        <v>0.1</v>
      </c>
      <c r="J408" s="110">
        <f t="shared" si="25"/>
        <v>5.0615160099078996E-5</v>
      </c>
      <c r="L408" s="112"/>
    </row>
    <row r="409" spans="1:12" x14ac:dyDescent="0.2">
      <c r="A409" s="99" t="s">
        <v>366</v>
      </c>
      <c r="B409" s="108" t="s">
        <v>367</v>
      </c>
      <c r="C409" s="109">
        <v>359.72500000000002</v>
      </c>
      <c r="D409" s="109">
        <v>176.66</v>
      </c>
      <c r="E409" s="109">
        <f t="shared" si="26"/>
        <v>63549.018500000006</v>
      </c>
      <c r="F409" s="110">
        <f t="shared" si="27"/>
        <v>2.2463391824888023E-3</v>
      </c>
      <c r="G409" s="111">
        <v>2.2642363862787274E-2</v>
      </c>
      <c r="H409" s="110">
        <f t="shared" si="24"/>
        <v>5.0862429129147563E-5</v>
      </c>
      <c r="I409" s="111">
        <v>8.5000000000000006E-2</v>
      </c>
      <c r="J409" s="110">
        <f t="shared" si="25"/>
        <v>1.9093883051154821E-4</v>
      </c>
      <c r="L409" s="112"/>
    </row>
    <row r="410" spans="1:12" x14ac:dyDescent="0.2">
      <c r="A410" s="99" t="s">
        <v>653</v>
      </c>
      <c r="B410" s="108" t="s">
        <v>654</v>
      </c>
      <c r="C410" s="109">
        <v>324.55599999999998</v>
      </c>
      <c r="D410" s="109">
        <v>32.299999999999997</v>
      </c>
      <c r="E410" s="109">
        <f t="shared" si="26"/>
        <v>10483.158799999999</v>
      </c>
      <c r="F410" s="110">
        <f t="shared" si="27"/>
        <v>3.7056009556925398E-4</v>
      </c>
      <c r="G410" s="111">
        <v>2.7244582043343655E-2</v>
      </c>
      <c r="H410" s="110">
        <f t="shared" si="24"/>
        <v>1.0095754925725806E-5</v>
      </c>
      <c r="I410" s="111">
        <v>0.105</v>
      </c>
      <c r="J410" s="110">
        <f t="shared" si="25"/>
        <v>3.8908810034771668E-5</v>
      </c>
      <c r="L410" s="112"/>
    </row>
    <row r="411" spans="1:12" x14ac:dyDescent="0.2">
      <c r="A411" s="99" t="s">
        <v>299</v>
      </c>
      <c r="B411" s="108" t="s">
        <v>300</v>
      </c>
      <c r="C411" s="109">
        <v>150.196</v>
      </c>
      <c r="D411" s="109">
        <v>759.21</v>
      </c>
      <c r="E411" s="109">
        <f t="shared" si="26"/>
        <v>114030.30516</v>
      </c>
      <c r="F411" s="110">
        <f t="shared" si="27"/>
        <v>4.0307584368445126E-3</v>
      </c>
      <c r="G411" s="111">
        <v>2.6343172508265168E-2</v>
      </c>
      <c r="H411" s="110">
        <f t="shared" si="24"/>
        <v>1.0618296484094025E-4</v>
      </c>
      <c r="I411" s="111">
        <v>8.5000000000000006E-2</v>
      </c>
      <c r="J411" s="110">
        <f t="shared" si="25"/>
        <v>3.426144671317836E-4</v>
      </c>
      <c r="L411" s="112"/>
    </row>
    <row r="412" spans="1:12" x14ac:dyDescent="0.2">
      <c r="A412" s="99" t="s">
        <v>449</v>
      </c>
      <c r="B412" s="108" t="s">
        <v>450</v>
      </c>
      <c r="C412" s="109">
        <v>193.74199999999999</v>
      </c>
      <c r="D412" s="109">
        <v>116.37</v>
      </c>
      <c r="E412" s="109">
        <f t="shared" si="26"/>
        <v>22545.756539999998</v>
      </c>
      <c r="F412" s="110">
        <f t="shared" si="27"/>
        <v>7.9695040946470568E-4</v>
      </c>
      <c r="G412" s="111">
        <v>3.2740397009538541E-2</v>
      </c>
      <c r="H412" s="110">
        <f t="shared" si="24"/>
        <v>2.6092472802788765E-5</v>
      </c>
      <c r="I412" s="111">
        <v>4.4999999999999998E-2</v>
      </c>
      <c r="J412" s="110">
        <f t="shared" si="25"/>
        <v>3.5862768425911751E-5</v>
      </c>
      <c r="L412" s="112"/>
    </row>
    <row r="413" spans="1:12" x14ac:dyDescent="0.2">
      <c r="A413" s="99" t="s">
        <v>788</v>
      </c>
      <c r="B413" s="108" t="s">
        <v>789</v>
      </c>
      <c r="C413" s="109">
        <v>491.28</v>
      </c>
      <c r="D413" s="109">
        <v>60.19</v>
      </c>
      <c r="E413" s="109">
        <f t="shared" si="26"/>
        <v>29570.143199999999</v>
      </c>
      <c r="F413" s="110">
        <f t="shared" si="27"/>
        <v>1.0452493660773818E-3</v>
      </c>
      <c r="G413" s="111">
        <v>1.3291244392756273E-2</v>
      </c>
      <c r="H413" s="110">
        <f t="shared" si="24"/>
        <v>1.389266477590805E-5</v>
      </c>
      <c r="I413" s="111">
        <v>8.5000000000000006E-2</v>
      </c>
      <c r="J413" s="110">
        <f t="shared" si="25"/>
        <v>8.8846196116577455E-5</v>
      </c>
      <c r="L413" s="112"/>
    </row>
    <row r="414" spans="1:12" x14ac:dyDescent="0.2">
      <c r="A414" s="99" t="s">
        <v>340</v>
      </c>
      <c r="B414" s="108" t="s">
        <v>341</v>
      </c>
      <c r="C414" s="109">
        <v>108.428</v>
      </c>
      <c r="D414" s="109">
        <v>123.2</v>
      </c>
      <c r="E414" s="109">
        <f t="shared" si="26"/>
        <v>13358.329599999999</v>
      </c>
      <c r="F414" s="110">
        <f t="shared" si="27"/>
        <v>4.7219201651525056E-4</v>
      </c>
      <c r="G414" s="111">
        <v>2.2727272727272724E-2</v>
      </c>
      <c r="H414" s="110">
        <f t="shared" si="24"/>
        <v>1.0731636738982966E-5</v>
      </c>
      <c r="I414" s="111">
        <v>7.4999999999999997E-2</v>
      </c>
      <c r="J414" s="110">
        <f t="shared" si="25"/>
        <v>3.5414401238643788E-5</v>
      </c>
      <c r="L414" s="112"/>
    </row>
    <row r="415" spans="1:12" x14ac:dyDescent="0.2">
      <c r="A415" s="99" t="s">
        <v>874</v>
      </c>
      <c r="B415" s="108" t="s">
        <v>875</v>
      </c>
      <c r="C415" s="109">
        <v>1550.202</v>
      </c>
      <c r="D415" s="109">
        <v>104.24</v>
      </c>
      <c r="E415" s="109">
        <f t="shared" si="26"/>
        <v>161593.05648</v>
      </c>
      <c r="F415" s="110">
        <f t="shared" si="27"/>
        <v>5.7120129147100835E-3</v>
      </c>
      <c r="G415" s="111">
        <v>4.8733691481197237E-2</v>
      </c>
      <c r="H415" s="110">
        <f t="shared" si="24"/>
        <v>2.7836747512209538E-4</v>
      </c>
      <c r="I415" s="111">
        <v>0.05</v>
      </c>
      <c r="J415" s="110">
        <f t="shared" si="25"/>
        <v>2.8560064573550419E-4</v>
      </c>
      <c r="L415" s="112"/>
    </row>
    <row r="416" spans="1:12" x14ac:dyDescent="0.2">
      <c r="A416" s="99" t="s">
        <v>393</v>
      </c>
      <c r="B416" s="108" t="s">
        <v>394</v>
      </c>
      <c r="C416" s="109">
        <v>1000</v>
      </c>
      <c r="D416" s="109">
        <v>167.97</v>
      </c>
      <c r="E416" s="109">
        <f t="shared" si="26"/>
        <v>167970</v>
      </c>
      <c r="F416" s="110">
        <f t="shared" si="27"/>
        <v>5.9374259648501742E-3</v>
      </c>
      <c r="G416" s="111" t="s">
        <v>175</v>
      </c>
      <c r="H416" s="110" t="str">
        <f t="shared" si="24"/>
        <v/>
      </c>
      <c r="I416" s="111">
        <v>0.19500000000000001</v>
      </c>
      <c r="J416" s="110">
        <f t="shared" si="25"/>
        <v>1.157798063145784E-3</v>
      </c>
      <c r="L416" s="112"/>
    </row>
    <row r="417" spans="1:12" x14ac:dyDescent="0.2">
      <c r="A417" s="99" t="s">
        <v>632</v>
      </c>
      <c r="B417" s="108" t="s">
        <v>633</v>
      </c>
      <c r="C417" s="109">
        <v>404.92599999999999</v>
      </c>
      <c r="D417" s="109">
        <v>56</v>
      </c>
      <c r="E417" s="109">
        <f t="shared" si="26"/>
        <v>22675.856</v>
      </c>
      <c r="F417" s="110" t="str">
        <f t="shared" si="27"/>
        <v/>
      </c>
      <c r="G417" s="111">
        <v>1.4285714285714286E-3</v>
      </c>
      <c r="H417" s="110" t="str">
        <f t="shared" si="24"/>
        <v/>
      </c>
      <c r="I417" s="111" t="s">
        <v>175</v>
      </c>
      <c r="J417" s="110" t="str">
        <f t="shared" si="25"/>
        <v/>
      </c>
      <c r="L417" s="112"/>
    </row>
    <row r="418" spans="1:12" x14ac:dyDescent="0.2">
      <c r="A418" s="99" t="s">
        <v>584</v>
      </c>
      <c r="B418" s="108" t="s">
        <v>585</v>
      </c>
      <c r="C418" s="109">
        <v>39.904000000000003</v>
      </c>
      <c r="D418" s="109">
        <v>220.54</v>
      </c>
      <c r="E418" s="109">
        <f t="shared" si="26"/>
        <v>8800.4281600000013</v>
      </c>
      <c r="F418" s="110">
        <f t="shared" si="27"/>
        <v>3.1107870845378729E-4</v>
      </c>
      <c r="G418" s="111">
        <v>2.2490251201596083E-2</v>
      </c>
      <c r="H418" s="110">
        <f t="shared" si="24"/>
        <v>6.9962382965937473E-6</v>
      </c>
      <c r="I418" s="111">
        <v>0.1</v>
      </c>
      <c r="J418" s="110">
        <f t="shared" si="25"/>
        <v>3.1107870845378731E-5</v>
      </c>
      <c r="L418" s="112"/>
    </row>
    <row r="419" spans="1:12" x14ac:dyDescent="0.2">
      <c r="A419" s="99" t="s">
        <v>736</v>
      </c>
      <c r="B419" s="108" t="s">
        <v>737</v>
      </c>
      <c r="C419" s="109">
        <v>784.60599999999999</v>
      </c>
      <c r="D419" s="109">
        <v>73.02</v>
      </c>
      <c r="E419" s="109">
        <f t="shared" si="26"/>
        <v>57291.930119999997</v>
      </c>
      <c r="F419" s="110">
        <f t="shared" si="27"/>
        <v>2.0251627878244316E-3</v>
      </c>
      <c r="G419" s="111">
        <v>2.7389756231169543E-2</v>
      </c>
      <c r="H419" s="110">
        <f t="shared" si="24"/>
        <v>5.546871508694691E-5</v>
      </c>
      <c r="I419" s="111">
        <v>0.05</v>
      </c>
      <c r="J419" s="110">
        <f t="shared" si="25"/>
        <v>1.0125813939122159E-4</v>
      </c>
      <c r="L419" s="112"/>
    </row>
    <row r="420" spans="1:12" x14ac:dyDescent="0.2">
      <c r="A420" s="99" t="s">
        <v>1010</v>
      </c>
      <c r="B420" s="108" t="s">
        <v>1011</v>
      </c>
      <c r="C420" s="109">
        <v>240.96100000000001</v>
      </c>
      <c r="D420" s="109">
        <v>45.57</v>
      </c>
      <c r="E420" s="109">
        <f t="shared" si="26"/>
        <v>10980.592770000001</v>
      </c>
      <c r="F420" s="110">
        <f t="shared" si="27"/>
        <v>3.8814345789155272E-4</v>
      </c>
      <c r="G420" s="111">
        <v>2.6333113890717578E-2</v>
      </c>
      <c r="H420" s="110">
        <f t="shared" si="24"/>
        <v>1.02210258825952E-5</v>
      </c>
      <c r="I420" s="111">
        <v>0.13500000000000001</v>
      </c>
      <c r="J420" s="110">
        <f t="shared" si="25"/>
        <v>5.2399366815359619E-5</v>
      </c>
      <c r="L420" s="112"/>
    </row>
    <row r="421" spans="1:12" x14ac:dyDescent="0.2">
      <c r="A421" s="99" t="s">
        <v>397</v>
      </c>
      <c r="B421" s="108" t="s">
        <v>398</v>
      </c>
      <c r="C421" s="109">
        <v>2102.4090000000001</v>
      </c>
      <c r="D421" s="109">
        <v>30.92</v>
      </c>
      <c r="E421" s="109">
        <f t="shared" si="26"/>
        <v>65006.486280000005</v>
      </c>
      <c r="F421" s="110">
        <f t="shared" si="27"/>
        <v>2.2978579479820721E-3</v>
      </c>
      <c r="G421" s="111">
        <v>1.2936610608020699E-2</v>
      </c>
      <c r="H421" s="110">
        <f t="shared" si="24"/>
        <v>2.972649350558955E-5</v>
      </c>
      <c r="I421" s="111">
        <v>0.105</v>
      </c>
      <c r="J421" s="110">
        <f t="shared" si="25"/>
        <v>2.4127508453811755E-4</v>
      </c>
      <c r="L421" s="112"/>
    </row>
    <row r="422" spans="1:12" x14ac:dyDescent="0.2">
      <c r="A422" s="99" t="s">
        <v>493</v>
      </c>
      <c r="B422" s="108" t="s">
        <v>494</v>
      </c>
      <c r="C422" s="109">
        <v>618.26</v>
      </c>
      <c r="D422" s="109">
        <v>76.7</v>
      </c>
      <c r="E422" s="109">
        <f t="shared" si="26"/>
        <v>47420.542000000001</v>
      </c>
      <c r="F422" s="110">
        <f t="shared" si="27"/>
        <v>1.6762276438534753E-3</v>
      </c>
      <c r="G422" s="111" t="s">
        <v>175</v>
      </c>
      <c r="H422" s="110" t="str">
        <f t="shared" si="24"/>
        <v/>
      </c>
      <c r="I422" s="111">
        <v>0.11</v>
      </c>
      <c r="J422" s="110">
        <f t="shared" si="25"/>
        <v>1.8438504082388227E-4</v>
      </c>
      <c r="L422" s="112"/>
    </row>
    <row r="423" spans="1:12" x14ac:dyDescent="0.2">
      <c r="A423" s="99" t="s">
        <v>232</v>
      </c>
      <c r="B423" s="108" t="s">
        <v>233</v>
      </c>
      <c r="C423" s="109">
        <v>106.417</v>
      </c>
      <c r="D423" s="109">
        <v>350.12</v>
      </c>
      <c r="E423" s="109">
        <f t="shared" si="26"/>
        <v>37258.72004</v>
      </c>
      <c r="F423" s="110">
        <f t="shared" si="27"/>
        <v>1.317026205766384E-3</v>
      </c>
      <c r="G423" s="111">
        <v>1.428081800525534E-2</v>
      </c>
      <c r="H423" s="110">
        <f t="shared" si="24"/>
        <v>1.8808211552701701E-5</v>
      </c>
      <c r="I423" s="111">
        <v>0.13500000000000001</v>
      </c>
      <c r="J423" s="110">
        <f t="shared" si="25"/>
        <v>1.7779853777846185E-4</v>
      </c>
      <c r="L423" s="112"/>
    </row>
    <row r="424" spans="1:12" x14ac:dyDescent="0.2">
      <c r="A424" s="99" t="s">
        <v>1118</v>
      </c>
      <c r="B424" s="108" t="s">
        <v>1119</v>
      </c>
      <c r="C424" s="109">
        <v>51.63</v>
      </c>
      <c r="D424" s="109">
        <v>316.18</v>
      </c>
      <c r="E424" s="109">
        <f t="shared" si="26"/>
        <v>16324.3734</v>
      </c>
      <c r="F424" s="110">
        <f t="shared" si="27"/>
        <v>5.7703612838643523E-4</v>
      </c>
      <c r="G424" s="111" t="s">
        <v>175</v>
      </c>
      <c r="H424" s="110" t="str">
        <f t="shared" si="24"/>
        <v/>
      </c>
      <c r="I424" s="111">
        <v>0.115</v>
      </c>
      <c r="J424" s="110">
        <f t="shared" si="25"/>
        <v>6.6359154764440053E-5</v>
      </c>
      <c r="L424" s="112"/>
    </row>
    <row r="425" spans="1:12" x14ac:dyDescent="0.2">
      <c r="A425" s="99" t="s">
        <v>1116</v>
      </c>
      <c r="B425" s="108" t="s">
        <v>1117</v>
      </c>
      <c r="C425" s="109">
        <v>209.852</v>
      </c>
      <c r="D425" s="109">
        <v>127.34</v>
      </c>
      <c r="E425" s="109">
        <f t="shared" si="26"/>
        <v>26722.553680000001</v>
      </c>
      <c r="F425" s="110">
        <f t="shared" si="27"/>
        <v>9.4459239189578249E-4</v>
      </c>
      <c r="G425" s="111">
        <v>7.5388723103502432E-3</v>
      </c>
      <c r="H425" s="110">
        <f t="shared" si="24"/>
        <v>7.1211614278306205E-6</v>
      </c>
      <c r="I425" s="111">
        <v>5.5E-2</v>
      </c>
      <c r="J425" s="110">
        <f t="shared" si="25"/>
        <v>5.195258155426804E-5</v>
      </c>
      <c r="L425" s="112"/>
    </row>
    <row r="426" spans="1:12" x14ac:dyDescent="0.2">
      <c r="A426" s="99" t="s">
        <v>329</v>
      </c>
      <c r="B426" s="108" t="s">
        <v>330</v>
      </c>
      <c r="C426" s="109">
        <v>315.94900000000001</v>
      </c>
      <c r="D426" s="109">
        <v>85.51</v>
      </c>
      <c r="E426" s="109">
        <f t="shared" si="26"/>
        <v>27016.798990000003</v>
      </c>
      <c r="F426" s="110">
        <f t="shared" si="27"/>
        <v>9.5499341436187403E-4</v>
      </c>
      <c r="G426" s="111" t="s">
        <v>175</v>
      </c>
      <c r="H426" s="110" t="str">
        <f t="shared" si="24"/>
        <v/>
      </c>
      <c r="I426" s="111">
        <v>8.5000000000000006E-2</v>
      </c>
      <c r="J426" s="110">
        <f t="shared" si="25"/>
        <v>8.1174440220759293E-5</v>
      </c>
      <c r="L426" s="112"/>
    </row>
    <row r="427" spans="1:12" x14ac:dyDescent="0.2">
      <c r="A427" s="99" t="s">
        <v>389</v>
      </c>
      <c r="B427" s="108" t="s">
        <v>390</v>
      </c>
      <c r="C427" s="109">
        <v>106.52800000000001</v>
      </c>
      <c r="D427" s="109">
        <v>123.21</v>
      </c>
      <c r="E427" s="109">
        <f t="shared" si="26"/>
        <v>13125.31488</v>
      </c>
      <c r="F427" s="110">
        <f t="shared" si="27"/>
        <v>4.6395538111178395E-4</v>
      </c>
      <c r="G427" s="111">
        <v>3.0517003489976463E-2</v>
      </c>
      <c r="H427" s="110">
        <f t="shared" si="24"/>
        <v>1.4158527984581671E-5</v>
      </c>
      <c r="I427" s="111">
        <v>3.5000000000000003E-2</v>
      </c>
      <c r="J427" s="110">
        <f t="shared" si="25"/>
        <v>1.6238438338912438E-5</v>
      </c>
      <c r="L427" s="112"/>
    </row>
    <row r="428" spans="1:12" x14ac:dyDescent="0.2">
      <c r="A428" s="99" t="s">
        <v>716</v>
      </c>
      <c r="B428" s="108" t="s">
        <v>717</v>
      </c>
      <c r="C428" s="109">
        <v>948</v>
      </c>
      <c r="D428" s="109">
        <v>370.6</v>
      </c>
      <c r="E428" s="109">
        <f t="shared" si="26"/>
        <v>351328.80000000005</v>
      </c>
      <c r="F428" s="110">
        <f t="shared" si="27"/>
        <v>1.2418817284751171E-2</v>
      </c>
      <c r="G428" s="111">
        <v>6.1521856449001612E-3</v>
      </c>
      <c r="H428" s="110">
        <f t="shared" si="24"/>
        <v>7.6402869425884156E-5</v>
      </c>
      <c r="I428" s="111">
        <v>0.185</v>
      </c>
      <c r="J428" s="110">
        <f t="shared" si="25"/>
        <v>2.2974811976789666E-3</v>
      </c>
      <c r="L428" s="112"/>
    </row>
    <row r="429" spans="1:12" x14ac:dyDescent="0.2">
      <c r="A429" s="99" t="s">
        <v>673</v>
      </c>
      <c r="B429" s="108" t="s">
        <v>674</v>
      </c>
      <c r="C429" s="109">
        <v>158.023</v>
      </c>
      <c r="D429" s="109">
        <v>70.45</v>
      </c>
      <c r="E429" s="109">
        <f t="shared" si="26"/>
        <v>11132.72035</v>
      </c>
      <c r="F429" s="110" t="str">
        <f t="shared" si="27"/>
        <v/>
      </c>
      <c r="G429" s="111" t="s">
        <v>175</v>
      </c>
      <c r="H429" s="110" t="str">
        <f t="shared" si="24"/>
        <v/>
      </c>
      <c r="I429" s="111">
        <v>-0.03</v>
      </c>
      <c r="J429" s="110" t="str">
        <f t="shared" si="25"/>
        <v/>
      </c>
      <c r="L429" s="112"/>
    </row>
    <row r="430" spans="1:12" x14ac:dyDescent="0.2">
      <c r="A430" s="99" t="s">
        <v>610</v>
      </c>
      <c r="B430" s="108" t="s">
        <v>611</v>
      </c>
      <c r="C430" s="109">
        <v>558.55200000000002</v>
      </c>
      <c r="D430" s="109">
        <v>107.55</v>
      </c>
      <c r="E430" s="109">
        <f t="shared" si="26"/>
        <v>60072.267599999999</v>
      </c>
      <c r="F430" s="110">
        <f t="shared" si="27"/>
        <v>2.1234425279256287E-3</v>
      </c>
      <c r="G430" s="111">
        <v>1.4132961413296142E-2</v>
      </c>
      <c r="H430" s="110">
        <f t="shared" si="24"/>
        <v>3.0010531310524926E-5</v>
      </c>
      <c r="I430" s="111">
        <v>7.0000000000000007E-2</v>
      </c>
      <c r="J430" s="110">
        <f t="shared" si="25"/>
        <v>1.4864097695479401E-4</v>
      </c>
      <c r="L430" s="112"/>
    </row>
    <row r="431" spans="1:12" x14ac:dyDescent="0.2">
      <c r="A431" s="99" t="s">
        <v>520</v>
      </c>
      <c r="B431" s="108" t="s">
        <v>521</v>
      </c>
      <c r="C431" s="109">
        <v>593.37900000000002</v>
      </c>
      <c r="D431" s="109">
        <v>75.040000000000006</v>
      </c>
      <c r="E431" s="109">
        <f t="shared" si="26"/>
        <v>44527.160160000007</v>
      </c>
      <c r="F431" s="110" t="str">
        <f t="shared" si="27"/>
        <v/>
      </c>
      <c r="G431" s="111">
        <v>2.5053304904051169E-2</v>
      </c>
      <c r="H431" s="110" t="str">
        <f t="shared" si="24"/>
        <v/>
      </c>
      <c r="I431" s="111">
        <v>0.52</v>
      </c>
      <c r="J431" s="110" t="str">
        <f t="shared" si="25"/>
        <v/>
      </c>
      <c r="L431" s="112"/>
    </row>
    <row r="432" spans="1:12" x14ac:dyDescent="0.2">
      <c r="A432" s="99" t="s">
        <v>368</v>
      </c>
      <c r="B432" s="108" t="s">
        <v>369</v>
      </c>
      <c r="C432" s="109">
        <v>27.721</v>
      </c>
      <c r="D432" s="109">
        <v>1646.38</v>
      </c>
      <c r="E432" s="109">
        <f t="shared" si="26"/>
        <v>45639.299980000003</v>
      </c>
      <c r="F432" s="110" t="str">
        <f t="shared" si="27"/>
        <v/>
      </c>
      <c r="G432" s="111" t="s">
        <v>175</v>
      </c>
      <c r="H432" s="110" t="str">
        <f t="shared" si="24"/>
        <v/>
      </c>
      <c r="I432" s="111">
        <v>0.23</v>
      </c>
      <c r="J432" s="110" t="str">
        <f t="shared" si="25"/>
        <v/>
      </c>
      <c r="L432" s="112"/>
    </row>
    <row r="433" spans="1:12" x14ac:dyDescent="0.2">
      <c r="A433" s="99" t="s">
        <v>1105</v>
      </c>
      <c r="B433" s="108" t="s">
        <v>1106</v>
      </c>
      <c r="C433" s="109">
        <v>113.31399999999999</v>
      </c>
      <c r="D433" s="109">
        <v>103.64</v>
      </c>
      <c r="E433" s="109">
        <f t="shared" si="26"/>
        <v>11743.862959999999</v>
      </c>
      <c r="F433" s="110" t="str">
        <f t="shared" si="27"/>
        <v/>
      </c>
      <c r="G433" s="111" t="s">
        <v>175</v>
      </c>
      <c r="H433" s="110" t="str">
        <f t="shared" si="24"/>
        <v/>
      </c>
      <c r="I433" s="111">
        <v>0.27</v>
      </c>
      <c r="J433" s="110" t="str">
        <f t="shared" si="25"/>
        <v/>
      </c>
      <c r="L433" s="112"/>
    </row>
    <row r="434" spans="1:12" x14ac:dyDescent="0.2">
      <c r="A434" s="99" t="s">
        <v>714</v>
      </c>
      <c r="B434" s="108" t="s">
        <v>715</v>
      </c>
      <c r="C434" s="109">
        <v>230.88</v>
      </c>
      <c r="D434" s="109">
        <v>80.489999999999995</v>
      </c>
      <c r="E434" s="109">
        <f t="shared" si="26"/>
        <v>18583.531199999998</v>
      </c>
      <c r="F434" s="110" t="str">
        <f t="shared" si="27"/>
        <v/>
      </c>
      <c r="G434" s="111" t="s">
        <v>175</v>
      </c>
      <c r="H434" s="110" t="str">
        <f t="shared" si="24"/>
        <v/>
      </c>
      <c r="I434" s="111" t="s">
        <v>175</v>
      </c>
      <c r="J434" s="110" t="str">
        <f t="shared" si="25"/>
        <v/>
      </c>
      <c r="L434" s="112"/>
    </row>
    <row r="435" spans="1:12" x14ac:dyDescent="0.2">
      <c r="A435" s="99" t="s">
        <v>206</v>
      </c>
      <c r="B435" s="108" t="s">
        <v>207</v>
      </c>
      <c r="C435" s="109">
        <v>52.831000000000003</v>
      </c>
      <c r="D435" s="109">
        <v>132.59</v>
      </c>
      <c r="E435" s="109">
        <f t="shared" si="26"/>
        <v>7004.8622900000009</v>
      </c>
      <c r="F435" s="110">
        <f t="shared" si="27"/>
        <v>2.4760880657763803E-4</v>
      </c>
      <c r="G435" s="111">
        <v>2.1117731352289008E-2</v>
      </c>
      <c r="H435" s="110">
        <f t="shared" si="24"/>
        <v>5.2289362577674514E-6</v>
      </c>
      <c r="I435" s="111">
        <v>0.155</v>
      </c>
      <c r="J435" s="110">
        <f t="shared" si="25"/>
        <v>3.8379365019533892E-5</v>
      </c>
      <c r="L435" s="112"/>
    </row>
    <row r="436" spans="1:12" x14ac:dyDescent="0.2">
      <c r="A436" s="99" t="s">
        <v>804</v>
      </c>
      <c r="B436" s="108" t="s">
        <v>805</v>
      </c>
      <c r="C436" s="109">
        <v>213.38900000000001</v>
      </c>
      <c r="D436" s="109">
        <v>34.22</v>
      </c>
      <c r="E436" s="109">
        <f t="shared" si="26"/>
        <v>7302.1715800000002</v>
      </c>
      <c r="F436" s="110" t="str">
        <f t="shared" si="27"/>
        <v/>
      </c>
      <c r="G436" s="111">
        <v>4.4126241963763885E-2</v>
      </c>
      <c r="H436" s="110" t="str">
        <f t="shared" si="24"/>
        <v/>
      </c>
      <c r="I436" s="111">
        <v>-0.105</v>
      </c>
      <c r="J436" s="110" t="str">
        <f t="shared" si="25"/>
        <v/>
      </c>
      <c r="L436" s="112"/>
    </row>
    <row r="437" spans="1:12" x14ac:dyDescent="0.2">
      <c r="A437" s="99" t="s">
        <v>914</v>
      </c>
      <c r="B437" s="108" t="s">
        <v>915</v>
      </c>
      <c r="C437" s="109">
        <v>934.44600000000003</v>
      </c>
      <c r="D437" s="109">
        <v>23.54</v>
      </c>
      <c r="E437" s="109">
        <f t="shared" si="26"/>
        <v>21996.858840000001</v>
      </c>
      <c r="F437" s="110">
        <f t="shared" si="27"/>
        <v>7.7754790034982493E-4</v>
      </c>
      <c r="G437" s="111">
        <v>3.3984706881903144E-2</v>
      </c>
      <c r="H437" s="110">
        <f t="shared" si="24"/>
        <v>2.6424737480028034E-5</v>
      </c>
      <c r="I437" s="111">
        <v>0.115</v>
      </c>
      <c r="J437" s="110">
        <f t="shared" si="25"/>
        <v>8.9418008540229874E-5</v>
      </c>
      <c r="L437" s="112"/>
    </row>
    <row r="438" spans="1:12" x14ac:dyDescent="0.2">
      <c r="A438" s="99" t="s">
        <v>752</v>
      </c>
      <c r="B438" s="108" t="s">
        <v>753</v>
      </c>
      <c r="C438" s="109">
        <v>521.74400000000003</v>
      </c>
      <c r="D438" s="109">
        <v>104.08</v>
      </c>
      <c r="E438" s="109">
        <f t="shared" si="26"/>
        <v>54303.115519999999</v>
      </c>
      <c r="F438" s="110">
        <f t="shared" si="27"/>
        <v>1.9195137706775405E-3</v>
      </c>
      <c r="G438" s="111" t="s">
        <v>175</v>
      </c>
      <c r="H438" s="110" t="str">
        <f t="shared" si="24"/>
        <v/>
      </c>
      <c r="I438" s="111">
        <v>0.105</v>
      </c>
      <c r="J438" s="110">
        <f t="shared" si="25"/>
        <v>2.0154894592114175E-4</v>
      </c>
      <c r="L438" s="112"/>
    </row>
    <row r="439" spans="1:12" x14ac:dyDescent="0.2">
      <c r="A439" s="99" t="s">
        <v>758</v>
      </c>
      <c r="B439" s="108" t="s">
        <v>759</v>
      </c>
      <c r="C439" s="109">
        <v>340.48099999999999</v>
      </c>
      <c r="D439" s="109">
        <v>49.54</v>
      </c>
      <c r="E439" s="109">
        <f t="shared" si="26"/>
        <v>16867.428739999999</v>
      </c>
      <c r="F439" s="110" t="str">
        <f t="shared" si="27"/>
        <v/>
      </c>
      <c r="G439" s="111">
        <v>1.6148566814695196E-2</v>
      </c>
      <c r="H439" s="110" t="str">
        <f t="shared" si="24"/>
        <v/>
      </c>
      <c r="I439" s="111">
        <v>0.38</v>
      </c>
      <c r="J439" s="110" t="str">
        <f t="shared" si="25"/>
        <v/>
      </c>
      <c r="L439" s="112"/>
    </row>
    <row r="440" spans="1:12" x14ac:dyDescent="0.2">
      <c r="A440" s="99" t="s">
        <v>297</v>
      </c>
      <c r="B440" s="108" t="s">
        <v>298</v>
      </c>
      <c r="C440" s="109">
        <v>1001.468</v>
      </c>
      <c r="D440" s="109">
        <v>31.74</v>
      </c>
      <c r="E440" s="109">
        <f t="shared" si="26"/>
        <v>31786.594319999997</v>
      </c>
      <c r="F440" s="110" t="str">
        <f t="shared" si="27"/>
        <v/>
      </c>
      <c r="G440" s="111">
        <v>2.3944549464398238E-2</v>
      </c>
      <c r="H440" s="110" t="str">
        <f t="shared" si="24"/>
        <v/>
      </c>
      <c r="I440" s="111" t="s">
        <v>175</v>
      </c>
      <c r="J440" s="110" t="str">
        <f t="shared" si="25"/>
        <v/>
      </c>
      <c r="L440" s="112"/>
    </row>
    <row r="441" spans="1:12" x14ac:dyDescent="0.2">
      <c r="A441" s="99" t="s">
        <v>499</v>
      </c>
      <c r="B441" s="108" t="s">
        <v>500</v>
      </c>
      <c r="C441" s="109">
        <v>150.56700000000001</v>
      </c>
      <c r="D441" s="109">
        <v>114.3</v>
      </c>
      <c r="E441" s="109">
        <f t="shared" si="26"/>
        <v>17209.808100000002</v>
      </c>
      <c r="F441" s="110" t="str">
        <f t="shared" si="27"/>
        <v/>
      </c>
      <c r="G441" s="111" t="s">
        <v>175</v>
      </c>
      <c r="H441" s="110" t="str">
        <f t="shared" si="24"/>
        <v/>
      </c>
      <c r="I441" s="111" t="s">
        <v>175</v>
      </c>
      <c r="J441" s="110" t="str">
        <f t="shared" si="25"/>
        <v/>
      </c>
      <c r="L441" s="112"/>
    </row>
    <row r="442" spans="1:12" x14ac:dyDescent="0.2">
      <c r="A442" s="99" t="s">
        <v>344</v>
      </c>
      <c r="B442" s="108" t="s">
        <v>345</v>
      </c>
      <c r="C442" s="109">
        <v>196.18899999999999</v>
      </c>
      <c r="D442" s="109">
        <v>84.7</v>
      </c>
      <c r="E442" s="109">
        <f t="shared" si="26"/>
        <v>16617.208299999998</v>
      </c>
      <c r="F442" s="110" t="str">
        <f t="shared" si="27"/>
        <v/>
      </c>
      <c r="G442" s="111">
        <v>1.8890200708382526E-2</v>
      </c>
      <c r="H442" s="110" t="str">
        <f t="shared" si="24"/>
        <v/>
      </c>
      <c r="I442" s="111">
        <v>0.32</v>
      </c>
      <c r="J442" s="110" t="str">
        <f t="shared" si="25"/>
        <v/>
      </c>
      <c r="L442" s="112"/>
    </row>
    <row r="443" spans="1:12" x14ac:dyDescent="0.2">
      <c r="A443" s="99" t="s">
        <v>681</v>
      </c>
      <c r="B443" s="108" t="s">
        <v>682</v>
      </c>
      <c r="C443" s="109">
        <v>136.69</v>
      </c>
      <c r="D443" s="109">
        <v>98.84</v>
      </c>
      <c r="E443" s="109">
        <f t="shared" si="26"/>
        <v>13510.4396</v>
      </c>
      <c r="F443" s="110">
        <f t="shared" si="27"/>
        <v>4.7756882108459847E-4</v>
      </c>
      <c r="G443" s="111">
        <v>1.4569000404694455E-2</v>
      </c>
      <c r="H443" s="110">
        <f t="shared" si="24"/>
        <v>6.9577003476509694E-6</v>
      </c>
      <c r="I443" s="111">
        <v>8.5000000000000006E-2</v>
      </c>
      <c r="J443" s="110">
        <f t="shared" si="25"/>
        <v>4.0593349792190875E-5</v>
      </c>
      <c r="L443" s="112"/>
    </row>
    <row r="444" spans="1:12" x14ac:dyDescent="0.2">
      <c r="A444" s="99" t="s">
        <v>246</v>
      </c>
      <c r="B444" s="108" t="s">
        <v>247</v>
      </c>
      <c r="C444" s="109">
        <v>321.512</v>
      </c>
      <c r="D444" s="109">
        <v>44.33</v>
      </c>
      <c r="E444" s="109">
        <f t="shared" si="26"/>
        <v>14252.62696</v>
      </c>
      <c r="F444" s="110" t="str">
        <f t="shared" si="27"/>
        <v/>
      </c>
      <c r="G444" s="111">
        <v>2.2558087074216106E-2</v>
      </c>
      <c r="H444" s="110" t="str">
        <f t="shared" si="24"/>
        <v/>
      </c>
      <c r="I444" s="111" t="s">
        <v>175</v>
      </c>
      <c r="J444" s="110" t="str">
        <f t="shared" si="25"/>
        <v/>
      </c>
      <c r="L444" s="112"/>
    </row>
    <row r="445" spans="1:12" x14ac:dyDescent="0.2">
      <c r="A445" s="99" t="s">
        <v>557</v>
      </c>
      <c r="B445" s="108" t="s">
        <v>558</v>
      </c>
      <c r="C445" s="109">
        <v>6086</v>
      </c>
      <c r="D445" s="109">
        <v>99.87</v>
      </c>
      <c r="E445" s="109">
        <f t="shared" si="26"/>
        <v>607808.82000000007</v>
      </c>
      <c r="F445" s="110">
        <f t="shared" si="27"/>
        <v>2.1484907242560851E-2</v>
      </c>
      <c r="G445" s="111" t="s">
        <v>175</v>
      </c>
      <c r="H445" s="110" t="str">
        <f t="shared" si="24"/>
        <v/>
      </c>
      <c r="I445" s="111">
        <v>0.185</v>
      </c>
      <c r="J445" s="110">
        <f t="shared" si="25"/>
        <v>3.9747078398737574E-3</v>
      </c>
      <c r="L445" s="112"/>
    </row>
    <row r="446" spans="1:12" x14ac:dyDescent="0.2">
      <c r="A446" s="99" t="s">
        <v>1306</v>
      </c>
      <c r="B446" s="108" t="s">
        <v>1307</v>
      </c>
      <c r="C446" s="109">
        <v>106.60599999999999</v>
      </c>
      <c r="D446" s="109">
        <v>177.6</v>
      </c>
      <c r="E446" s="109">
        <f t="shared" si="26"/>
        <v>18933.225599999998</v>
      </c>
      <c r="F446" s="110" t="str">
        <f t="shared" si="27"/>
        <v/>
      </c>
      <c r="G446" s="111" t="s">
        <v>175</v>
      </c>
      <c r="H446" s="110" t="str">
        <f t="shared" si="24"/>
        <v/>
      </c>
      <c r="I446" s="111">
        <v>0.20499999999999999</v>
      </c>
      <c r="J446" s="110" t="str">
        <f t="shared" si="25"/>
        <v/>
      </c>
      <c r="L446" s="112"/>
    </row>
    <row r="447" spans="1:12" x14ac:dyDescent="0.2">
      <c r="A447" s="99" t="s">
        <v>994</v>
      </c>
      <c r="B447" s="108" t="s">
        <v>995</v>
      </c>
      <c r="C447" s="109">
        <v>316.45699999999999</v>
      </c>
      <c r="D447" s="109">
        <v>127.15</v>
      </c>
      <c r="E447" s="109">
        <f t="shared" si="26"/>
        <v>40237.507550000002</v>
      </c>
      <c r="F447" s="110">
        <f t="shared" si="27"/>
        <v>1.4223207839984815E-3</v>
      </c>
      <c r="G447" s="111">
        <v>1.7616987809673613E-2</v>
      </c>
      <c r="H447" s="110">
        <f t="shared" si="24"/>
        <v>2.5057007913146664E-5</v>
      </c>
      <c r="I447" s="111">
        <v>0.105</v>
      </c>
      <c r="J447" s="110">
        <f t="shared" si="25"/>
        <v>1.4934368231984054E-4</v>
      </c>
      <c r="L447" s="112"/>
    </row>
    <row r="448" spans="1:12" x14ac:dyDescent="0.2">
      <c r="A448" s="99" t="s">
        <v>379</v>
      </c>
      <c r="B448" s="108" t="s">
        <v>380</v>
      </c>
      <c r="C448" s="109">
        <v>49.424999999999997</v>
      </c>
      <c r="D448" s="109">
        <v>348.93</v>
      </c>
      <c r="E448" s="109">
        <f t="shared" si="26"/>
        <v>17245.865249999999</v>
      </c>
      <c r="F448" s="110">
        <f t="shared" si="27"/>
        <v>6.0960914521436765E-4</v>
      </c>
      <c r="G448" s="111">
        <v>1.7195426016679562E-4</v>
      </c>
      <c r="H448" s="110">
        <f t="shared" si="24"/>
        <v>1.0482488955624927E-7</v>
      </c>
      <c r="I448" s="111">
        <v>0.14000000000000001</v>
      </c>
      <c r="J448" s="110">
        <f t="shared" si="25"/>
        <v>8.5345280330011486E-5</v>
      </c>
      <c r="L448" s="112"/>
    </row>
    <row r="449" spans="1:12" x14ac:dyDescent="0.2">
      <c r="A449" s="99" t="s">
        <v>423</v>
      </c>
      <c r="B449" s="108" t="s">
        <v>424</v>
      </c>
      <c r="C449" s="109">
        <v>267</v>
      </c>
      <c r="D449" s="109">
        <v>116.73</v>
      </c>
      <c r="E449" s="109">
        <f t="shared" si="26"/>
        <v>31166.91</v>
      </c>
      <c r="F449" s="110">
        <f t="shared" si="27"/>
        <v>1.1016920919101538E-3</v>
      </c>
      <c r="G449" s="111">
        <v>2.0560267283474685E-2</v>
      </c>
      <c r="H449" s="110">
        <f t="shared" si="24"/>
        <v>2.2651083873763119E-5</v>
      </c>
      <c r="I449" s="111">
        <v>8.5000000000000006E-2</v>
      </c>
      <c r="J449" s="110">
        <f t="shared" si="25"/>
        <v>9.3643827812363076E-5</v>
      </c>
      <c r="L449" s="112"/>
    </row>
    <row r="450" spans="1:12" x14ac:dyDescent="0.2">
      <c r="A450" s="99" t="s">
        <v>1052</v>
      </c>
      <c r="B450" s="108" t="s">
        <v>1053</v>
      </c>
      <c r="C450" s="109">
        <v>1624.954</v>
      </c>
      <c r="D450" s="109">
        <v>230.21</v>
      </c>
      <c r="E450" s="109">
        <f t="shared" si="26"/>
        <v>374080.66034</v>
      </c>
      <c r="F450" s="110">
        <f t="shared" si="27"/>
        <v>1.3223053078829641E-2</v>
      </c>
      <c r="G450" s="111">
        <v>7.8189479171191512E-3</v>
      </c>
      <c r="H450" s="110">
        <f t="shared" si="24"/>
        <v>1.0339036332867099E-4</v>
      </c>
      <c r="I450" s="111">
        <v>0.13500000000000001</v>
      </c>
      <c r="J450" s="110">
        <f t="shared" si="25"/>
        <v>1.7851121656420016E-3</v>
      </c>
      <c r="L450" s="112"/>
    </row>
    <row r="451" spans="1:12" x14ac:dyDescent="0.2">
      <c r="A451" s="99" t="s">
        <v>718</v>
      </c>
      <c r="B451" s="108" t="s">
        <v>719</v>
      </c>
      <c r="C451" s="109">
        <v>115.477</v>
      </c>
      <c r="D451" s="109">
        <v>166.72</v>
      </c>
      <c r="E451" s="109">
        <f t="shared" si="26"/>
        <v>19252.325440000001</v>
      </c>
      <c r="F451" s="110" t="str">
        <f t="shared" si="27"/>
        <v/>
      </c>
      <c r="G451" s="111">
        <v>3.3589251439539343E-2</v>
      </c>
      <c r="H451" s="110" t="str">
        <f t="shared" si="24"/>
        <v/>
      </c>
      <c r="I451" s="111">
        <v>-0.14499999999999999</v>
      </c>
      <c r="J451" s="110" t="str">
        <f t="shared" si="25"/>
        <v/>
      </c>
      <c r="L451" s="112"/>
    </row>
    <row r="452" spans="1:12" x14ac:dyDescent="0.2">
      <c r="A452" s="99" t="s">
        <v>1112</v>
      </c>
      <c r="B452" s="108" t="s">
        <v>1113</v>
      </c>
      <c r="C452" s="109">
        <v>180.256</v>
      </c>
      <c r="D452" s="109">
        <v>104.01</v>
      </c>
      <c r="E452" s="109">
        <f t="shared" si="26"/>
        <v>18748.42656</v>
      </c>
      <c r="F452" s="110">
        <f t="shared" si="27"/>
        <v>6.6272188282092423E-4</v>
      </c>
      <c r="G452" s="111">
        <v>1.1537352177675222E-2</v>
      </c>
      <c r="H452" s="110">
        <f t="shared" si="24"/>
        <v>7.6460557579570141E-6</v>
      </c>
      <c r="I452" s="111">
        <v>0.09</v>
      </c>
      <c r="J452" s="110">
        <f t="shared" si="25"/>
        <v>5.9644969453883178E-5</v>
      </c>
      <c r="L452" s="112"/>
    </row>
    <row r="453" spans="1:12" x14ac:dyDescent="0.2">
      <c r="A453" s="99" t="s">
        <v>760</v>
      </c>
      <c r="B453" s="108" t="s">
        <v>761</v>
      </c>
      <c r="C453" s="109">
        <v>468.661</v>
      </c>
      <c r="D453" s="109">
        <v>128.52000000000001</v>
      </c>
      <c r="E453" s="109">
        <f t="shared" si="26"/>
        <v>60232.311720000005</v>
      </c>
      <c r="F453" s="110" t="str">
        <f t="shared" si="27"/>
        <v/>
      </c>
      <c r="G453" s="111">
        <v>2.3342670401493928E-2</v>
      </c>
      <c r="H453" s="110" t="str">
        <f t="shared" si="24"/>
        <v/>
      </c>
      <c r="I453" s="111" t="s">
        <v>175</v>
      </c>
      <c r="J453" s="110" t="str">
        <f t="shared" si="25"/>
        <v/>
      </c>
      <c r="L453" s="112"/>
    </row>
    <row r="454" spans="1:12" x14ac:dyDescent="0.2">
      <c r="A454" s="99" t="s">
        <v>1018</v>
      </c>
      <c r="B454" s="108" t="s">
        <v>1019</v>
      </c>
      <c r="C454" s="109">
        <v>110.46299999999999</v>
      </c>
      <c r="D454" s="109">
        <v>227.99</v>
      </c>
      <c r="E454" s="109">
        <f t="shared" si="26"/>
        <v>25184.45937</v>
      </c>
      <c r="F454" s="110">
        <f t="shared" si="27"/>
        <v>8.9022362906562044E-4</v>
      </c>
      <c r="G454" s="111">
        <v>1.6141058818369226E-2</v>
      </c>
      <c r="H454" s="110">
        <f t="shared" si="24"/>
        <v>1.4369151958250288E-5</v>
      </c>
      <c r="I454" s="111">
        <v>0.13</v>
      </c>
      <c r="J454" s="110">
        <f t="shared" si="25"/>
        <v>1.1572907177853066E-4</v>
      </c>
      <c r="L454" s="112"/>
    </row>
    <row r="455" spans="1:12" x14ac:dyDescent="0.2">
      <c r="A455" s="99" t="s">
        <v>226</v>
      </c>
      <c r="B455" s="108" t="s">
        <v>227</v>
      </c>
      <c r="C455" s="109">
        <v>1612.356</v>
      </c>
      <c r="D455" s="109">
        <v>75.150000000000006</v>
      </c>
      <c r="E455" s="109">
        <f t="shared" si="26"/>
        <v>121168.5534</v>
      </c>
      <c r="F455" s="110" t="str">
        <f t="shared" si="27"/>
        <v/>
      </c>
      <c r="G455" s="111" t="s">
        <v>175</v>
      </c>
      <c r="H455" s="110" t="str">
        <f t="shared" si="24"/>
        <v/>
      </c>
      <c r="I455" s="111">
        <v>0.255</v>
      </c>
      <c r="J455" s="110" t="str">
        <f t="shared" si="25"/>
        <v/>
      </c>
      <c r="L455" s="112"/>
    </row>
    <row r="456" spans="1:12" x14ac:dyDescent="0.2">
      <c r="A456" s="99" t="s">
        <v>922</v>
      </c>
      <c r="B456" s="108" t="s">
        <v>923</v>
      </c>
      <c r="C456" s="109">
        <v>146.90899999999999</v>
      </c>
      <c r="D456" s="109">
        <v>228.37</v>
      </c>
      <c r="E456" s="109">
        <f t="shared" si="26"/>
        <v>33549.608329999995</v>
      </c>
      <c r="F456" s="110">
        <f t="shared" si="27"/>
        <v>1.1859160302976465E-3</v>
      </c>
      <c r="G456" s="111">
        <v>7.7067916101064065E-3</v>
      </c>
      <c r="H456" s="110">
        <f t="shared" si="24"/>
        <v>9.139607712588597E-6</v>
      </c>
      <c r="I456" s="111">
        <v>8.5000000000000006E-2</v>
      </c>
      <c r="J456" s="110">
        <f t="shared" si="25"/>
        <v>1.0080286257529997E-4</v>
      </c>
      <c r="L456" s="112"/>
    </row>
    <row r="457" spans="1:12" x14ac:dyDescent="0.2">
      <c r="A457" s="99" t="s">
        <v>782</v>
      </c>
      <c r="B457" s="108" t="s">
        <v>783</v>
      </c>
      <c r="C457" s="109">
        <v>22.294</v>
      </c>
      <c r="D457" s="109">
        <v>1532.92</v>
      </c>
      <c r="E457" s="109">
        <f t="shared" si="26"/>
        <v>34174.91848</v>
      </c>
      <c r="F457" s="110">
        <f t="shared" si="27"/>
        <v>1.2080195768874803E-3</v>
      </c>
      <c r="G457" s="111" t="s">
        <v>175</v>
      </c>
      <c r="H457" s="110" t="str">
        <f t="shared" si="24"/>
        <v/>
      </c>
      <c r="I457" s="111">
        <v>0.13500000000000001</v>
      </c>
      <c r="J457" s="110">
        <f t="shared" si="25"/>
        <v>1.6308264287980985E-4</v>
      </c>
      <c r="L457" s="112"/>
    </row>
    <row r="458" spans="1:12" x14ac:dyDescent="0.2">
      <c r="A458" s="99" t="s">
        <v>1309</v>
      </c>
      <c r="B458" s="108" t="s">
        <v>1310</v>
      </c>
      <c r="C458" s="109">
        <v>1033.9929999999999</v>
      </c>
      <c r="D458" s="109">
        <v>34.18</v>
      </c>
      <c r="E458" s="109">
        <f t="shared" si="26"/>
        <v>35341.880740000001</v>
      </c>
      <c r="F458" s="110">
        <f t="shared" si="27"/>
        <v>1.2492695145104144E-3</v>
      </c>
      <c r="G458" s="111">
        <v>4.5640725570509071E-2</v>
      </c>
      <c r="H458" s="110">
        <f t="shared" si="24"/>
        <v>5.7017567075372926E-5</v>
      </c>
      <c r="I458" s="111">
        <v>8.5000000000000006E-2</v>
      </c>
      <c r="J458" s="110">
        <f t="shared" si="25"/>
        <v>1.0618790873338523E-4</v>
      </c>
      <c r="L458" s="112"/>
    </row>
    <row r="459" spans="1:12" x14ac:dyDescent="0.2">
      <c r="A459" s="99" t="s">
        <v>387</v>
      </c>
      <c r="B459" s="108" t="s">
        <v>388</v>
      </c>
      <c r="C459" s="109">
        <v>476.3</v>
      </c>
      <c r="D459" s="109">
        <v>66.61</v>
      </c>
      <c r="E459" s="109">
        <f t="shared" si="26"/>
        <v>31726.343000000001</v>
      </c>
      <c r="F459" s="110">
        <f t="shared" si="27"/>
        <v>1.1214670042146966E-3</v>
      </c>
      <c r="G459" s="111" t="s">
        <v>175</v>
      </c>
      <c r="H459" s="110" t="str">
        <f t="shared" si="24"/>
        <v/>
      </c>
      <c r="I459" s="111">
        <v>7.0000000000000007E-2</v>
      </c>
      <c r="J459" s="110">
        <f t="shared" si="25"/>
        <v>7.8502690295028768E-5</v>
      </c>
      <c r="L459" s="112"/>
    </row>
    <row r="460" spans="1:12" x14ac:dyDescent="0.2">
      <c r="A460" s="99" t="s">
        <v>1308</v>
      </c>
      <c r="B460" s="108" t="s">
        <v>644</v>
      </c>
      <c r="C460" s="109">
        <v>126.611</v>
      </c>
      <c r="D460" s="109">
        <v>123.55</v>
      </c>
      <c r="E460" s="109">
        <f t="shared" si="26"/>
        <v>15642.789049999999</v>
      </c>
      <c r="F460" s="110">
        <f t="shared" si="27"/>
        <v>5.5294339386880982E-4</v>
      </c>
      <c r="G460" s="111">
        <v>8.417644678267909E-3</v>
      </c>
      <c r="H460" s="110">
        <f t="shared" si="24"/>
        <v>4.6544810167831834E-6</v>
      </c>
      <c r="I460" s="111">
        <v>0.12</v>
      </c>
      <c r="J460" s="110">
        <f t="shared" si="25"/>
        <v>6.6353207264257182E-5</v>
      </c>
      <c r="L460" s="112"/>
    </row>
    <row r="461" spans="1:12" x14ac:dyDescent="0.2">
      <c r="A461" s="99" t="s">
        <v>212</v>
      </c>
      <c r="B461" s="108" t="s">
        <v>213</v>
      </c>
      <c r="C461" s="109">
        <v>117.15300000000001</v>
      </c>
      <c r="D461" s="109">
        <v>281.45</v>
      </c>
      <c r="E461" s="109">
        <f t="shared" si="26"/>
        <v>32972.71185</v>
      </c>
      <c r="F461" s="110" t="str">
        <f t="shared" si="27"/>
        <v/>
      </c>
      <c r="G461" s="111">
        <v>5.6137857523538819E-3</v>
      </c>
      <c r="H461" s="110" t="str">
        <f t="shared" si="24"/>
        <v/>
      </c>
      <c r="I461" s="111">
        <v>0.215</v>
      </c>
      <c r="J461" s="110" t="str">
        <f t="shared" si="25"/>
        <v/>
      </c>
      <c r="L461" s="112"/>
    </row>
    <row r="462" spans="1:12" x14ac:dyDescent="0.2">
      <c r="A462" s="99" t="s">
        <v>537</v>
      </c>
      <c r="B462" s="108" t="s">
        <v>538</v>
      </c>
      <c r="C462" s="109">
        <v>781.23599999999999</v>
      </c>
      <c r="D462" s="109">
        <v>52.34</v>
      </c>
      <c r="E462" s="109">
        <f t="shared" si="26"/>
        <v>40889.892240000001</v>
      </c>
      <c r="F462" s="110" t="str">
        <f t="shared" si="27"/>
        <v/>
      </c>
      <c r="G462" s="111" t="s">
        <v>175</v>
      </c>
      <c r="H462" s="110" t="str">
        <f t="shared" si="24"/>
        <v/>
      </c>
      <c r="I462" s="111">
        <v>0.215</v>
      </c>
      <c r="J462" s="110" t="str">
        <f t="shared" si="25"/>
        <v/>
      </c>
      <c r="L462" s="112"/>
    </row>
    <row r="463" spans="1:12" x14ac:dyDescent="0.2">
      <c r="A463" s="99" t="s">
        <v>766</v>
      </c>
      <c r="B463" s="108" t="s">
        <v>767</v>
      </c>
      <c r="C463" s="109">
        <v>384.18</v>
      </c>
      <c r="D463" s="109">
        <v>176.06</v>
      </c>
      <c r="E463" s="109">
        <f t="shared" si="26"/>
        <v>67638.730800000005</v>
      </c>
      <c r="F463" s="110" t="str">
        <f t="shared" si="27"/>
        <v/>
      </c>
      <c r="G463" s="111" t="s">
        <v>175</v>
      </c>
      <c r="H463" s="110" t="str">
        <f t="shared" si="24"/>
        <v/>
      </c>
      <c r="I463" s="111">
        <v>-2.5000000000000001E-2</v>
      </c>
      <c r="J463" s="110" t="str">
        <f t="shared" si="25"/>
        <v/>
      </c>
      <c r="L463" s="112"/>
    </row>
    <row r="464" spans="1:12" x14ac:dyDescent="0.2">
      <c r="A464" s="99" t="s">
        <v>485</v>
      </c>
      <c r="B464" s="108" t="s">
        <v>486</v>
      </c>
      <c r="C464" s="109">
        <v>64.754000000000005</v>
      </c>
      <c r="D464" s="109">
        <v>226.07</v>
      </c>
      <c r="E464" s="109">
        <f t="shared" si="26"/>
        <v>14638.93678</v>
      </c>
      <c r="F464" s="110" t="str">
        <f t="shared" si="27"/>
        <v/>
      </c>
      <c r="G464" s="111">
        <v>3.8925996372804889E-2</v>
      </c>
      <c r="H464" s="110" t="str">
        <f t="shared" si="24"/>
        <v/>
      </c>
      <c r="I464" s="111">
        <v>-0.04</v>
      </c>
      <c r="J464" s="110" t="str">
        <f t="shared" si="25"/>
        <v/>
      </c>
      <c r="L464" s="112"/>
    </row>
    <row r="465" spans="1:12" x14ac:dyDescent="0.2">
      <c r="A465" s="99" t="s">
        <v>1311</v>
      </c>
      <c r="B465" s="108" t="s">
        <v>1312</v>
      </c>
      <c r="C465" s="109">
        <v>406.69</v>
      </c>
      <c r="D465" s="109">
        <v>77.900000000000006</v>
      </c>
      <c r="E465" s="109">
        <f t="shared" si="26"/>
        <v>31681.151000000002</v>
      </c>
      <c r="F465" s="110">
        <f t="shared" si="27"/>
        <v>1.1198695513707155E-3</v>
      </c>
      <c r="G465" s="111" t="s">
        <v>175</v>
      </c>
      <c r="H465" s="110" t="str">
        <f t="shared" si="24"/>
        <v/>
      </c>
      <c r="I465" s="111">
        <v>0.13</v>
      </c>
      <c r="J465" s="110">
        <f t="shared" si="25"/>
        <v>1.4558304167819301E-4</v>
      </c>
      <c r="L465" s="112"/>
    </row>
    <row r="466" spans="1:12" x14ac:dyDescent="0.2">
      <c r="A466" s="99" t="s">
        <v>825</v>
      </c>
      <c r="B466" s="108" t="s">
        <v>826</v>
      </c>
      <c r="C466" s="109">
        <v>627.154</v>
      </c>
      <c r="D466" s="109">
        <v>67.83</v>
      </c>
      <c r="E466" s="109">
        <f t="shared" si="26"/>
        <v>42539.855819999997</v>
      </c>
      <c r="F466" s="110">
        <f t="shared" si="27"/>
        <v>1.5037044977475192E-3</v>
      </c>
      <c r="G466" s="111">
        <v>4.3962848297213628E-2</v>
      </c>
      <c r="H466" s="110">
        <f t="shared" si="24"/>
        <v>6.6107132718312003E-5</v>
      </c>
      <c r="I466" s="111">
        <v>0.06</v>
      </c>
      <c r="J466" s="110">
        <f t="shared" si="25"/>
        <v>9.0222269864851146E-5</v>
      </c>
      <c r="L466" s="112"/>
    </row>
    <row r="467" spans="1:12" x14ac:dyDescent="0.2">
      <c r="A467" s="99" t="s">
        <v>1097</v>
      </c>
      <c r="B467" s="108" t="s">
        <v>1098</v>
      </c>
      <c r="C467" s="109">
        <v>254.518</v>
      </c>
      <c r="D467" s="109">
        <v>39.24</v>
      </c>
      <c r="E467" s="109">
        <f t="shared" si="26"/>
        <v>9987.2863200000011</v>
      </c>
      <c r="F467" s="110">
        <f t="shared" si="27"/>
        <v>3.5303192900375637E-4</v>
      </c>
      <c r="G467" s="111">
        <v>2.8032619775739044E-2</v>
      </c>
      <c r="H467" s="110">
        <f t="shared" ref="H467:H521" si="28">IFERROR($G467*$F467,"")</f>
        <v>9.8964098344580031E-6</v>
      </c>
      <c r="I467" s="111">
        <v>0.15</v>
      </c>
      <c r="J467" s="110">
        <f t="shared" ref="J467:J521" si="29">IFERROR($I467*$F467,"")</f>
        <v>5.2954789350563457E-5</v>
      </c>
      <c r="L467" s="112"/>
    </row>
    <row r="468" spans="1:12" x14ac:dyDescent="0.2">
      <c r="A468" s="99" t="s">
        <v>1072</v>
      </c>
      <c r="B468" s="108" t="s">
        <v>1073</v>
      </c>
      <c r="C468" s="109">
        <v>181.86799999999999</v>
      </c>
      <c r="D468" s="109">
        <v>103.81</v>
      </c>
      <c r="E468" s="109">
        <f t="shared" ref="E468:E521" si="30">IFERROR(C468*D468,"")</f>
        <v>18879.717079999999</v>
      </c>
      <c r="F468" s="110">
        <f t="shared" ref="F468:F521" si="31">IF(AND(ISNUMBER($I468)), IF(AND($I468&lt;=20%,$I468&gt;0%), $E468/SUMIFS($E$19:$E$521,$I$19:$I$521, "&gt;"&amp;0%,$I$19:$I$521, "&lt;="&amp;20%),""),"")</f>
        <v>6.6736275763420441E-4</v>
      </c>
      <c r="G468" s="111">
        <v>5.7797900009632979E-3</v>
      </c>
      <c r="H468" s="110">
        <f t="shared" si="28"/>
        <v>3.8572165935894676E-6</v>
      </c>
      <c r="I468" s="111">
        <v>9.5000000000000001E-2</v>
      </c>
      <c r="J468" s="110">
        <f t="shared" si="29"/>
        <v>6.3399461975249417E-5</v>
      </c>
      <c r="L468" s="112"/>
    </row>
    <row r="469" spans="1:12" x14ac:dyDescent="0.2">
      <c r="A469" s="99" t="s">
        <v>882</v>
      </c>
      <c r="B469" s="108" t="s">
        <v>883</v>
      </c>
      <c r="C469" s="109">
        <v>39.051000000000002</v>
      </c>
      <c r="D469" s="109">
        <v>385.61</v>
      </c>
      <c r="E469" s="109">
        <f t="shared" si="30"/>
        <v>15058.456110000001</v>
      </c>
      <c r="F469" s="110">
        <f t="shared" si="31"/>
        <v>5.3228831516384328E-4</v>
      </c>
      <c r="G469" s="111">
        <v>1.0373174969528798E-2</v>
      </c>
      <c r="H469" s="110">
        <f t="shared" si="28"/>
        <v>5.5215198274302356E-6</v>
      </c>
      <c r="I469" s="111">
        <v>0.14000000000000001</v>
      </c>
      <c r="J469" s="110">
        <f t="shared" si="29"/>
        <v>7.4520364122938071E-5</v>
      </c>
      <c r="L469" s="112"/>
    </row>
    <row r="470" spans="1:12" x14ac:dyDescent="0.2">
      <c r="A470" s="99" t="s">
        <v>1080</v>
      </c>
      <c r="B470" s="108" t="s">
        <v>1081</v>
      </c>
      <c r="C470" s="109">
        <v>317.64999999999998</v>
      </c>
      <c r="D470" s="109">
        <v>43.95</v>
      </c>
      <c r="E470" s="109">
        <f t="shared" si="30"/>
        <v>13960.717500000001</v>
      </c>
      <c r="F470" s="110">
        <f t="shared" si="31"/>
        <v>4.9348530435457648E-4</v>
      </c>
      <c r="G470" s="111" t="s">
        <v>175</v>
      </c>
      <c r="H470" s="110" t="str">
        <f t="shared" si="28"/>
        <v/>
      </c>
      <c r="I470" s="111">
        <v>6.5000000000000002E-2</v>
      </c>
      <c r="J470" s="110">
        <f t="shared" si="29"/>
        <v>3.2076544783047473E-5</v>
      </c>
      <c r="L470" s="112"/>
    </row>
    <row r="471" spans="1:12" x14ac:dyDescent="0.2">
      <c r="A471" s="99" t="s">
        <v>854</v>
      </c>
      <c r="B471" s="108" t="s">
        <v>855</v>
      </c>
      <c r="C471" s="109">
        <v>1377.7090000000001</v>
      </c>
      <c r="D471" s="109">
        <v>171.02</v>
      </c>
      <c r="E471" s="109">
        <f t="shared" si="30"/>
        <v>235615.79318000004</v>
      </c>
      <c r="F471" s="110">
        <f t="shared" si="31"/>
        <v>8.3285784851800972E-3</v>
      </c>
      <c r="G471" s="111">
        <v>2.6897438896035547E-2</v>
      </c>
      <c r="H471" s="110">
        <f t="shared" si="28"/>
        <v>2.2401743089596796E-4</v>
      </c>
      <c r="I471" s="111">
        <v>6.5000000000000002E-2</v>
      </c>
      <c r="J471" s="110">
        <f t="shared" si="29"/>
        <v>5.4135760153670631E-4</v>
      </c>
      <c r="L471" s="112"/>
    </row>
    <row r="472" spans="1:12" x14ac:dyDescent="0.2">
      <c r="A472" s="99" t="s">
        <v>505</v>
      </c>
      <c r="B472" s="108" t="s">
        <v>506</v>
      </c>
      <c r="C472" s="109">
        <v>181.85900000000001</v>
      </c>
      <c r="D472" s="109">
        <v>146.12</v>
      </c>
      <c r="E472" s="109">
        <f t="shared" si="30"/>
        <v>26573.237080000003</v>
      </c>
      <c r="F472" s="110" t="str">
        <f t="shared" si="31"/>
        <v/>
      </c>
      <c r="G472" s="111">
        <v>6.1866958664111682E-2</v>
      </c>
      <c r="H472" s="110" t="str">
        <f t="shared" si="28"/>
        <v/>
      </c>
      <c r="I472" s="111" t="s">
        <v>175</v>
      </c>
      <c r="J472" s="110" t="str">
        <f t="shared" si="29"/>
        <v/>
      </c>
      <c r="L472" s="112"/>
    </row>
    <row r="473" spans="1:12" x14ac:dyDescent="0.2">
      <c r="A473" s="99" t="s">
        <v>802</v>
      </c>
      <c r="B473" s="108" t="s">
        <v>803</v>
      </c>
      <c r="C473" s="109">
        <v>203</v>
      </c>
      <c r="D473" s="109">
        <v>455.13</v>
      </c>
      <c r="E473" s="109">
        <f t="shared" si="30"/>
        <v>92391.39</v>
      </c>
      <c r="F473" s="110" t="str">
        <f t="shared" si="31"/>
        <v/>
      </c>
      <c r="G473" s="111" t="s">
        <v>175</v>
      </c>
      <c r="H473" s="110" t="str">
        <f t="shared" si="28"/>
        <v/>
      </c>
      <c r="I473" s="111">
        <v>0.45500000000000002</v>
      </c>
      <c r="J473" s="110" t="str">
        <f t="shared" si="29"/>
        <v/>
      </c>
      <c r="L473" s="112"/>
    </row>
    <row r="474" spans="1:12" x14ac:dyDescent="0.2">
      <c r="A474" s="99" t="s">
        <v>348</v>
      </c>
      <c r="B474" s="108" t="s">
        <v>349</v>
      </c>
      <c r="C474" s="109">
        <v>243.86799999999999</v>
      </c>
      <c r="D474" s="109">
        <v>80.86</v>
      </c>
      <c r="E474" s="109">
        <f t="shared" si="30"/>
        <v>19719.16648</v>
      </c>
      <c r="F474" s="110">
        <f t="shared" si="31"/>
        <v>6.9703572699622086E-4</v>
      </c>
      <c r="G474" s="111">
        <v>1.2985406876082118E-2</v>
      </c>
      <c r="H474" s="110">
        <f t="shared" si="28"/>
        <v>9.0512925222116251E-6</v>
      </c>
      <c r="I474" s="111">
        <v>0.06</v>
      </c>
      <c r="J474" s="110">
        <f t="shared" si="29"/>
        <v>4.1822143619773247E-5</v>
      </c>
      <c r="L474" s="112"/>
    </row>
    <row r="475" spans="1:12" x14ac:dyDescent="0.2">
      <c r="A475" s="99" t="s">
        <v>535</v>
      </c>
      <c r="B475" s="108" t="s">
        <v>536</v>
      </c>
      <c r="C475" s="109">
        <v>81.209000000000003</v>
      </c>
      <c r="D475" s="109">
        <v>111.53</v>
      </c>
      <c r="E475" s="109">
        <f t="shared" si="30"/>
        <v>9057.2397700000001</v>
      </c>
      <c r="F475" s="110">
        <f t="shared" si="31"/>
        <v>3.2015651949914643E-4</v>
      </c>
      <c r="G475" s="111">
        <v>3.8733972922083748E-2</v>
      </c>
      <c r="H475" s="110">
        <f t="shared" si="28"/>
        <v>1.2400933957108516E-5</v>
      </c>
      <c r="I475" s="111">
        <v>2.5000000000000001E-2</v>
      </c>
      <c r="J475" s="110">
        <f t="shared" si="29"/>
        <v>8.0039129874786612E-6</v>
      </c>
      <c r="L475" s="112"/>
    </row>
    <row r="476" spans="1:12" x14ac:dyDescent="0.2">
      <c r="A476" s="99" t="s">
        <v>738</v>
      </c>
      <c r="B476" s="108" t="s">
        <v>739</v>
      </c>
      <c r="C476" s="109">
        <v>384.02</v>
      </c>
      <c r="D476" s="109">
        <v>41.41</v>
      </c>
      <c r="E476" s="109">
        <f t="shared" si="30"/>
        <v>15902.268199999999</v>
      </c>
      <c r="F476" s="110" t="str">
        <f t="shared" si="31"/>
        <v/>
      </c>
      <c r="G476" s="111">
        <v>2.4148756339048541E-4</v>
      </c>
      <c r="H476" s="110" t="str">
        <f t="shared" si="28"/>
        <v/>
      </c>
      <c r="I476" s="111">
        <v>0.25</v>
      </c>
      <c r="J476" s="110" t="str">
        <f t="shared" si="29"/>
        <v/>
      </c>
      <c r="L476" s="112"/>
    </row>
    <row r="477" spans="1:12" x14ac:dyDescent="0.2">
      <c r="A477" s="99" t="s">
        <v>199</v>
      </c>
      <c r="B477" s="108" t="s">
        <v>53</v>
      </c>
      <c r="C477" s="109">
        <v>513.86400000000003</v>
      </c>
      <c r="D477" s="109">
        <v>93.96</v>
      </c>
      <c r="E477" s="109">
        <f t="shared" si="30"/>
        <v>48282.661440000003</v>
      </c>
      <c r="F477" s="110">
        <f t="shared" si="31"/>
        <v>1.7067019568132783E-3</v>
      </c>
      <c r="G477" s="111">
        <v>3.5334184759472115E-2</v>
      </c>
      <c r="H477" s="110">
        <f t="shared" si="28"/>
        <v>6.0304922271392974E-5</v>
      </c>
      <c r="I477" s="111">
        <v>6.5000000000000002E-2</v>
      </c>
      <c r="J477" s="110">
        <f t="shared" si="29"/>
        <v>1.109356271928631E-4</v>
      </c>
      <c r="L477" s="112"/>
    </row>
    <row r="478" spans="1:12" x14ac:dyDescent="0.2">
      <c r="A478" s="99" t="s">
        <v>944</v>
      </c>
      <c r="B478" s="108" t="s">
        <v>945</v>
      </c>
      <c r="C478" s="109">
        <v>55.895000000000003</v>
      </c>
      <c r="D478" s="109">
        <v>319.13</v>
      </c>
      <c r="E478" s="109">
        <f t="shared" si="30"/>
        <v>17837.771349999999</v>
      </c>
      <c r="F478" s="110" t="str">
        <f t="shared" si="31"/>
        <v/>
      </c>
      <c r="G478" s="111" t="s">
        <v>175</v>
      </c>
      <c r="H478" s="110" t="str">
        <f t="shared" si="28"/>
        <v/>
      </c>
      <c r="I478" s="111">
        <v>0.22</v>
      </c>
      <c r="J478" s="110" t="str">
        <f t="shared" si="29"/>
        <v/>
      </c>
      <c r="L478" s="112"/>
    </row>
    <row r="479" spans="1:12" x14ac:dyDescent="0.2">
      <c r="A479" s="99" t="s">
        <v>1313</v>
      </c>
      <c r="B479" s="108" t="s">
        <v>1314</v>
      </c>
      <c r="C479" s="109">
        <v>611.41</v>
      </c>
      <c r="D479" s="109">
        <v>32.5</v>
      </c>
      <c r="E479" s="109">
        <f t="shared" si="30"/>
        <v>19870.825000000001</v>
      </c>
      <c r="F479" s="110" t="str">
        <f t="shared" si="31"/>
        <v/>
      </c>
      <c r="G479" s="111">
        <v>2.7076923076923078E-2</v>
      </c>
      <c r="H479" s="110" t="str">
        <f t="shared" si="28"/>
        <v/>
      </c>
      <c r="I479" s="111" t="s">
        <v>175</v>
      </c>
      <c r="J479" s="110" t="str">
        <f t="shared" si="29"/>
        <v/>
      </c>
      <c r="L479" s="112"/>
    </row>
    <row r="480" spans="1:12" x14ac:dyDescent="0.2">
      <c r="A480" s="99" t="s">
        <v>894</v>
      </c>
      <c r="B480" s="108" t="s">
        <v>895</v>
      </c>
      <c r="C480" s="109">
        <v>118.154</v>
      </c>
      <c r="D480" s="109">
        <v>134.88</v>
      </c>
      <c r="E480" s="109">
        <f t="shared" si="30"/>
        <v>15936.611519999999</v>
      </c>
      <c r="F480" s="110" t="str">
        <f t="shared" si="31"/>
        <v/>
      </c>
      <c r="G480" s="111" t="s">
        <v>175</v>
      </c>
      <c r="H480" s="110" t="str">
        <f t="shared" si="28"/>
        <v/>
      </c>
      <c r="I480" s="111">
        <v>0.28999999999999998</v>
      </c>
      <c r="J480" s="110" t="str">
        <f t="shared" si="29"/>
        <v/>
      </c>
      <c r="L480" s="112"/>
    </row>
    <row r="481" spans="1:12" x14ac:dyDescent="0.2">
      <c r="A481" s="99" t="s">
        <v>645</v>
      </c>
      <c r="B481" s="108" t="s">
        <v>646</v>
      </c>
      <c r="C481" s="109">
        <v>103.53700000000001</v>
      </c>
      <c r="D481" s="109">
        <v>189.05</v>
      </c>
      <c r="E481" s="109">
        <f t="shared" si="30"/>
        <v>19573.669850000002</v>
      </c>
      <c r="F481" s="110">
        <f t="shared" si="31"/>
        <v>6.9189269271176419E-4</v>
      </c>
      <c r="G481" s="111">
        <v>8.8865379529225064E-3</v>
      </c>
      <c r="H481" s="110">
        <f t="shared" si="28"/>
        <v>6.1485306731328422E-6</v>
      </c>
      <c r="I481" s="111">
        <v>0.115</v>
      </c>
      <c r="J481" s="110">
        <f t="shared" si="29"/>
        <v>7.9567659661852885E-5</v>
      </c>
      <c r="L481" s="112"/>
    </row>
    <row r="482" spans="1:12" x14ac:dyDescent="0.2">
      <c r="A482" s="99" t="s">
        <v>702</v>
      </c>
      <c r="B482" s="108" t="s">
        <v>703</v>
      </c>
      <c r="C482" s="109">
        <v>134.93600000000001</v>
      </c>
      <c r="D482" s="109">
        <v>500.1</v>
      </c>
      <c r="E482" s="109">
        <f t="shared" si="30"/>
        <v>67481.493600000002</v>
      </c>
      <c r="F482" s="110">
        <f t="shared" si="31"/>
        <v>2.3853448368608139E-3</v>
      </c>
      <c r="G482" s="111">
        <v>1.3797240551889621E-2</v>
      </c>
      <c r="H482" s="110">
        <f t="shared" si="28"/>
        <v>3.2911176513376558E-5</v>
      </c>
      <c r="I482" s="111">
        <v>0.14000000000000001</v>
      </c>
      <c r="J482" s="110">
        <f t="shared" si="29"/>
        <v>3.3394827716051398E-4</v>
      </c>
      <c r="L482" s="112"/>
    </row>
    <row r="483" spans="1:12" x14ac:dyDescent="0.2">
      <c r="A483" s="99" t="s">
        <v>740</v>
      </c>
      <c r="B483" s="108" t="s">
        <v>741</v>
      </c>
      <c r="C483" s="109">
        <v>63.533999999999999</v>
      </c>
      <c r="D483" s="109">
        <v>120.06</v>
      </c>
      <c r="E483" s="109">
        <f t="shared" si="30"/>
        <v>7627.8920399999997</v>
      </c>
      <c r="F483" s="110">
        <f t="shared" si="31"/>
        <v>2.6963174528409816E-4</v>
      </c>
      <c r="G483" s="111" t="s">
        <v>175</v>
      </c>
      <c r="H483" s="110" t="str">
        <f t="shared" si="28"/>
        <v/>
      </c>
      <c r="I483" s="111">
        <v>0.1</v>
      </c>
      <c r="J483" s="110">
        <f t="shared" si="29"/>
        <v>2.6963174528409817E-5</v>
      </c>
      <c r="L483" s="112"/>
    </row>
    <row r="484" spans="1:12" x14ac:dyDescent="0.2">
      <c r="A484" s="99" t="s">
        <v>878</v>
      </c>
      <c r="B484" s="108" t="s">
        <v>879</v>
      </c>
      <c r="C484" s="109">
        <v>164.49799999999999</v>
      </c>
      <c r="D484" s="109">
        <v>55.38</v>
      </c>
      <c r="E484" s="109">
        <f t="shared" si="30"/>
        <v>9109.8992400000006</v>
      </c>
      <c r="F484" s="110">
        <f t="shared" si="31"/>
        <v>3.2201793346874367E-4</v>
      </c>
      <c r="G484" s="111">
        <v>1.5890213073311663E-2</v>
      </c>
      <c r="H484" s="110">
        <f t="shared" si="28"/>
        <v>5.116933576245836E-6</v>
      </c>
      <c r="I484" s="111">
        <v>0.12</v>
      </c>
      <c r="J484" s="110">
        <f t="shared" si="29"/>
        <v>3.8642152016249239E-5</v>
      </c>
      <c r="L484" s="112"/>
    </row>
    <row r="485" spans="1:12" x14ac:dyDescent="0.2">
      <c r="A485" s="99" t="s">
        <v>1418</v>
      </c>
      <c r="B485" s="108" t="s">
        <v>1419</v>
      </c>
      <c r="C485" s="109">
        <v>453.92599999999999</v>
      </c>
      <c r="D485" s="109">
        <v>69.52</v>
      </c>
      <c r="E485" s="109">
        <f t="shared" si="30"/>
        <v>31556.935519999999</v>
      </c>
      <c r="F485" s="110" t="str">
        <f t="shared" si="31"/>
        <v/>
      </c>
      <c r="G485" s="111" t="s">
        <v>175</v>
      </c>
      <c r="H485" s="110" t="str">
        <f t="shared" si="28"/>
        <v/>
      </c>
      <c r="I485" s="111" t="s">
        <v>175</v>
      </c>
      <c r="J485" s="110" t="str">
        <f t="shared" si="29"/>
        <v/>
      </c>
      <c r="L485" s="112"/>
    </row>
    <row r="486" spans="1:12" x14ac:dyDescent="0.2">
      <c r="A486" s="99" t="s">
        <v>1064</v>
      </c>
      <c r="B486" s="108" t="s">
        <v>1065</v>
      </c>
      <c r="C486" s="109">
        <v>256.69099999999997</v>
      </c>
      <c r="D486" s="109">
        <v>323.10000000000002</v>
      </c>
      <c r="E486" s="109">
        <f t="shared" si="30"/>
        <v>82936.862099999998</v>
      </c>
      <c r="F486" s="110">
        <f t="shared" si="31"/>
        <v>2.931663264128942E-3</v>
      </c>
      <c r="G486" s="111" t="s">
        <v>175</v>
      </c>
      <c r="H486" s="110" t="str">
        <f t="shared" si="28"/>
        <v/>
      </c>
      <c r="I486" s="111">
        <v>0.125</v>
      </c>
      <c r="J486" s="110">
        <f t="shared" si="29"/>
        <v>3.6645790801611774E-4</v>
      </c>
      <c r="L486" s="112"/>
    </row>
    <row r="487" spans="1:12" x14ac:dyDescent="0.2">
      <c r="A487" s="99" t="s">
        <v>224</v>
      </c>
      <c r="B487" s="108" t="s">
        <v>225</v>
      </c>
      <c r="C487" s="109">
        <v>1489.02</v>
      </c>
      <c r="D487" s="109">
        <v>12.06</v>
      </c>
      <c r="E487" s="109">
        <f t="shared" si="30"/>
        <v>17957.581200000001</v>
      </c>
      <c r="F487" s="110">
        <f t="shared" si="31"/>
        <v>6.3476697554792731E-4</v>
      </c>
      <c r="G487" s="111">
        <v>4.0630182421227193E-2</v>
      </c>
      <c r="H487" s="110">
        <f t="shared" si="28"/>
        <v>2.5790698011482946E-5</v>
      </c>
      <c r="I487" s="111">
        <v>0.14499999999999999</v>
      </c>
      <c r="J487" s="110">
        <f t="shared" si="29"/>
        <v>9.2041211454449459E-5</v>
      </c>
      <c r="L487" s="112"/>
    </row>
    <row r="488" spans="1:12" x14ac:dyDescent="0.2">
      <c r="A488" s="99" t="s">
        <v>509</v>
      </c>
      <c r="B488" s="108" t="s">
        <v>1315</v>
      </c>
      <c r="C488" s="109">
        <v>2255.3209999999999</v>
      </c>
      <c r="D488" s="109">
        <v>148.97</v>
      </c>
      <c r="E488" s="109">
        <f t="shared" si="30"/>
        <v>335975.16936999996</v>
      </c>
      <c r="F488" s="110">
        <f t="shared" si="31"/>
        <v>1.187609510128221E-2</v>
      </c>
      <c r="G488" s="111" t="s">
        <v>175</v>
      </c>
      <c r="H488" s="110" t="str">
        <f t="shared" si="28"/>
        <v/>
      </c>
      <c r="I488" s="111">
        <v>0.11</v>
      </c>
      <c r="J488" s="110">
        <f t="shared" si="29"/>
        <v>1.3063704611410432E-3</v>
      </c>
      <c r="L488" s="112"/>
    </row>
    <row r="489" spans="1:12" x14ac:dyDescent="0.2">
      <c r="A489" s="99" t="s">
        <v>1008</v>
      </c>
      <c r="B489" s="108" t="s">
        <v>1009</v>
      </c>
      <c r="C489" s="109">
        <v>1244.154</v>
      </c>
      <c r="D489" s="109">
        <v>149.31</v>
      </c>
      <c r="E489" s="109">
        <f t="shared" si="30"/>
        <v>185764.63373999999</v>
      </c>
      <c r="F489" s="110">
        <f t="shared" si="31"/>
        <v>6.5664330518471082E-3</v>
      </c>
      <c r="G489" s="111" t="s">
        <v>175</v>
      </c>
      <c r="H489" s="110" t="str">
        <f t="shared" si="28"/>
        <v/>
      </c>
      <c r="I489" s="111">
        <v>0.16500000000000001</v>
      </c>
      <c r="J489" s="110">
        <f t="shared" si="29"/>
        <v>1.0834614535547729E-3</v>
      </c>
      <c r="L489" s="112"/>
    </row>
    <row r="490" spans="1:12" x14ac:dyDescent="0.2">
      <c r="A490" s="99" t="s">
        <v>1048</v>
      </c>
      <c r="B490" s="108" t="s">
        <v>1049</v>
      </c>
      <c r="C490" s="109">
        <v>69.36</v>
      </c>
      <c r="D490" s="109">
        <v>440.95</v>
      </c>
      <c r="E490" s="109">
        <f t="shared" si="30"/>
        <v>30584.291999999998</v>
      </c>
      <c r="F490" s="110">
        <f t="shared" si="31"/>
        <v>1.0810976331330562E-3</v>
      </c>
      <c r="G490" s="111">
        <v>1.3425558453339381E-2</v>
      </c>
      <c r="H490" s="110">
        <f t="shared" si="28"/>
        <v>1.4514339467394699E-5</v>
      </c>
      <c r="I490" s="111">
        <v>0.18</v>
      </c>
      <c r="J490" s="110">
        <f t="shared" si="29"/>
        <v>1.9459757396395012E-4</v>
      </c>
      <c r="L490" s="112"/>
    </row>
    <row r="491" spans="1:12" x14ac:dyDescent="0.2">
      <c r="A491" s="99" t="s">
        <v>590</v>
      </c>
      <c r="B491" s="108" t="s">
        <v>591</v>
      </c>
      <c r="C491" s="109">
        <v>672.322</v>
      </c>
      <c r="D491" s="109">
        <v>208.48</v>
      </c>
      <c r="E491" s="109">
        <f t="shared" si="30"/>
        <v>140165.69055999999</v>
      </c>
      <c r="F491" s="110">
        <f t="shared" si="31"/>
        <v>4.9545955260588137E-3</v>
      </c>
      <c r="G491" s="111">
        <v>1.9762087490406754E-2</v>
      </c>
      <c r="H491" s="110">
        <f t="shared" si="28"/>
        <v>9.7913150265552154E-5</v>
      </c>
      <c r="I491" s="111">
        <v>0.12</v>
      </c>
      <c r="J491" s="110">
        <f t="shared" si="29"/>
        <v>5.9455146312705767E-4</v>
      </c>
      <c r="L491" s="112"/>
    </row>
    <row r="492" spans="1:12" x14ac:dyDescent="0.2">
      <c r="A492" s="99" t="s">
        <v>254</v>
      </c>
      <c r="B492" s="108" t="s">
        <v>255</v>
      </c>
      <c r="C492" s="109">
        <v>173.08699999999999</v>
      </c>
      <c r="D492" s="109">
        <v>160.74</v>
      </c>
      <c r="E492" s="109">
        <f t="shared" si="30"/>
        <v>27822.004379999998</v>
      </c>
      <c r="F492" s="110">
        <f t="shared" si="31"/>
        <v>9.8345592189073806E-4</v>
      </c>
      <c r="G492" s="111">
        <v>3.0110737837501553E-2</v>
      </c>
      <c r="H492" s="110">
        <f t="shared" si="28"/>
        <v>2.9612583438790418E-5</v>
      </c>
      <c r="I492" s="111">
        <v>0.1</v>
      </c>
      <c r="J492" s="110">
        <f t="shared" si="29"/>
        <v>9.8345592189073814E-5</v>
      </c>
      <c r="L492" s="112"/>
    </row>
    <row r="493" spans="1:12" x14ac:dyDescent="0.2">
      <c r="A493" s="99" t="s">
        <v>417</v>
      </c>
      <c r="B493" s="108" t="s">
        <v>418</v>
      </c>
      <c r="C493" s="109">
        <v>641.18799999999999</v>
      </c>
      <c r="D493" s="109">
        <v>39.1</v>
      </c>
      <c r="E493" s="109">
        <f t="shared" si="30"/>
        <v>25070.450799999999</v>
      </c>
      <c r="F493" s="110" t="str">
        <f t="shared" si="31"/>
        <v/>
      </c>
      <c r="G493" s="111" t="s">
        <v>175</v>
      </c>
      <c r="H493" s="110" t="str">
        <f t="shared" si="28"/>
        <v/>
      </c>
      <c r="I493" s="111" t="s">
        <v>175</v>
      </c>
      <c r="J493" s="110" t="str">
        <f t="shared" si="29"/>
        <v/>
      </c>
      <c r="L493" s="112"/>
    </row>
    <row r="494" spans="1:12" x14ac:dyDescent="0.2">
      <c r="A494" s="99" t="s">
        <v>970</v>
      </c>
      <c r="B494" s="108" t="s">
        <v>971</v>
      </c>
      <c r="C494" s="109">
        <v>206.48400000000001</v>
      </c>
      <c r="D494" s="109">
        <v>67.78</v>
      </c>
      <c r="E494" s="109">
        <f t="shared" si="30"/>
        <v>13995.48552</v>
      </c>
      <c r="F494" s="110">
        <f t="shared" si="31"/>
        <v>4.9471428896310436E-4</v>
      </c>
      <c r="G494" s="111">
        <v>4.1310120979640007E-2</v>
      </c>
      <c r="H494" s="110">
        <f t="shared" si="28"/>
        <v>2.0436707127422425E-5</v>
      </c>
      <c r="I494" s="111">
        <v>0.115</v>
      </c>
      <c r="J494" s="110">
        <f t="shared" si="29"/>
        <v>5.6892143230757004E-5</v>
      </c>
      <c r="L494" s="112"/>
    </row>
    <row r="495" spans="1:12" x14ac:dyDescent="0.2">
      <c r="A495" s="99" t="s">
        <v>1034</v>
      </c>
      <c r="B495" s="108" t="s">
        <v>1035</v>
      </c>
      <c r="C495" s="109">
        <v>326.72899999999998</v>
      </c>
      <c r="D495" s="109">
        <v>48.96</v>
      </c>
      <c r="E495" s="109">
        <f t="shared" si="30"/>
        <v>15996.65184</v>
      </c>
      <c r="F495" s="110" t="str">
        <f t="shared" si="31"/>
        <v/>
      </c>
      <c r="G495" s="111" t="s">
        <v>175</v>
      </c>
      <c r="H495" s="110" t="str">
        <f t="shared" si="28"/>
        <v/>
      </c>
      <c r="I495" s="111" t="s">
        <v>175</v>
      </c>
      <c r="J495" s="110" t="str">
        <f t="shared" si="29"/>
        <v/>
      </c>
      <c r="L495" s="112"/>
    </row>
    <row r="496" spans="1:12" x14ac:dyDescent="0.2">
      <c r="A496" s="99" t="s">
        <v>820</v>
      </c>
      <c r="B496" s="108" t="s">
        <v>821</v>
      </c>
      <c r="C496" s="109">
        <v>193.27600000000001</v>
      </c>
      <c r="D496" s="109">
        <v>20.440000000000001</v>
      </c>
      <c r="E496" s="109">
        <f t="shared" si="30"/>
        <v>3950.5614400000004</v>
      </c>
      <c r="F496" s="110" t="str">
        <f t="shared" si="31"/>
        <v/>
      </c>
      <c r="G496" s="111">
        <v>9.7847358121330719E-3</v>
      </c>
      <c r="H496" s="110" t="str">
        <f t="shared" si="28"/>
        <v/>
      </c>
      <c r="I496" s="111" t="s">
        <v>175</v>
      </c>
      <c r="J496" s="110" t="str">
        <f t="shared" si="29"/>
        <v/>
      </c>
      <c r="L496" s="112"/>
    </row>
    <row r="497" spans="1:12" x14ac:dyDescent="0.2">
      <c r="A497" s="99" t="s">
        <v>373</v>
      </c>
      <c r="B497" s="108" t="s">
        <v>374</v>
      </c>
      <c r="C497" s="109">
        <v>566.26</v>
      </c>
      <c r="D497" s="109">
        <v>76.239999999999995</v>
      </c>
      <c r="E497" s="109">
        <f t="shared" si="30"/>
        <v>43171.662399999994</v>
      </c>
      <c r="F497" s="110">
        <f t="shared" si="31"/>
        <v>1.5260376810115257E-3</v>
      </c>
      <c r="G497" s="111" t="s">
        <v>175</v>
      </c>
      <c r="H497" s="110" t="str">
        <f t="shared" si="28"/>
        <v/>
      </c>
      <c r="I497" s="111">
        <v>0.1</v>
      </c>
      <c r="J497" s="110">
        <f t="shared" si="29"/>
        <v>1.5260376810115258E-4</v>
      </c>
      <c r="L497" s="112"/>
    </row>
    <row r="498" spans="1:12" x14ac:dyDescent="0.2">
      <c r="A498" s="99" t="s">
        <v>746</v>
      </c>
      <c r="B498" s="108" t="s">
        <v>747</v>
      </c>
      <c r="C498" s="109">
        <v>62.091000000000001</v>
      </c>
      <c r="D498" s="109">
        <v>359.64</v>
      </c>
      <c r="E498" s="109">
        <f t="shared" si="30"/>
        <v>22330.40724</v>
      </c>
      <c r="F498" s="110">
        <f t="shared" si="31"/>
        <v>7.8933821368371926E-4</v>
      </c>
      <c r="G498" s="111">
        <v>7.3406740073406742E-3</v>
      </c>
      <c r="H498" s="110">
        <f t="shared" si="28"/>
        <v>5.7942745081887969E-6</v>
      </c>
      <c r="I498" s="111">
        <v>4.4999999999999998E-2</v>
      </c>
      <c r="J498" s="110">
        <f t="shared" si="29"/>
        <v>3.5520219615767363E-5</v>
      </c>
      <c r="L498" s="112"/>
    </row>
    <row r="499" spans="1:12" x14ac:dyDescent="0.2">
      <c r="A499" s="99" t="s">
        <v>996</v>
      </c>
      <c r="B499" s="108" t="s">
        <v>997</v>
      </c>
      <c r="C499" s="109">
        <v>155.756</v>
      </c>
      <c r="D499" s="109">
        <v>101.7</v>
      </c>
      <c r="E499" s="109">
        <f t="shared" si="30"/>
        <v>15840.385200000001</v>
      </c>
      <c r="F499" s="110">
        <f t="shared" si="31"/>
        <v>5.5992804893557435E-4</v>
      </c>
      <c r="G499" s="111">
        <v>4.3264503441494588E-3</v>
      </c>
      <c r="H499" s="110">
        <f t="shared" si="28"/>
        <v>2.4225009000162507E-6</v>
      </c>
      <c r="I499" s="111">
        <v>0.115</v>
      </c>
      <c r="J499" s="110">
        <f t="shared" si="29"/>
        <v>6.4391725627591055E-5</v>
      </c>
      <c r="L499" s="112"/>
    </row>
    <row r="500" spans="1:12" x14ac:dyDescent="0.2">
      <c r="A500" s="99" t="s">
        <v>900</v>
      </c>
      <c r="B500" s="108" t="s">
        <v>901</v>
      </c>
      <c r="C500" s="109">
        <v>1140.028</v>
      </c>
      <c r="D500" s="109">
        <v>81.489999999999995</v>
      </c>
      <c r="E500" s="109">
        <f t="shared" si="30"/>
        <v>92900.88171999999</v>
      </c>
      <c r="F500" s="110">
        <f t="shared" si="31"/>
        <v>3.2838727587176453E-3</v>
      </c>
      <c r="G500" s="111" t="s">
        <v>175</v>
      </c>
      <c r="H500" s="110" t="str">
        <f t="shared" si="28"/>
        <v/>
      </c>
      <c r="I500" s="111">
        <v>0.12</v>
      </c>
      <c r="J500" s="110">
        <f t="shared" si="29"/>
        <v>3.9406473104611743E-4</v>
      </c>
      <c r="L500" s="112"/>
    </row>
    <row r="501" spans="1:12" x14ac:dyDescent="0.2">
      <c r="A501" s="99" t="s">
        <v>1020</v>
      </c>
      <c r="B501" s="108" t="s">
        <v>1021</v>
      </c>
      <c r="C501" s="109">
        <v>3164.1030000000001</v>
      </c>
      <c r="D501" s="109">
        <v>173.22</v>
      </c>
      <c r="E501" s="109">
        <f t="shared" si="30"/>
        <v>548085.92165999999</v>
      </c>
      <c r="F501" s="110" t="str">
        <f t="shared" si="31"/>
        <v/>
      </c>
      <c r="G501" s="111" t="s">
        <v>175</v>
      </c>
      <c r="H501" s="110" t="str">
        <f t="shared" si="28"/>
        <v/>
      </c>
      <c r="I501" s="111">
        <v>0.51500000000000001</v>
      </c>
      <c r="J501" s="110" t="str">
        <f t="shared" si="29"/>
        <v/>
      </c>
      <c r="L501" s="112"/>
    </row>
    <row r="502" spans="1:12" x14ac:dyDescent="0.2">
      <c r="A502" s="99" t="s">
        <v>1316</v>
      </c>
      <c r="B502" s="108" t="s">
        <v>1317</v>
      </c>
      <c r="C502" s="109">
        <v>369.87299999999999</v>
      </c>
      <c r="D502" s="109">
        <v>64.349999999999994</v>
      </c>
      <c r="E502" s="109">
        <f t="shared" si="30"/>
        <v>23801.327549999998</v>
      </c>
      <c r="F502" s="110">
        <f t="shared" si="31"/>
        <v>8.4133250100180848E-4</v>
      </c>
      <c r="G502" s="111" t="s">
        <v>175</v>
      </c>
      <c r="H502" s="110" t="str">
        <f t="shared" si="28"/>
        <v/>
      </c>
      <c r="I502" s="111">
        <v>0.19500000000000001</v>
      </c>
      <c r="J502" s="110">
        <f t="shared" si="29"/>
        <v>1.6405983769535266E-4</v>
      </c>
      <c r="L502" s="112"/>
    </row>
    <row r="503" spans="1:12" x14ac:dyDescent="0.2">
      <c r="A503" s="99" t="s">
        <v>435</v>
      </c>
      <c r="B503" s="108" t="s">
        <v>436</v>
      </c>
      <c r="C503" s="109">
        <v>292.27100000000002</v>
      </c>
      <c r="D503" s="109">
        <v>14.39</v>
      </c>
      <c r="E503" s="109">
        <f t="shared" si="30"/>
        <v>4205.7796900000003</v>
      </c>
      <c r="F503" s="110" t="str">
        <f t="shared" si="31"/>
        <v/>
      </c>
      <c r="G503" s="111" t="s">
        <v>175</v>
      </c>
      <c r="H503" s="110" t="str">
        <f t="shared" si="28"/>
        <v/>
      </c>
      <c r="I503" s="111">
        <v>-1.4999999999999999E-2</v>
      </c>
      <c r="J503" s="110" t="str">
        <f t="shared" si="29"/>
        <v/>
      </c>
      <c r="L503" s="112"/>
    </row>
    <row r="504" spans="1:12" x14ac:dyDescent="0.2">
      <c r="A504" s="99" t="s">
        <v>443</v>
      </c>
      <c r="B504" s="108" t="s">
        <v>444</v>
      </c>
      <c r="C504" s="109">
        <v>703.75900000000001</v>
      </c>
      <c r="D504" s="109">
        <v>59.35</v>
      </c>
      <c r="E504" s="109">
        <f t="shared" si="30"/>
        <v>41768.096649999999</v>
      </c>
      <c r="F504" s="110">
        <f t="shared" si="31"/>
        <v>1.4764242516644734E-3</v>
      </c>
      <c r="G504" s="111">
        <v>4.7177759056444814E-2</v>
      </c>
      <c r="H504" s="110">
        <f t="shared" si="28"/>
        <v>6.9654387610118367E-5</v>
      </c>
      <c r="I504" s="111">
        <v>0.15</v>
      </c>
      <c r="J504" s="110">
        <f t="shared" si="29"/>
        <v>2.21463637749671E-4</v>
      </c>
      <c r="L504" s="112"/>
    </row>
    <row r="505" spans="1:12" x14ac:dyDescent="0.2">
      <c r="A505" s="99" t="s">
        <v>908</v>
      </c>
      <c r="B505" s="108" t="s">
        <v>909</v>
      </c>
      <c r="C505" s="109">
        <v>39.164999999999999</v>
      </c>
      <c r="D505" s="109">
        <v>349.69</v>
      </c>
      <c r="E505" s="109">
        <f t="shared" si="30"/>
        <v>13695.608849999999</v>
      </c>
      <c r="F505" s="110">
        <f t="shared" si="31"/>
        <v>4.8411420843258814E-4</v>
      </c>
      <c r="G505" s="111">
        <v>1.8873859704309531E-2</v>
      </c>
      <c r="H505" s="110">
        <f t="shared" si="28"/>
        <v>9.1371036508195311E-6</v>
      </c>
      <c r="I505" s="111">
        <v>9.5000000000000001E-2</v>
      </c>
      <c r="J505" s="110">
        <f t="shared" si="29"/>
        <v>4.5990849801095871E-5</v>
      </c>
      <c r="L505" s="112"/>
    </row>
    <row r="506" spans="1:12" x14ac:dyDescent="0.2">
      <c r="A506" s="99" t="s">
        <v>990</v>
      </c>
      <c r="B506" s="108" t="s">
        <v>991</v>
      </c>
      <c r="C506" s="109">
        <v>46.871000000000002</v>
      </c>
      <c r="D506" s="109">
        <v>424.26</v>
      </c>
      <c r="E506" s="109">
        <f t="shared" si="30"/>
        <v>19885.490460000001</v>
      </c>
      <c r="F506" s="110">
        <f t="shared" si="31"/>
        <v>7.0291496922655504E-4</v>
      </c>
      <c r="G506" s="111" t="s">
        <v>175</v>
      </c>
      <c r="H506" s="110" t="str">
        <f t="shared" si="28"/>
        <v/>
      </c>
      <c r="I506" s="111">
        <v>0.115</v>
      </c>
      <c r="J506" s="110">
        <f t="shared" si="29"/>
        <v>8.0835221461053835E-5</v>
      </c>
      <c r="L506" s="112"/>
    </row>
    <row r="507" spans="1:12" x14ac:dyDescent="0.2">
      <c r="A507" s="99" t="s">
        <v>820</v>
      </c>
      <c r="B507" s="108" t="s">
        <v>822</v>
      </c>
      <c r="C507" s="109">
        <v>382.351</v>
      </c>
      <c r="D507" s="109">
        <v>20.260000000000002</v>
      </c>
      <c r="E507" s="109">
        <f t="shared" si="30"/>
        <v>7746.4312600000003</v>
      </c>
      <c r="F507" s="110" t="str">
        <f t="shared" si="31"/>
        <v/>
      </c>
      <c r="G507" s="111">
        <v>9.8716683119447184E-3</v>
      </c>
      <c r="H507" s="110" t="str">
        <f t="shared" si="28"/>
        <v/>
      </c>
      <c r="I507" s="111" t="s">
        <v>175</v>
      </c>
      <c r="J507" s="110" t="str">
        <f t="shared" si="29"/>
        <v/>
      </c>
      <c r="L507" s="112"/>
    </row>
    <row r="508" spans="1:12" x14ac:dyDescent="0.2">
      <c r="A508" s="99" t="s">
        <v>495</v>
      </c>
      <c r="B508" s="108" t="s">
        <v>496</v>
      </c>
      <c r="C508" s="109">
        <v>991.75699999999995</v>
      </c>
      <c r="D508" s="109">
        <v>42.19</v>
      </c>
      <c r="E508" s="109">
        <f t="shared" si="30"/>
        <v>41842.227829999996</v>
      </c>
      <c r="F508" s="110" t="str">
        <f t="shared" si="31"/>
        <v/>
      </c>
      <c r="G508" s="111">
        <v>3.1998103816070163E-2</v>
      </c>
      <c r="H508" s="110" t="str">
        <f t="shared" si="28"/>
        <v/>
      </c>
      <c r="I508" s="111" t="s">
        <v>175</v>
      </c>
      <c r="J508" s="110" t="str">
        <f t="shared" si="29"/>
        <v/>
      </c>
      <c r="L508" s="112"/>
    </row>
    <row r="509" spans="1:12" x14ac:dyDescent="0.2">
      <c r="A509" s="99" t="s">
        <v>562</v>
      </c>
      <c r="B509" s="108" t="s">
        <v>563</v>
      </c>
      <c r="C509" s="109">
        <v>270.40100000000001</v>
      </c>
      <c r="D509" s="109">
        <v>112.72</v>
      </c>
      <c r="E509" s="109">
        <f t="shared" si="30"/>
        <v>30479.600720000002</v>
      </c>
      <c r="F509" s="110">
        <f t="shared" si="31"/>
        <v>1.077396991803263E-3</v>
      </c>
      <c r="G509" s="111">
        <v>8.8715400993612491E-3</v>
      </c>
      <c r="H509" s="110">
        <f t="shared" si="28"/>
        <v>9.5581706157138303E-6</v>
      </c>
      <c r="I509" s="111">
        <v>0.17</v>
      </c>
      <c r="J509" s="110">
        <f t="shared" si="29"/>
        <v>1.8315748860655472E-4</v>
      </c>
      <c r="L509" s="112"/>
    </row>
    <row r="510" spans="1:12" x14ac:dyDescent="0.2">
      <c r="A510" s="99" t="s">
        <v>1318</v>
      </c>
      <c r="B510" s="108" t="s">
        <v>331</v>
      </c>
      <c r="C510" s="109">
        <v>433</v>
      </c>
      <c r="D510" s="109">
        <v>148.11000000000001</v>
      </c>
      <c r="E510" s="109">
        <f t="shared" si="30"/>
        <v>64131.630000000005</v>
      </c>
      <c r="F510" s="110">
        <f t="shared" si="31"/>
        <v>2.2669334115030327E-3</v>
      </c>
      <c r="G510" s="111">
        <v>4.2265883464992229E-2</v>
      </c>
      <c r="H510" s="110">
        <f t="shared" si="28"/>
        <v>9.5813943393484451E-5</v>
      </c>
      <c r="I510" s="111">
        <v>0.12</v>
      </c>
      <c r="J510" s="110">
        <f t="shared" si="29"/>
        <v>2.720320093803639E-4</v>
      </c>
      <c r="L510" s="112"/>
    </row>
    <row r="511" spans="1:12" x14ac:dyDescent="0.2">
      <c r="A511" s="99" t="s">
        <v>252</v>
      </c>
      <c r="B511" s="108" t="s">
        <v>253</v>
      </c>
      <c r="C511" s="109">
        <v>270.95</v>
      </c>
      <c r="D511" s="109">
        <v>113.09</v>
      </c>
      <c r="E511" s="109">
        <f t="shared" si="30"/>
        <v>30641.735499999999</v>
      </c>
      <c r="F511" s="110" t="str">
        <f t="shared" si="31"/>
        <v/>
      </c>
      <c r="G511" s="111" t="s">
        <v>175</v>
      </c>
      <c r="H511" s="110" t="str">
        <f t="shared" si="28"/>
        <v/>
      </c>
      <c r="I511" s="111">
        <v>0.26</v>
      </c>
      <c r="J511" s="110" t="str">
        <f t="shared" si="29"/>
        <v/>
      </c>
      <c r="L511" s="112"/>
    </row>
    <row r="512" spans="1:12" x14ac:dyDescent="0.2">
      <c r="A512" s="99" t="s">
        <v>176</v>
      </c>
      <c r="B512" s="108" t="s">
        <v>177</v>
      </c>
      <c r="C512" s="109">
        <v>59.253999999999998</v>
      </c>
      <c r="D512" s="109">
        <v>152.28</v>
      </c>
      <c r="E512" s="109">
        <f t="shared" si="30"/>
        <v>9023.1991199999993</v>
      </c>
      <c r="F512" s="110">
        <f t="shared" si="31"/>
        <v>3.1895324606239948E-4</v>
      </c>
      <c r="G512" s="111">
        <v>3.9401103230890466E-2</v>
      </c>
      <c r="H512" s="110">
        <f t="shared" si="28"/>
        <v>1.256710977393221E-5</v>
      </c>
      <c r="I512" s="111">
        <v>0.12</v>
      </c>
      <c r="J512" s="110">
        <f t="shared" si="29"/>
        <v>3.8274389527487936E-5</v>
      </c>
      <c r="L512" s="112"/>
    </row>
    <row r="513" spans="1:12" x14ac:dyDescent="0.2">
      <c r="A513" s="99" t="s">
        <v>214</v>
      </c>
      <c r="B513" s="108" t="s">
        <v>215</v>
      </c>
      <c r="C513" s="109">
        <v>78.111999999999995</v>
      </c>
      <c r="D513" s="109">
        <v>269.73</v>
      </c>
      <c r="E513" s="109">
        <f t="shared" si="30"/>
        <v>21069.14976</v>
      </c>
      <c r="F513" s="110">
        <f t="shared" si="31"/>
        <v>7.4475511604656086E-4</v>
      </c>
      <c r="G513" s="111" t="s">
        <v>175</v>
      </c>
      <c r="H513" s="110" t="str">
        <f t="shared" si="28"/>
        <v/>
      </c>
      <c r="I513" s="111">
        <v>0.17</v>
      </c>
      <c r="J513" s="110">
        <f t="shared" si="29"/>
        <v>1.2660836972791536E-4</v>
      </c>
      <c r="L513" s="112"/>
    </row>
    <row r="514" spans="1:12" x14ac:dyDescent="0.2">
      <c r="A514" s="99" t="s">
        <v>618</v>
      </c>
      <c r="B514" s="108" t="s">
        <v>619</v>
      </c>
      <c r="C514" s="109">
        <v>157.30000000000001</v>
      </c>
      <c r="D514" s="109">
        <v>214.2</v>
      </c>
      <c r="E514" s="109">
        <f t="shared" si="30"/>
        <v>33693.660000000003</v>
      </c>
      <c r="F514" s="110">
        <f t="shared" si="31"/>
        <v>1.191007987943286E-3</v>
      </c>
      <c r="G514" s="111" t="s">
        <v>175</v>
      </c>
      <c r="H514" s="110" t="str">
        <f t="shared" si="28"/>
        <v/>
      </c>
      <c r="I514" s="111">
        <v>6.5000000000000002E-2</v>
      </c>
      <c r="J514" s="110">
        <f t="shared" si="29"/>
        <v>7.7415519216313597E-5</v>
      </c>
      <c r="L514" s="112"/>
    </row>
    <row r="515" spans="1:12" x14ac:dyDescent="0.2">
      <c r="A515" s="99" t="s">
        <v>1319</v>
      </c>
      <c r="B515" s="108" t="s">
        <v>1320</v>
      </c>
      <c r="C515" s="109">
        <v>226.375</v>
      </c>
      <c r="D515" s="109">
        <v>75.02</v>
      </c>
      <c r="E515" s="109">
        <f t="shared" si="30"/>
        <v>16982.6525</v>
      </c>
      <c r="F515" s="110" t="str">
        <f t="shared" si="31"/>
        <v/>
      </c>
      <c r="G515" s="111">
        <v>1.8661690215942415E-2</v>
      </c>
      <c r="H515" s="110" t="str">
        <f t="shared" si="28"/>
        <v/>
      </c>
      <c r="I515" s="111" t="s">
        <v>175</v>
      </c>
      <c r="J515" s="110" t="str">
        <f t="shared" si="29"/>
        <v/>
      </c>
      <c r="L515" s="112"/>
    </row>
    <row r="516" spans="1:12" x14ac:dyDescent="0.2">
      <c r="A516" s="99" t="s">
        <v>691</v>
      </c>
      <c r="B516" s="108" t="s">
        <v>692</v>
      </c>
      <c r="C516" s="109">
        <v>267.17500000000001</v>
      </c>
      <c r="D516" s="109">
        <v>58.96</v>
      </c>
      <c r="E516" s="109">
        <f t="shared" si="30"/>
        <v>15752.638000000001</v>
      </c>
      <c r="F516" s="110">
        <f t="shared" si="31"/>
        <v>5.5682634920572441E-4</v>
      </c>
      <c r="G516" s="111">
        <v>1.865671641791045E-2</v>
      </c>
      <c r="H516" s="110">
        <f t="shared" si="28"/>
        <v>1.0388551291151575E-5</v>
      </c>
      <c r="I516" s="111">
        <v>0.13</v>
      </c>
      <c r="J516" s="110">
        <f t="shared" si="29"/>
        <v>7.2387425396744181E-5</v>
      </c>
      <c r="L516" s="112"/>
    </row>
    <row r="517" spans="1:12" x14ac:dyDescent="0.2">
      <c r="A517" s="99" t="s">
        <v>1122</v>
      </c>
      <c r="B517" s="108" t="s">
        <v>1123</v>
      </c>
      <c r="C517" s="109">
        <v>466.072</v>
      </c>
      <c r="D517" s="109">
        <v>165.49</v>
      </c>
      <c r="E517" s="109">
        <f t="shared" si="30"/>
        <v>77130.255279999998</v>
      </c>
      <c r="F517" s="110">
        <f t="shared" si="31"/>
        <v>2.7264105517353946E-3</v>
      </c>
      <c r="G517" s="111">
        <v>9.0639917819807844E-3</v>
      </c>
      <c r="H517" s="110">
        <f t="shared" si="28"/>
        <v>2.4712162835235313E-5</v>
      </c>
      <c r="I517" s="111">
        <v>0.11</v>
      </c>
      <c r="J517" s="110">
        <f t="shared" si="29"/>
        <v>2.9990516069089342E-4</v>
      </c>
      <c r="L517" s="112"/>
    </row>
    <row r="518" spans="1:12" x14ac:dyDescent="0.2">
      <c r="A518" s="99" t="s">
        <v>481</v>
      </c>
      <c r="B518" s="108" t="s">
        <v>482</v>
      </c>
      <c r="C518" s="109">
        <v>92.537999999999997</v>
      </c>
      <c r="D518" s="109">
        <v>738.13</v>
      </c>
      <c r="E518" s="109">
        <f t="shared" si="30"/>
        <v>68305.073940000002</v>
      </c>
      <c r="F518" s="110">
        <f t="shared" si="31"/>
        <v>2.4144568645732395E-3</v>
      </c>
      <c r="G518" s="111">
        <v>1.6799208811455978E-2</v>
      </c>
      <c r="H518" s="110">
        <f t="shared" si="28"/>
        <v>4.0560965034219139E-5</v>
      </c>
      <c r="I518" s="111">
        <v>0.15</v>
      </c>
      <c r="J518" s="110">
        <f t="shared" si="29"/>
        <v>3.6216852968598594E-4</v>
      </c>
      <c r="L518" s="112"/>
    </row>
    <row r="519" spans="1:12" x14ac:dyDescent="0.2">
      <c r="A519" s="99" t="s">
        <v>437</v>
      </c>
      <c r="B519" s="108" t="s">
        <v>438</v>
      </c>
      <c r="C519" s="109">
        <v>287.52199999999999</v>
      </c>
      <c r="D519" s="109">
        <v>114.62</v>
      </c>
      <c r="E519" s="109">
        <f t="shared" si="30"/>
        <v>32955.771639999999</v>
      </c>
      <c r="F519" s="110" t="str">
        <f t="shared" si="31"/>
        <v/>
      </c>
      <c r="G519" s="111">
        <v>4.2575466759727794E-2</v>
      </c>
      <c r="H519" s="110" t="str">
        <f t="shared" si="28"/>
        <v/>
      </c>
      <c r="I519" s="111">
        <v>-3.5000000000000003E-2</v>
      </c>
      <c r="J519" s="110" t="str">
        <f t="shared" si="29"/>
        <v/>
      </c>
      <c r="L519" s="112"/>
    </row>
    <row r="520" spans="1:12" x14ac:dyDescent="0.2">
      <c r="A520" s="99" t="s">
        <v>708</v>
      </c>
      <c r="B520" s="108" t="s">
        <v>709</v>
      </c>
      <c r="C520" s="109">
        <v>764.16600000000005</v>
      </c>
      <c r="D520" s="109">
        <v>59</v>
      </c>
      <c r="E520" s="109">
        <f t="shared" si="30"/>
        <v>45085.794000000002</v>
      </c>
      <c r="F520" s="110" t="str">
        <f t="shared" si="31"/>
        <v/>
      </c>
      <c r="G520" s="111" t="s">
        <v>175</v>
      </c>
      <c r="H520" s="110" t="str">
        <f t="shared" si="28"/>
        <v/>
      </c>
      <c r="I520" s="111" t="s">
        <v>175</v>
      </c>
      <c r="J520" s="110" t="str">
        <f t="shared" si="29"/>
        <v/>
      </c>
      <c r="L520" s="112"/>
    </row>
    <row r="521" spans="1:12" x14ac:dyDescent="0.2">
      <c r="A521" s="99" t="s">
        <v>756</v>
      </c>
      <c r="B521" s="108" t="s">
        <v>757</v>
      </c>
      <c r="C521" s="109">
        <v>58.4</v>
      </c>
      <c r="D521" s="109">
        <v>311.83</v>
      </c>
      <c r="E521" s="109">
        <f t="shared" si="30"/>
        <v>18210.871999999999</v>
      </c>
      <c r="F521" s="110">
        <f t="shared" si="31"/>
        <v>6.4372033253177964E-4</v>
      </c>
      <c r="G521" s="111" t="s">
        <v>175</v>
      </c>
      <c r="H521" s="110" t="str">
        <f t="shared" si="28"/>
        <v/>
      </c>
      <c r="I521" s="111">
        <v>0.11</v>
      </c>
      <c r="J521" s="110">
        <f t="shared" si="29"/>
        <v>7.0809236578495759E-5</v>
      </c>
      <c r="L521" s="112"/>
    </row>
    <row r="522" spans="1:12" x14ac:dyDescent="0.2">
      <c r="A522" s="99"/>
      <c r="B522" s="108"/>
      <c r="C522" s="110"/>
      <c r="D522" s="110"/>
      <c r="E522" s="110"/>
      <c r="F522" s="110"/>
      <c r="G522" s="110"/>
    </row>
    <row r="523" spans="1:12" x14ac:dyDescent="0.2">
      <c r="A523" s="99"/>
      <c r="B523" s="108"/>
      <c r="C523" s="110"/>
      <c r="D523" s="110"/>
      <c r="E523" s="110"/>
      <c r="F523" s="110"/>
      <c r="G523" s="110"/>
    </row>
    <row r="524" spans="1:12" x14ac:dyDescent="0.2">
      <c r="A524" s="99"/>
      <c r="B524" s="108"/>
      <c r="C524" s="110"/>
      <c r="D524" s="110"/>
      <c r="E524" s="110"/>
      <c r="F524" s="110"/>
      <c r="G524" s="110"/>
    </row>
    <row r="525" spans="1:12" x14ac:dyDescent="0.2">
      <c r="A525" s="113" t="s">
        <v>88</v>
      </c>
      <c r="B525" s="108"/>
      <c r="C525" s="110"/>
      <c r="D525" s="110"/>
      <c r="E525" s="110"/>
      <c r="F525" s="110"/>
      <c r="G525" s="110"/>
    </row>
    <row r="526" spans="1:12" x14ac:dyDescent="0.2">
      <c r="A526" s="98" t="s">
        <v>1124</v>
      </c>
      <c r="E526" s="99"/>
    </row>
    <row r="527" spans="1:12" x14ac:dyDescent="0.2">
      <c r="A527" s="98" t="s">
        <v>1125</v>
      </c>
    </row>
    <row r="528" spans="1:12" x14ac:dyDescent="0.2">
      <c r="A528" s="98" t="s">
        <v>1126</v>
      </c>
    </row>
    <row r="529" spans="1:1" x14ac:dyDescent="0.2">
      <c r="A529" s="98" t="s">
        <v>1524</v>
      </c>
    </row>
    <row r="530" spans="1:1" x14ac:dyDescent="0.2">
      <c r="A530" s="98" t="s">
        <v>1525</v>
      </c>
    </row>
    <row r="531" spans="1:1" x14ac:dyDescent="0.2">
      <c r="A531" s="98" t="s">
        <v>1127</v>
      </c>
    </row>
    <row r="532" spans="1:1" x14ac:dyDescent="0.2">
      <c r="A532" s="98" t="s">
        <v>1128</v>
      </c>
    </row>
    <row r="533" spans="1:1" x14ac:dyDescent="0.2">
      <c r="A533" s="98" t="s">
        <v>1526</v>
      </c>
    </row>
    <row r="534" spans="1:1" x14ac:dyDescent="0.2">
      <c r="A534" s="98" t="s">
        <v>1129</v>
      </c>
    </row>
    <row r="535" spans="1:1" x14ac:dyDescent="0.2">
      <c r="A535" s="98" t="s">
        <v>1527</v>
      </c>
    </row>
    <row r="536" spans="1:1" x14ac:dyDescent="0.2">
      <c r="A536" s="98" t="s">
        <v>1130</v>
      </c>
    </row>
  </sheetData>
  <mergeCells count="4">
    <mergeCell ref="A1:G1"/>
    <mergeCell ref="B4:C4"/>
    <mergeCell ref="B6:C6"/>
    <mergeCell ref="B8:C8"/>
  </mergeCells>
  <printOptions horizontalCentered="1"/>
  <pageMargins left="0.7" right="0.7" top="1.25" bottom="0.75" header="0.3" footer="0.3"/>
  <pageSetup scale="54" fitToHeight="6" orientation="portrait" useFirstPageNumber="1" r:id="rId1"/>
  <headerFooter>
    <oddHeader>&amp;LREFILED April 19, 2023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B2:O132"/>
  <sheetViews>
    <sheetView view="pageBreakPreview" zoomScale="60" zoomScaleNormal="100" workbookViewId="0">
      <selection activeCell="E4" sqref="E4"/>
    </sheetView>
  </sheetViews>
  <sheetFormatPr defaultColWidth="8.5703125" defaultRowHeight="15" customHeight="1" x14ac:dyDescent="0.25"/>
  <cols>
    <col min="1" max="1" width="3.42578125" style="215" customWidth="1"/>
    <col min="2" max="2" width="10.42578125" style="215" customWidth="1"/>
    <col min="3" max="3" width="13.5703125" style="215" customWidth="1"/>
    <col min="4" max="4" width="12.5703125" style="215" customWidth="1"/>
    <col min="5" max="5" width="10.5703125" style="215" customWidth="1"/>
    <col min="6" max="6" width="8.5703125" style="215"/>
    <col min="7" max="7" width="30" style="215" customWidth="1"/>
    <col min="8" max="8" width="13.140625" style="215" bestFit="1" customWidth="1"/>
    <col min="9" max="9" width="13.5703125" style="215" bestFit="1" customWidth="1"/>
    <col min="10" max="10" width="14.140625" style="215" bestFit="1" customWidth="1"/>
    <col min="11" max="11" width="12.5703125" style="215" bestFit="1" customWidth="1"/>
    <col min="12" max="12" width="13.28515625" style="215" bestFit="1" customWidth="1"/>
    <col min="13" max="13" width="13.140625" style="215" bestFit="1" customWidth="1"/>
    <col min="14" max="14" width="28.140625" style="215" customWidth="1"/>
    <col min="15" max="15" width="13.140625" style="215" bestFit="1" customWidth="1"/>
    <col min="16" max="16384" width="8.5703125" style="215"/>
  </cols>
  <sheetData>
    <row r="2" spans="2:5" ht="15" customHeight="1" x14ac:dyDescent="0.25">
      <c r="B2" s="361" t="s">
        <v>1131</v>
      </c>
      <c r="C2" s="361"/>
      <c r="D2" s="361"/>
      <c r="E2" s="361"/>
    </row>
    <row r="4" spans="2:5" ht="15" customHeight="1" thickBot="1" x14ac:dyDescent="0.25">
      <c r="B4" s="114"/>
      <c r="C4" s="115" t="s">
        <v>28</v>
      </c>
      <c r="D4" s="115" t="s">
        <v>29</v>
      </c>
      <c r="E4" s="115" t="s">
        <v>30</v>
      </c>
    </row>
    <row r="5" spans="2:5" ht="38.25" x14ac:dyDescent="0.2">
      <c r="B5" s="116" t="s">
        <v>1132</v>
      </c>
      <c r="C5" s="117" t="s">
        <v>1328</v>
      </c>
      <c r="D5" s="117" t="s">
        <v>1133</v>
      </c>
      <c r="E5" s="117" t="s">
        <v>18</v>
      </c>
    </row>
    <row r="6" spans="2:5" ht="15" customHeight="1" x14ac:dyDescent="0.2">
      <c r="B6" s="216" t="s">
        <v>1134</v>
      </c>
      <c r="C6" s="119">
        <v>0.12381000000000002</v>
      </c>
      <c r="D6" s="119">
        <v>7.8050793650793662E-2</v>
      </c>
      <c r="E6" s="118">
        <f>C6-D6</f>
        <v>4.5759206349206355E-2</v>
      </c>
    </row>
    <row r="7" spans="2:5" ht="15" customHeight="1" x14ac:dyDescent="0.2">
      <c r="B7" s="216" t="s">
        <v>1135</v>
      </c>
      <c r="C7" s="119">
        <v>0.11827500000000001</v>
      </c>
      <c r="D7" s="119">
        <v>7.8976190476190478E-2</v>
      </c>
      <c r="E7" s="120">
        <f t="shared" ref="E7:E70" si="0">C7-D7</f>
        <v>3.9298809523809528E-2</v>
      </c>
    </row>
    <row r="8" spans="2:5" ht="15" customHeight="1" x14ac:dyDescent="0.2">
      <c r="B8" s="216" t="s">
        <v>1136</v>
      </c>
      <c r="C8" s="119">
        <v>0.12031249999999999</v>
      </c>
      <c r="D8" s="119">
        <v>7.4456250000000002E-2</v>
      </c>
      <c r="E8" s="120">
        <f t="shared" si="0"/>
        <v>4.5856249999999987E-2</v>
      </c>
    </row>
    <row r="9" spans="2:5" ht="15" customHeight="1" x14ac:dyDescent="0.2">
      <c r="B9" s="216" t="s">
        <v>1137</v>
      </c>
      <c r="C9" s="119">
        <v>0.12140666666666668</v>
      </c>
      <c r="D9" s="119">
        <v>7.5235937499999989E-2</v>
      </c>
      <c r="E9" s="120">
        <f t="shared" si="0"/>
        <v>4.6170729166666688E-2</v>
      </c>
    </row>
    <row r="10" spans="2:5" ht="15" customHeight="1" x14ac:dyDescent="0.2">
      <c r="B10" s="216" t="s">
        <v>1138</v>
      </c>
      <c r="C10" s="119">
        <v>0.11835714285714286</v>
      </c>
      <c r="D10" s="119">
        <v>7.0716129032258074E-2</v>
      </c>
      <c r="E10" s="120">
        <f t="shared" si="0"/>
        <v>4.7641013824884781E-2</v>
      </c>
    </row>
    <row r="11" spans="2:5" ht="15" customHeight="1" x14ac:dyDescent="0.2">
      <c r="B11" s="217" t="s">
        <v>1139</v>
      </c>
      <c r="C11" s="119">
        <v>0.11641111111111109</v>
      </c>
      <c r="D11" s="119">
        <v>6.8584126984127011E-2</v>
      </c>
      <c r="E11" s="120">
        <f t="shared" si="0"/>
        <v>4.7826984126984079E-2</v>
      </c>
    </row>
    <row r="12" spans="2:5" ht="15" customHeight="1" x14ac:dyDescent="0.2">
      <c r="B12" s="217" t="s">
        <v>1140</v>
      </c>
      <c r="C12" s="119">
        <v>0.11151666666666667</v>
      </c>
      <c r="D12" s="119">
        <v>6.3154687500000015E-2</v>
      </c>
      <c r="E12" s="120">
        <f t="shared" si="0"/>
        <v>4.8361979166666652E-2</v>
      </c>
    </row>
    <row r="13" spans="2:5" ht="15" customHeight="1" x14ac:dyDescent="0.2">
      <c r="B13" s="217" t="s">
        <v>1141</v>
      </c>
      <c r="C13" s="119">
        <v>0.11041666666666666</v>
      </c>
      <c r="D13" s="119">
        <v>6.1351562500000012E-2</v>
      </c>
      <c r="E13" s="120">
        <f t="shared" si="0"/>
        <v>4.9065104166666651E-2</v>
      </c>
    </row>
    <row r="14" spans="2:5" ht="15" customHeight="1" x14ac:dyDescent="0.2">
      <c r="B14" s="217" t="s">
        <v>1142</v>
      </c>
      <c r="C14" s="119">
        <v>0.11067</v>
      </c>
      <c r="D14" s="119">
        <v>6.5758730158730155E-2</v>
      </c>
      <c r="E14" s="120">
        <f t="shared" si="0"/>
        <v>4.4911269841269849E-2</v>
      </c>
    </row>
    <row r="15" spans="2:5" ht="15" customHeight="1" x14ac:dyDescent="0.2">
      <c r="B15" s="217" t="s">
        <v>1143</v>
      </c>
      <c r="C15" s="119">
        <v>0.1113</v>
      </c>
      <c r="D15" s="119">
        <v>7.3622580645161306E-2</v>
      </c>
      <c r="E15" s="120">
        <f t="shared" si="0"/>
        <v>3.767741935483869E-2</v>
      </c>
    </row>
    <row r="16" spans="2:5" ht="15" customHeight="1" x14ac:dyDescent="0.2">
      <c r="B16" s="217" t="s">
        <v>1144</v>
      </c>
      <c r="C16" s="119">
        <v>0.1275</v>
      </c>
      <c r="D16" s="119">
        <v>7.5893750000000024E-2</v>
      </c>
      <c r="E16" s="120">
        <f t="shared" si="0"/>
        <v>5.1606249999999979E-2</v>
      </c>
    </row>
    <row r="17" spans="2:15" ht="15" customHeight="1" x14ac:dyDescent="0.2">
      <c r="B17" s="217" t="s">
        <v>1145</v>
      </c>
      <c r="C17" s="119">
        <v>0.11238333333333334</v>
      </c>
      <c r="D17" s="119">
        <v>7.9633333333333334E-2</v>
      </c>
      <c r="E17" s="120">
        <f t="shared" si="0"/>
        <v>3.2750000000000001E-2</v>
      </c>
    </row>
    <row r="18" spans="2:15" ht="15" customHeight="1" x14ac:dyDescent="0.2">
      <c r="B18" s="217">
        <v>1995.1</v>
      </c>
      <c r="C18" s="119">
        <v>0.1196125</v>
      </c>
      <c r="D18" s="119">
        <v>7.6334374999999996E-2</v>
      </c>
      <c r="E18" s="120">
        <f t="shared" si="0"/>
        <v>4.3278125000000001E-2</v>
      </c>
    </row>
    <row r="19" spans="2:15" ht="15" customHeight="1" x14ac:dyDescent="0.2">
      <c r="B19" s="217" t="s">
        <v>1146</v>
      </c>
      <c r="C19" s="119">
        <v>0.1131625</v>
      </c>
      <c r="D19" s="119">
        <v>6.9422222222222191E-2</v>
      </c>
      <c r="E19" s="120">
        <f t="shared" si="0"/>
        <v>4.3740277777777808E-2</v>
      </c>
    </row>
    <row r="20" spans="2:15" ht="15" customHeight="1" x14ac:dyDescent="0.2">
      <c r="B20" s="217" t="s">
        <v>1147</v>
      </c>
      <c r="C20" s="119">
        <v>0.1137</v>
      </c>
      <c r="D20" s="119">
        <v>6.7173015873015857E-2</v>
      </c>
      <c r="E20" s="120">
        <f t="shared" si="0"/>
        <v>4.6526984126984139E-2</v>
      </c>
    </row>
    <row r="21" spans="2:15" ht="15" customHeight="1" x14ac:dyDescent="0.2">
      <c r="B21" s="217" t="s">
        <v>1148</v>
      </c>
      <c r="C21" s="119">
        <v>0.11584285714285714</v>
      </c>
      <c r="D21" s="119">
        <v>6.2390476190476205E-2</v>
      </c>
      <c r="E21" s="120">
        <f t="shared" si="0"/>
        <v>5.3452380952380932E-2</v>
      </c>
    </row>
    <row r="22" spans="2:15" ht="15" customHeight="1" x14ac:dyDescent="0.2">
      <c r="B22" s="217" t="s">
        <v>1149</v>
      </c>
      <c r="C22" s="119">
        <v>0.11460000000000001</v>
      </c>
      <c r="D22" s="119">
        <v>6.2916923076923065E-2</v>
      </c>
      <c r="E22" s="120">
        <f t="shared" si="0"/>
        <v>5.1683076923076943E-2</v>
      </c>
      <c r="G22" s="218" t="s">
        <v>1150</v>
      </c>
      <c r="H22" s="218"/>
      <c r="I22" s="218"/>
      <c r="J22" s="218"/>
      <c r="K22" s="218"/>
      <c r="L22" s="218"/>
      <c r="M22" s="218"/>
      <c r="N22" s="218"/>
      <c r="O22" s="218"/>
    </row>
    <row r="23" spans="2:15" ht="15" customHeight="1" thickBot="1" x14ac:dyDescent="0.25">
      <c r="B23" s="217" t="s">
        <v>1151</v>
      </c>
      <c r="C23" s="119">
        <v>0.11458888888888891</v>
      </c>
      <c r="D23" s="119">
        <v>6.9215384615384609E-2</v>
      </c>
      <c r="E23" s="120">
        <f t="shared" si="0"/>
        <v>4.5373504273504298E-2</v>
      </c>
      <c r="G23" s="218"/>
      <c r="H23" s="218"/>
      <c r="I23" s="218"/>
      <c r="J23" s="218"/>
      <c r="K23" s="218"/>
      <c r="L23" s="218"/>
      <c r="M23" s="218"/>
      <c r="N23" s="218"/>
      <c r="O23" s="218"/>
    </row>
    <row r="24" spans="2:15" ht="15" customHeight="1" x14ac:dyDescent="0.2">
      <c r="B24" s="217" t="s">
        <v>1152</v>
      </c>
      <c r="C24" s="119">
        <v>0.10700000000000001</v>
      </c>
      <c r="D24" s="119">
        <v>6.9672727272727275E-2</v>
      </c>
      <c r="E24" s="120">
        <f t="shared" si="0"/>
        <v>3.7327272727272737E-2</v>
      </c>
      <c r="G24" s="219" t="s">
        <v>1153</v>
      </c>
      <c r="H24" s="219"/>
      <c r="I24" s="218"/>
      <c r="J24" s="218"/>
      <c r="K24" s="218"/>
      <c r="L24" s="218"/>
      <c r="M24" s="218"/>
      <c r="N24" s="218"/>
      <c r="O24" s="218"/>
    </row>
    <row r="25" spans="2:15" ht="15" customHeight="1" x14ac:dyDescent="0.2">
      <c r="B25" s="217" t="s">
        <v>1154</v>
      </c>
      <c r="C25" s="119">
        <v>0.11559999999999999</v>
      </c>
      <c r="D25" s="119">
        <v>6.6199999999999995E-2</v>
      </c>
      <c r="E25" s="120">
        <f t="shared" si="0"/>
        <v>4.9399999999999999E-2</v>
      </c>
      <c r="G25" s="220" t="s">
        <v>1155</v>
      </c>
      <c r="H25" s="342">
        <v>0.91003842361189158</v>
      </c>
      <c r="I25" s="218"/>
      <c r="J25" s="218"/>
      <c r="K25" s="218"/>
      <c r="L25" s="218"/>
      <c r="M25" s="218"/>
      <c r="N25" s="218"/>
      <c r="O25" s="218"/>
    </row>
    <row r="26" spans="2:15" ht="15" customHeight="1" x14ac:dyDescent="0.2">
      <c r="B26" s="217" t="s">
        <v>1156</v>
      </c>
      <c r="C26" s="119">
        <v>0.1108</v>
      </c>
      <c r="D26" s="119">
        <v>6.8153124999999995E-2</v>
      </c>
      <c r="E26" s="120">
        <f t="shared" si="0"/>
        <v>4.2646875000000001E-2</v>
      </c>
      <c r="G26" s="220" t="s">
        <v>1157</v>
      </c>
      <c r="H26" s="342">
        <v>0.82816993245001669</v>
      </c>
      <c r="I26" s="218"/>
      <c r="J26" s="218"/>
      <c r="K26" s="218"/>
      <c r="L26" s="218"/>
      <c r="M26" s="218"/>
      <c r="N26" s="218"/>
      <c r="O26" s="218"/>
    </row>
    <row r="27" spans="2:15" ht="15" customHeight="1" x14ac:dyDescent="0.2">
      <c r="B27" s="217" t="s">
        <v>1158</v>
      </c>
      <c r="C27" s="119">
        <v>0.11616666666666668</v>
      </c>
      <c r="D27" s="119">
        <v>6.9369230769230752E-2</v>
      </c>
      <c r="E27" s="120">
        <f t="shared" si="0"/>
        <v>4.6797435897435929E-2</v>
      </c>
      <c r="G27" s="220" t="s">
        <v>1159</v>
      </c>
      <c r="H27" s="342">
        <v>0.82677294003091117</v>
      </c>
      <c r="I27" s="218"/>
      <c r="J27" s="218"/>
      <c r="K27" s="218"/>
      <c r="L27" s="218"/>
      <c r="M27" s="218"/>
      <c r="N27" s="218"/>
      <c r="O27" s="218"/>
    </row>
    <row r="28" spans="2:15" ht="15" customHeight="1" x14ac:dyDescent="0.2">
      <c r="B28" s="217" t="s">
        <v>1160</v>
      </c>
      <c r="C28" s="119">
        <v>0.12</v>
      </c>
      <c r="D28" s="119">
        <v>6.5304545454545448E-2</v>
      </c>
      <c r="E28" s="120">
        <f t="shared" si="0"/>
        <v>5.4695454545454547E-2</v>
      </c>
      <c r="G28" s="220" t="s">
        <v>1161</v>
      </c>
      <c r="H28" s="342">
        <v>4.2594428544518873E-3</v>
      </c>
      <c r="I28" s="218"/>
      <c r="J28" s="218"/>
      <c r="K28" s="218"/>
      <c r="L28" s="218"/>
      <c r="M28" s="218"/>
      <c r="N28" s="218"/>
      <c r="O28" s="218"/>
    </row>
    <row r="29" spans="2:15" ht="15" customHeight="1" thickBot="1" x14ac:dyDescent="0.25">
      <c r="B29" s="216" t="s">
        <v>1162</v>
      </c>
      <c r="C29" s="119">
        <v>0.1106</v>
      </c>
      <c r="D29" s="119">
        <v>6.1478125000000015E-2</v>
      </c>
      <c r="E29" s="120">
        <f t="shared" si="0"/>
        <v>4.9121874999999988E-2</v>
      </c>
      <c r="G29" s="221" t="s">
        <v>1163</v>
      </c>
      <c r="H29" s="221">
        <v>125</v>
      </c>
      <c r="I29" s="218"/>
      <c r="J29" s="218"/>
      <c r="K29" s="218"/>
      <c r="L29" s="218"/>
      <c r="M29" s="218"/>
      <c r="N29" s="218"/>
      <c r="O29" s="218"/>
    </row>
    <row r="30" spans="2:15" ht="15" customHeight="1" x14ac:dyDescent="0.2">
      <c r="B30" s="216">
        <v>1998.1</v>
      </c>
      <c r="C30" s="119">
        <v>0.11312499999999999</v>
      </c>
      <c r="D30" s="119">
        <v>5.884375E-2</v>
      </c>
      <c r="E30" s="120">
        <f t="shared" si="0"/>
        <v>5.4281249999999989E-2</v>
      </c>
      <c r="G30" s="218"/>
      <c r="H30" s="218"/>
      <c r="I30" s="218"/>
      <c r="J30" s="218"/>
      <c r="K30" s="218"/>
      <c r="L30" s="218"/>
      <c r="M30" s="218"/>
      <c r="N30" s="218"/>
      <c r="O30" s="218"/>
    </row>
    <row r="31" spans="2:15" ht="15" customHeight="1" thickBot="1" x14ac:dyDescent="0.25">
      <c r="B31" s="217" t="s">
        <v>1164</v>
      </c>
      <c r="C31" s="119">
        <v>0.122</v>
      </c>
      <c r="D31" s="119">
        <v>5.8490769230769207E-2</v>
      </c>
      <c r="E31" s="120">
        <f t="shared" si="0"/>
        <v>6.350923076923079E-2</v>
      </c>
      <c r="G31" s="218" t="s">
        <v>1165</v>
      </c>
      <c r="H31" s="218"/>
      <c r="I31" s="218"/>
      <c r="J31" s="218"/>
      <c r="K31" s="218"/>
      <c r="L31" s="218"/>
      <c r="M31" s="218"/>
      <c r="N31" s="218"/>
      <c r="O31" s="218"/>
    </row>
    <row r="32" spans="2:15" ht="15" customHeight="1" x14ac:dyDescent="0.2">
      <c r="B32" s="217" t="s">
        <v>1166</v>
      </c>
      <c r="C32" s="119">
        <v>0.11650000000000001</v>
      </c>
      <c r="D32" s="119">
        <v>5.4762121212121241E-2</v>
      </c>
      <c r="E32" s="120">
        <f t="shared" si="0"/>
        <v>6.1737878787878765E-2</v>
      </c>
      <c r="G32" s="222"/>
      <c r="H32" s="222" t="s">
        <v>1167</v>
      </c>
      <c r="I32" s="222" t="s">
        <v>1168</v>
      </c>
      <c r="J32" s="222" t="s">
        <v>771</v>
      </c>
      <c r="K32" s="222" t="s">
        <v>504</v>
      </c>
      <c r="L32" s="222" t="s">
        <v>1169</v>
      </c>
      <c r="M32" s="218"/>
      <c r="N32" s="218"/>
      <c r="O32" s="218"/>
    </row>
    <row r="33" spans="2:15" ht="15" customHeight="1" x14ac:dyDescent="0.2">
      <c r="B33" s="217" t="s">
        <v>1170</v>
      </c>
      <c r="C33" s="119">
        <v>0.123</v>
      </c>
      <c r="D33" s="119">
        <v>5.1071212121212115E-2</v>
      </c>
      <c r="E33" s="120">
        <f t="shared" si="0"/>
        <v>7.1928787878787884E-2</v>
      </c>
      <c r="G33" s="220" t="s">
        <v>1171</v>
      </c>
      <c r="H33" s="220">
        <v>1</v>
      </c>
      <c r="I33" s="341">
        <v>1.075550983267072E-2</v>
      </c>
      <c r="J33" s="341">
        <v>1.075550983267072E-2</v>
      </c>
      <c r="K33" s="341">
        <v>592.82349791150943</v>
      </c>
      <c r="L33" s="341">
        <v>7.1602059003071382E-49</v>
      </c>
      <c r="M33" s="218"/>
      <c r="N33" s="218"/>
      <c r="O33" s="218"/>
    </row>
    <row r="34" spans="2:15" ht="15" customHeight="1" x14ac:dyDescent="0.2">
      <c r="B34" s="216" t="s">
        <v>1172</v>
      </c>
      <c r="C34" s="119">
        <v>0.10400000000000001</v>
      </c>
      <c r="D34" s="119">
        <v>5.3734374999999994E-2</v>
      </c>
      <c r="E34" s="120">
        <f t="shared" si="0"/>
        <v>5.0265625000000015E-2</v>
      </c>
      <c r="G34" s="220" t="s">
        <v>1173</v>
      </c>
      <c r="H34" s="220">
        <v>123</v>
      </c>
      <c r="I34" s="341">
        <v>2.2315709719319724E-3</v>
      </c>
      <c r="J34" s="341">
        <v>1.8142853430341238E-5</v>
      </c>
      <c r="K34" s="341"/>
      <c r="L34" s="341"/>
      <c r="M34" s="218"/>
      <c r="N34" s="218"/>
      <c r="O34" s="218"/>
    </row>
    <row r="35" spans="2:15" ht="15" customHeight="1" thickBot="1" x14ac:dyDescent="0.25">
      <c r="B35" s="216" t="s">
        <v>1174</v>
      </c>
      <c r="C35" s="119">
        <v>0.1094</v>
      </c>
      <c r="D35" s="119">
        <v>5.7987692307692289E-2</v>
      </c>
      <c r="E35" s="120">
        <f t="shared" si="0"/>
        <v>5.1412307692307709E-2</v>
      </c>
      <c r="G35" s="221" t="s">
        <v>1175</v>
      </c>
      <c r="H35" s="221">
        <v>124</v>
      </c>
      <c r="I35" s="345">
        <v>1.2987080804602693E-2</v>
      </c>
      <c r="J35" s="345"/>
      <c r="K35" s="345"/>
      <c r="L35" s="345"/>
      <c r="M35" s="218"/>
      <c r="N35" s="218"/>
      <c r="O35" s="218"/>
    </row>
    <row r="36" spans="2:15" ht="15" customHeight="1" thickBot="1" x14ac:dyDescent="0.25">
      <c r="B36" s="216">
        <v>1999.3</v>
      </c>
      <c r="C36" s="119">
        <v>0.1075</v>
      </c>
      <c r="D36" s="119">
        <v>6.040757575757575E-2</v>
      </c>
      <c r="E36" s="120">
        <f t="shared" si="0"/>
        <v>4.7092424242424248E-2</v>
      </c>
      <c r="G36" s="218"/>
      <c r="H36" s="218"/>
      <c r="I36" s="218"/>
      <c r="J36" s="218"/>
      <c r="K36" s="218"/>
      <c r="L36" s="218"/>
      <c r="M36" s="218"/>
      <c r="N36" s="218"/>
      <c r="O36" s="218"/>
    </row>
    <row r="37" spans="2:15" ht="15" customHeight="1" x14ac:dyDescent="0.2">
      <c r="B37" s="216" t="s">
        <v>1176</v>
      </c>
      <c r="C37" s="119">
        <v>0.111</v>
      </c>
      <c r="D37" s="119">
        <v>6.2559090909090911E-2</v>
      </c>
      <c r="E37" s="120">
        <f t="shared" si="0"/>
        <v>4.844090909090909E-2</v>
      </c>
      <c r="G37" s="222"/>
      <c r="H37" s="222" t="s">
        <v>1177</v>
      </c>
      <c r="I37" s="222" t="s">
        <v>1161</v>
      </c>
      <c r="J37" s="222" t="s">
        <v>1178</v>
      </c>
      <c r="K37" s="222" t="s">
        <v>1179</v>
      </c>
      <c r="L37" s="222" t="s">
        <v>1180</v>
      </c>
      <c r="M37" s="222" t="s">
        <v>1181</v>
      </c>
      <c r="N37" s="222" t="s">
        <v>1182</v>
      </c>
      <c r="O37" s="222" t="s">
        <v>1183</v>
      </c>
    </row>
    <row r="38" spans="2:15" ht="15" customHeight="1" x14ac:dyDescent="0.2">
      <c r="B38" s="217" t="s">
        <v>1184</v>
      </c>
      <c r="C38" s="119">
        <v>0.112125</v>
      </c>
      <c r="D38" s="119">
        <v>6.2958461538461505E-2</v>
      </c>
      <c r="E38" s="120">
        <f t="shared" si="0"/>
        <v>4.9166538461538498E-2</v>
      </c>
      <c r="G38" s="220" t="s">
        <v>1185</v>
      </c>
      <c r="H38" s="340">
        <v>8.6125869465446897E-2</v>
      </c>
      <c r="I38" s="339">
        <v>1.119109811321167E-3</v>
      </c>
      <c r="J38" s="339">
        <v>76.959265832698634</v>
      </c>
      <c r="K38" s="340">
        <v>6.7696878420423866E-106</v>
      </c>
      <c r="L38" s="340">
        <v>8.3910660212050306E-2</v>
      </c>
      <c r="M38" s="340">
        <v>8.8341078718843488E-2</v>
      </c>
      <c r="N38" s="340">
        <v>8.3910660212050306E-2</v>
      </c>
      <c r="O38" s="340">
        <v>8.8341078718843488E-2</v>
      </c>
    </row>
    <row r="39" spans="2:15" ht="15" customHeight="1" thickBot="1" x14ac:dyDescent="0.25">
      <c r="B39" s="216" t="s">
        <v>1186</v>
      </c>
      <c r="C39" s="119">
        <v>0.11</v>
      </c>
      <c r="D39" s="119">
        <v>5.9787692307692299E-2</v>
      </c>
      <c r="E39" s="120">
        <f t="shared" si="0"/>
        <v>5.0212307692307702E-2</v>
      </c>
      <c r="G39" s="221" t="s">
        <v>1133</v>
      </c>
      <c r="H39" s="344">
        <v>-0.56327720875772103</v>
      </c>
      <c r="I39" s="343">
        <v>2.3134465737546021E-2</v>
      </c>
      <c r="J39" s="343">
        <v>-24.347967018038879</v>
      </c>
      <c r="K39" s="344">
        <v>7.1602059003074421E-49</v>
      </c>
      <c r="L39" s="344">
        <v>-0.60907046519758523</v>
      </c>
      <c r="M39" s="344">
        <v>-0.51748395231785682</v>
      </c>
      <c r="N39" s="344">
        <v>-0.60907046519758523</v>
      </c>
      <c r="O39" s="344">
        <v>-0.51748395231785682</v>
      </c>
    </row>
    <row r="40" spans="2:15" ht="15" customHeight="1" x14ac:dyDescent="0.2">
      <c r="B40" s="217" t="s">
        <v>1187</v>
      </c>
      <c r="C40" s="119">
        <v>0.1168</v>
      </c>
      <c r="D40" s="119">
        <v>5.7932307692307693E-2</v>
      </c>
      <c r="E40" s="120">
        <f t="shared" si="0"/>
        <v>5.8867692307692308E-2</v>
      </c>
      <c r="G40" s="218"/>
      <c r="H40" s="218"/>
      <c r="I40" s="218"/>
      <c r="J40" s="218"/>
      <c r="K40" s="218"/>
      <c r="L40" s="218"/>
      <c r="M40" s="218"/>
      <c r="N40" s="218"/>
      <c r="O40" s="218"/>
    </row>
    <row r="41" spans="2:15" ht="15" customHeight="1" x14ac:dyDescent="0.2">
      <c r="B41" s="217" t="s">
        <v>1188</v>
      </c>
      <c r="C41" s="119">
        <v>0.125</v>
      </c>
      <c r="D41" s="119">
        <v>5.6907692307692305E-2</v>
      </c>
      <c r="E41" s="120">
        <f t="shared" si="0"/>
        <v>6.8092307692307702E-2</v>
      </c>
      <c r="G41" s="218"/>
      <c r="H41" s="218"/>
      <c r="I41" s="218"/>
      <c r="J41" s="218"/>
      <c r="K41" s="218"/>
      <c r="L41" s="218"/>
      <c r="M41" s="218"/>
      <c r="N41" s="218"/>
      <c r="O41" s="218"/>
    </row>
    <row r="42" spans="2:15" ht="15" customHeight="1" thickBot="1" x14ac:dyDescent="0.25">
      <c r="B42" s="216" t="s">
        <v>1189</v>
      </c>
      <c r="C42" s="119">
        <v>0.11375</v>
      </c>
      <c r="D42" s="119">
        <v>5.4464615384615396E-2</v>
      </c>
      <c r="E42" s="120">
        <f t="shared" si="0"/>
        <v>5.9285384615384608E-2</v>
      </c>
      <c r="G42" s="218"/>
      <c r="H42" s="218"/>
      <c r="I42" s="218"/>
      <c r="J42" s="218"/>
      <c r="K42" s="218"/>
      <c r="L42" s="218"/>
      <c r="M42" s="218"/>
      <c r="N42" s="218"/>
      <c r="O42" s="218"/>
    </row>
    <row r="43" spans="2:15" ht="15" customHeight="1" x14ac:dyDescent="0.2">
      <c r="B43" s="217" t="s">
        <v>1190</v>
      </c>
      <c r="C43" s="119">
        <v>0.11</v>
      </c>
      <c r="D43" s="119">
        <v>5.7016923076923069E-2</v>
      </c>
      <c r="E43" s="120">
        <f t="shared" si="0"/>
        <v>5.2983076923076931E-2</v>
      </c>
      <c r="G43" s="121"/>
      <c r="H43" s="121"/>
      <c r="I43" s="121"/>
      <c r="J43" s="122" t="s">
        <v>1191</v>
      </c>
      <c r="K43" s="122"/>
      <c r="L43" s="122"/>
    </row>
    <row r="44" spans="2:15" ht="15" customHeight="1" x14ac:dyDescent="0.2">
      <c r="B44" s="217">
        <v>2001.3</v>
      </c>
      <c r="C44" s="119">
        <v>0.10755714285714287</v>
      </c>
      <c r="D44" s="119">
        <v>5.5250769230769207E-2</v>
      </c>
      <c r="E44" s="120">
        <f t="shared" si="0"/>
        <v>5.2306373626373658E-2</v>
      </c>
      <c r="G44" s="114"/>
      <c r="H44" s="114"/>
      <c r="I44" s="114"/>
      <c r="J44" s="115" t="s">
        <v>1192</v>
      </c>
      <c r="K44" s="115" t="s">
        <v>1193</v>
      </c>
      <c r="L44" s="115"/>
    </row>
    <row r="45" spans="2:15" ht="15" customHeight="1" x14ac:dyDescent="0.2">
      <c r="B45" s="217" t="s">
        <v>1194</v>
      </c>
      <c r="C45" s="119">
        <v>0.11993333333333334</v>
      </c>
      <c r="D45" s="119">
        <v>5.3019696969696967E-2</v>
      </c>
      <c r="E45" s="120">
        <f t="shared" si="0"/>
        <v>6.691363636363637E-2</v>
      </c>
      <c r="G45" s="123"/>
      <c r="H45" s="123"/>
      <c r="I45" s="123"/>
      <c r="J45" s="124" t="s">
        <v>1195</v>
      </c>
      <c r="K45" s="124" t="s">
        <v>1196</v>
      </c>
      <c r="L45" s="124" t="s">
        <v>1197</v>
      </c>
    </row>
    <row r="46" spans="2:15" ht="15" customHeight="1" x14ac:dyDescent="0.2">
      <c r="B46" s="216" t="s">
        <v>1198</v>
      </c>
      <c r="C46" s="119">
        <v>0.10050000000000001</v>
      </c>
      <c r="D46" s="119">
        <v>5.51578125E-2</v>
      </c>
      <c r="E46" s="120">
        <f t="shared" si="0"/>
        <v>4.5342187500000006E-2</v>
      </c>
      <c r="G46" s="114"/>
      <c r="H46" s="114"/>
      <c r="I46" s="114"/>
      <c r="J46" s="114"/>
      <c r="K46" s="114"/>
      <c r="L46" s="114"/>
    </row>
    <row r="47" spans="2:15" ht="15" customHeight="1" x14ac:dyDescent="0.2">
      <c r="B47" s="217" t="s">
        <v>1199</v>
      </c>
      <c r="C47" s="119">
        <v>0.11405</v>
      </c>
      <c r="D47" s="119">
        <v>5.6164615384615389E-2</v>
      </c>
      <c r="E47" s="120">
        <f t="shared" si="0"/>
        <v>5.7885384615384609E-2</v>
      </c>
      <c r="G47" s="114" t="s">
        <v>1200</v>
      </c>
      <c r="H47" s="114"/>
      <c r="I47" s="114"/>
      <c r="J47" s="125">
        <f>'Exh. No. AEB-7 CAPM'!D9</f>
        <v>3.7090000000000005E-2</v>
      </c>
      <c r="K47" s="120">
        <f>$H$38+($H$39*J47)</f>
        <v>6.5233917792623025E-2</v>
      </c>
      <c r="L47" s="119">
        <f>J47+K47</f>
        <v>0.10232391779262304</v>
      </c>
    </row>
    <row r="48" spans="2:15" ht="15" customHeight="1" x14ac:dyDescent="0.2">
      <c r="B48" s="217" t="s">
        <v>1201</v>
      </c>
      <c r="C48" s="119">
        <v>0.11650000000000001</v>
      </c>
      <c r="D48" s="119">
        <v>5.0868181818181826E-2</v>
      </c>
      <c r="E48" s="120">
        <f t="shared" si="0"/>
        <v>6.563181818181818E-2</v>
      </c>
      <c r="G48" s="223" t="s">
        <v>1329</v>
      </c>
      <c r="H48" s="114"/>
      <c r="I48" s="114"/>
      <c r="J48" s="125">
        <v>3.8199999999999998E-2</v>
      </c>
      <c r="K48" s="120">
        <f>$H$38+($H$39*J48)</f>
        <v>6.4608680090901954E-2</v>
      </c>
      <c r="L48" s="119">
        <f>J48+K48</f>
        <v>0.10280868009090195</v>
      </c>
    </row>
    <row r="49" spans="2:12" ht="15" customHeight="1" x14ac:dyDescent="0.2">
      <c r="B49" s="216" t="s">
        <v>1202</v>
      </c>
      <c r="C49" s="119">
        <v>0.11566666666666665</v>
      </c>
      <c r="D49" s="119">
        <v>4.9322727272727268E-2</v>
      </c>
      <c r="E49" s="120">
        <f t="shared" si="0"/>
        <v>6.6343939393939386E-2</v>
      </c>
      <c r="G49" s="123" t="s">
        <v>1203</v>
      </c>
      <c r="H49" s="123"/>
      <c r="I49" s="123"/>
      <c r="J49" s="126">
        <f>'Exh. No. AEB-7 CAPM'!D81</f>
        <v>3.9E-2</v>
      </c>
      <c r="K49" s="127">
        <f>$H$38+($H$39*J49)</f>
        <v>6.4158058323895775E-2</v>
      </c>
      <c r="L49" s="127">
        <f>J49+K49</f>
        <v>0.10315805832389577</v>
      </c>
    </row>
    <row r="50" spans="2:12" ht="15" customHeight="1" thickBot="1" x14ac:dyDescent="0.25">
      <c r="B50" s="217" t="s">
        <v>1204</v>
      </c>
      <c r="C50" s="119">
        <v>0.1172</v>
      </c>
      <c r="D50" s="119">
        <v>4.8518749999999999E-2</v>
      </c>
      <c r="E50" s="120">
        <f t="shared" si="0"/>
        <v>6.8681249999999999E-2</v>
      </c>
      <c r="G50" s="128" t="s">
        <v>1205</v>
      </c>
      <c r="H50" s="128"/>
      <c r="I50" s="128"/>
      <c r="J50" s="129"/>
      <c r="K50" s="129"/>
      <c r="L50" s="129">
        <f>AVERAGE(L47:L49)</f>
        <v>0.10276355206914027</v>
      </c>
    </row>
    <row r="51" spans="2:12" ht="15" customHeight="1" x14ac:dyDescent="0.2">
      <c r="B51" s="217" t="s">
        <v>1206</v>
      </c>
      <c r="C51" s="119">
        <v>0.111625</v>
      </c>
      <c r="D51" s="119">
        <v>4.6032307692307678E-2</v>
      </c>
      <c r="E51" s="120">
        <f t="shared" si="0"/>
        <v>6.5592692307692324E-2</v>
      </c>
    </row>
    <row r="52" spans="2:12" ht="15" customHeight="1" x14ac:dyDescent="0.2">
      <c r="B52" s="217" t="s">
        <v>1207</v>
      </c>
      <c r="C52" s="119">
        <v>0.105</v>
      </c>
      <c r="D52" s="119">
        <v>5.113939393939395E-2</v>
      </c>
      <c r="E52" s="120">
        <f t="shared" si="0"/>
        <v>5.3860606060606046E-2</v>
      </c>
      <c r="G52" s="224" t="s">
        <v>88</v>
      </c>
    </row>
    <row r="53" spans="2:12" ht="15" customHeight="1" x14ac:dyDescent="0.2">
      <c r="B53" s="217" t="s">
        <v>1208</v>
      </c>
      <c r="C53" s="119">
        <v>0.11339999999999999</v>
      </c>
      <c r="D53" s="119">
        <v>5.1146969696969691E-2</v>
      </c>
      <c r="E53" s="120">
        <f t="shared" si="0"/>
        <v>6.2253030303030296E-2</v>
      </c>
      <c r="G53" s="224" t="s">
        <v>1422</v>
      </c>
    </row>
    <row r="54" spans="2:12" ht="15" customHeight="1" x14ac:dyDescent="0.2">
      <c r="B54" s="217" t="s">
        <v>1209</v>
      </c>
      <c r="C54" s="119">
        <v>0.10999999999999999</v>
      </c>
      <c r="D54" s="119">
        <v>4.8776923076923072E-2</v>
      </c>
      <c r="E54" s="120">
        <f t="shared" si="0"/>
        <v>6.1223076923076915E-2</v>
      </c>
      <c r="G54" s="224" t="s">
        <v>1210</v>
      </c>
    </row>
    <row r="55" spans="2:12" ht="15" customHeight="1" x14ac:dyDescent="0.2">
      <c r="B55" s="217" t="s">
        <v>1211</v>
      </c>
      <c r="C55" s="119">
        <v>0.10638571428571429</v>
      </c>
      <c r="D55" s="119">
        <v>5.3353846153846154E-2</v>
      </c>
      <c r="E55" s="120">
        <f t="shared" si="0"/>
        <v>5.3031868131868137E-2</v>
      </c>
      <c r="G55" s="224" t="s">
        <v>1212</v>
      </c>
    </row>
    <row r="56" spans="2:12" ht="15" customHeight="1" x14ac:dyDescent="0.2">
      <c r="B56" s="217" t="s">
        <v>1213</v>
      </c>
      <c r="C56" s="119">
        <v>0.1075</v>
      </c>
      <c r="D56" s="119">
        <v>5.1074242424242439E-2</v>
      </c>
      <c r="E56" s="120">
        <f t="shared" si="0"/>
        <v>5.642575757575756E-2</v>
      </c>
      <c r="G56" s="224" t="s">
        <v>1528</v>
      </c>
    </row>
    <row r="57" spans="2:12" ht="15" customHeight="1" x14ac:dyDescent="0.2">
      <c r="B57" s="217" t="s">
        <v>1214</v>
      </c>
      <c r="C57" s="119">
        <v>0.11244000000000001</v>
      </c>
      <c r="D57" s="119">
        <v>4.9322727272727296E-2</v>
      </c>
      <c r="E57" s="120">
        <f t="shared" si="0"/>
        <v>6.3117272727272716E-2</v>
      </c>
      <c r="G57" s="225" t="s">
        <v>1423</v>
      </c>
      <c r="H57" s="226"/>
      <c r="I57" s="226"/>
      <c r="J57" s="226"/>
    </row>
    <row r="58" spans="2:12" ht="15" customHeight="1" x14ac:dyDescent="0.2">
      <c r="B58" s="217" t="s">
        <v>1215</v>
      </c>
      <c r="C58" s="119">
        <v>0.10625000000000001</v>
      </c>
      <c r="D58" s="119">
        <v>4.7070312500000003E-2</v>
      </c>
      <c r="E58" s="120">
        <f t="shared" si="0"/>
        <v>5.9179687500000008E-2</v>
      </c>
      <c r="G58" s="225" t="s">
        <v>1330</v>
      </c>
    </row>
    <row r="59" spans="2:12" ht="15" customHeight="1" x14ac:dyDescent="0.2">
      <c r="B59" s="216" t="s">
        <v>1216</v>
      </c>
      <c r="C59" s="119">
        <v>0.10312499999999999</v>
      </c>
      <c r="D59" s="119">
        <v>4.4709230769230765E-2</v>
      </c>
      <c r="E59" s="120">
        <f t="shared" si="0"/>
        <v>5.8415769230769229E-2</v>
      </c>
      <c r="G59" s="224" t="s">
        <v>1217</v>
      </c>
    </row>
    <row r="60" spans="2:12" ht="15" customHeight="1" x14ac:dyDescent="0.2">
      <c r="B60" s="217" t="s">
        <v>1218</v>
      </c>
      <c r="C60" s="119">
        <v>0.11083333333333334</v>
      </c>
      <c r="D60" s="119">
        <v>4.4228787878787867E-2</v>
      </c>
      <c r="E60" s="120">
        <f t="shared" si="0"/>
        <v>6.6604545454545472E-2</v>
      </c>
      <c r="G60" s="224" t="str">
        <f>"[8] Equals "&amp;TEXT(H38,"0.000000")&amp;" + ("&amp;TEXT(H39,"0.000000")&amp;" x Column [7])"</f>
        <v>[8] Equals 0.086126 + (-0.563277 x Column [7])</v>
      </c>
    </row>
    <row r="61" spans="2:12" ht="15" customHeight="1" x14ac:dyDescent="0.2">
      <c r="B61" s="217" t="s">
        <v>1219</v>
      </c>
      <c r="C61" s="119">
        <v>0.1063125</v>
      </c>
      <c r="D61" s="119">
        <v>4.6523076923076924E-2</v>
      </c>
      <c r="E61" s="120">
        <f t="shared" si="0"/>
        <v>5.978942307692308E-2</v>
      </c>
      <c r="G61" s="224" t="s">
        <v>1220</v>
      </c>
    </row>
    <row r="62" spans="2:12" ht="15" customHeight="1" x14ac:dyDescent="0.2">
      <c r="B62" s="217" t="s">
        <v>1221</v>
      </c>
      <c r="C62" s="119">
        <v>0.10695</v>
      </c>
      <c r="D62" s="119">
        <v>4.6270769230769213E-2</v>
      </c>
      <c r="E62" s="120">
        <f t="shared" si="0"/>
        <v>6.0679230769230791E-2</v>
      </c>
    </row>
    <row r="63" spans="2:12" ht="15" customHeight="1" x14ac:dyDescent="0.2">
      <c r="B63" s="217" t="s">
        <v>1222</v>
      </c>
      <c r="C63" s="119">
        <v>0.10787499999999998</v>
      </c>
      <c r="D63" s="119">
        <v>5.1427692307692299E-2</v>
      </c>
      <c r="E63" s="120">
        <f t="shared" si="0"/>
        <v>5.6447307692307686E-2</v>
      </c>
    </row>
    <row r="64" spans="2:12" ht="15" customHeight="1" x14ac:dyDescent="0.2">
      <c r="B64" s="217" t="s">
        <v>1223</v>
      </c>
      <c r="C64" s="119">
        <v>0.10346666666666667</v>
      </c>
      <c r="D64" s="119">
        <v>4.9955384615384631E-2</v>
      </c>
      <c r="E64" s="120">
        <f t="shared" si="0"/>
        <v>5.3511282051282034E-2</v>
      </c>
    </row>
    <row r="65" spans="2:5" ht="15" customHeight="1" x14ac:dyDescent="0.2">
      <c r="B65" s="217" t="s">
        <v>1224</v>
      </c>
      <c r="C65" s="119">
        <v>0.1065</v>
      </c>
      <c r="D65" s="119">
        <v>4.7423076923076908E-2</v>
      </c>
      <c r="E65" s="120">
        <f t="shared" si="0"/>
        <v>5.9076923076923089E-2</v>
      </c>
    </row>
    <row r="66" spans="2:5" ht="15" customHeight="1" x14ac:dyDescent="0.2">
      <c r="B66" s="217" t="s">
        <v>1225</v>
      </c>
      <c r="C66" s="119">
        <v>0.10591666666666666</v>
      </c>
      <c r="D66" s="119">
        <v>4.7975384615384635E-2</v>
      </c>
      <c r="E66" s="120">
        <f t="shared" si="0"/>
        <v>5.7941282051282024E-2</v>
      </c>
    </row>
    <row r="67" spans="2:5" ht="15" customHeight="1" x14ac:dyDescent="0.2">
      <c r="B67" s="217" t="s">
        <v>1226</v>
      </c>
      <c r="C67" s="119">
        <v>0.10324999999999999</v>
      </c>
      <c r="D67" s="119">
        <v>4.9892307692307715E-2</v>
      </c>
      <c r="E67" s="120">
        <f t="shared" si="0"/>
        <v>5.335769230769228E-2</v>
      </c>
    </row>
    <row r="68" spans="2:5" ht="15" customHeight="1" x14ac:dyDescent="0.2">
      <c r="B68" s="217" t="s">
        <v>1227</v>
      </c>
      <c r="C68" s="119">
        <v>0.10400000000000001</v>
      </c>
      <c r="D68" s="119">
        <v>4.9499999999999982E-2</v>
      </c>
      <c r="E68" s="120">
        <f t="shared" si="0"/>
        <v>5.4500000000000028E-2</v>
      </c>
    </row>
    <row r="69" spans="2:5" ht="15" customHeight="1" x14ac:dyDescent="0.2">
      <c r="B69" s="217" t="s">
        <v>1228</v>
      </c>
      <c r="C69" s="119">
        <v>0.10649999999999998</v>
      </c>
      <c r="D69" s="119">
        <v>4.6140000000000014E-2</v>
      </c>
      <c r="E69" s="120">
        <f t="shared" si="0"/>
        <v>6.0359999999999969E-2</v>
      </c>
    </row>
    <row r="70" spans="2:5" ht="15" customHeight="1" x14ac:dyDescent="0.2">
      <c r="B70" s="217" t="s">
        <v>1229</v>
      </c>
      <c r="C70" s="119">
        <v>0.10614999999999999</v>
      </c>
      <c r="D70" s="119">
        <v>4.409538461538462E-2</v>
      </c>
      <c r="E70" s="120">
        <f t="shared" si="0"/>
        <v>6.2054615384615375E-2</v>
      </c>
    </row>
    <row r="71" spans="2:5" ht="15" customHeight="1" x14ac:dyDescent="0.2">
      <c r="B71" s="217" t="s">
        <v>1230</v>
      </c>
      <c r="C71" s="119">
        <v>0.1053625</v>
      </c>
      <c r="D71" s="119">
        <v>4.5739999999999996E-2</v>
      </c>
      <c r="E71" s="120">
        <f t="shared" ref="E71:E130" si="1">C71-D71</f>
        <v>5.9622500000000002E-2</v>
      </c>
    </row>
    <row r="72" spans="2:5" ht="15" customHeight="1" x14ac:dyDescent="0.2">
      <c r="B72" s="217" t="s">
        <v>1231</v>
      </c>
      <c r="C72" s="119">
        <v>0.10426666666666667</v>
      </c>
      <c r="D72" s="119">
        <v>4.4501515151515146E-2</v>
      </c>
      <c r="E72" s="120">
        <f t="shared" si="1"/>
        <v>5.9765151515151528E-2</v>
      </c>
    </row>
    <row r="73" spans="2:5" ht="15" customHeight="1" x14ac:dyDescent="0.2">
      <c r="B73" s="217" t="s">
        <v>1232</v>
      </c>
      <c r="C73" s="119">
        <v>0.103875</v>
      </c>
      <c r="D73" s="119">
        <v>3.6437500000000005E-2</v>
      </c>
      <c r="E73" s="120">
        <f t="shared" si="1"/>
        <v>6.7437499999999984E-2</v>
      </c>
    </row>
    <row r="74" spans="2:5" ht="15" customHeight="1" x14ac:dyDescent="0.2">
      <c r="B74" s="217" t="s">
        <v>1233</v>
      </c>
      <c r="C74" s="119">
        <v>0.10751999999999999</v>
      </c>
      <c r="D74" s="119">
        <v>3.4393749999999994E-2</v>
      </c>
      <c r="E74" s="120">
        <f t="shared" si="1"/>
        <v>7.3126250000000004E-2</v>
      </c>
    </row>
    <row r="75" spans="2:5" ht="15" customHeight="1" x14ac:dyDescent="0.2">
      <c r="B75" s="217" t="s">
        <v>1234</v>
      </c>
      <c r="C75" s="119">
        <v>0.1075</v>
      </c>
      <c r="D75" s="119">
        <v>4.1692307692307695E-2</v>
      </c>
      <c r="E75" s="120">
        <f t="shared" si="1"/>
        <v>6.5807692307692303E-2</v>
      </c>
    </row>
    <row r="76" spans="2:5" ht="15" customHeight="1" x14ac:dyDescent="0.2">
      <c r="B76" s="217" t="s">
        <v>1235</v>
      </c>
      <c r="C76" s="119">
        <v>0.105</v>
      </c>
      <c r="D76" s="119">
        <v>4.321666666666666E-2</v>
      </c>
      <c r="E76" s="120">
        <f t="shared" si="1"/>
        <v>6.1783333333333336E-2</v>
      </c>
    </row>
    <row r="77" spans="2:5" ht="15" customHeight="1" x14ac:dyDescent="0.2">
      <c r="B77" s="217" t="s">
        <v>1236</v>
      </c>
      <c r="C77" s="119">
        <v>0.10592000000000003</v>
      </c>
      <c r="D77" s="119">
        <v>4.3392187499999998E-2</v>
      </c>
      <c r="E77" s="120">
        <f t="shared" si="1"/>
        <v>6.252781250000003E-2</v>
      </c>
    </row>
    <row r="78" spans="2:5" ht="15" customHeight="1" x14ac:dyDescent="0.2">
      <c r="B78" s="217" t="s">
        <v>1237</v>
      </c>
      <c r="C78" s="119">
        <v>0.10592500000000001</v>
      </c>
      <c r="D78" s="119">
        <v>4.6243749999999986E-2</v>
      </c>
      <c r="E78" s="120">
        <f t="shared" si="1"/>
        <v>5.9681250000000019E-2</v>
      </c>
    </row>
    <row r="79" spans="2:5" ht="15" customHeight="1" x14ac:dyDescent="0.2">
      <c r="B79" s="217" t="s">
        <v>1238</v>
      </c>
      <c r="C79" s="119">
        <v>0.1018</v>
      </c>
      <c r="D79" s="119">
        <v>4.3692307692307676E-2</v>
      </c>
      <c r="E79" s="120">
        <f t="shared" si="1"/>
        <v>5.8107692307692325E-2</v>
      </c>
    </row>
    <row r="80" spans="2:5" ht="15" customHeight="1" x14ac:dyDescent="0.2">
      <c r="B80" s="217" t="s">
        <v>1239</v>
      </c>
      <c r="C80" s="119">
        <v>0.10403333333333332</v>
      </c>
      <c r="D80" s="119">
        <v>3.8563636363636355E-2</v>
      </c>
      <c r="E80" s="120">
        <f t="shared" si="1"/>
        <v>6.5469696969696969E-2</v>
      </c>
    </row>
    <row r="81" spans="2:5" ht="15" customHeight="1" x14ac:dyDescent="0.2">
      <c r="B81" s="217" t="s">
        <v>1240</v>
      </c>
      <c r="C81" s="119">
        <v>0.10378666666666668</v>
      </c>
      <c r="D81" s="119">
        <v>4.1749230769230768E-2</v>
      </c>
      <c r="E81" s="120">
        <f t="shared" si="1"/>
        <v>6.2037435897435912E-2</v>
      </c>
    </row>
    <row r="82" spans="2:5" ht="15" customHeight="1" x14ac:dyDescent="0.2">
      <c r="B82" s="217" t="s">
        <v>1241</v>
      </c>
      <c r="C82" s="119">
        <v>0.10091666666666665</v>
      </c>
      <c r="D82" s="119">
        <v>4.5609374999999994E-2</v>
      </c>
      <c r="E82" s="120">
        <f t="shared" si="1"/>
        <v>5.5307291666666661E-2</v>
      </c>
    </row>
    <row r="83" spans="2:5" ht="15" customHeight="1" x14ac:dyDescent="0.2">
      <c r="B83" s="216" t="s">
        <v>1242</v>
      </c>
      <c r="C83" s="119">
        <v>0.10262857142857143</v>
      </c>
      <c r="D83" s="119">
        <v>4.3387692307692308E-2</v>
      </c>
      <c r="E83" s="120">
        <f t="shared" si="1"/>
        <v>5.9240879120879122E-2</v>
      </c>
    </row>
    <row r="84" spans="2:5" ht="15" customHeight="1" x14ac:dyDescent="0.2">
      <c r="B84" s="216" t="s">
        <v>1243</v>
      </c>
      <c r="C84" s="119">
        <v>0.10571666666666667</v>
      </c>
      <c r="D84" s="119">
        <v>3.6960606060606048E-2</v>
      </c>
      <c r="E84" s="120">
        <f t="shared" si="1"/>
        <v>6.8756060606060626E-2</v>
      </c>
    </row>
    <row r="85" spans="2:5" ht="15" customHeight="1" x14ac:dyDescent="0.2">
      <c r="B85" s="216" t="s">
        <v>1244</v>
      </c>
      <c r="C85" s="119">
        <v>0.10387777777777778</v>
      </c>
      <c r="D85" s="119">
        <v>3.0376190476190473E-2</v>
      </c>
      <c r="E85" s="120">
        <f t="shared" si="1"/>
        <v>7.3501587301587304E-2</v>
      </c>
    </row>
    <row r="86" spans="2:5" ht="15" customHeight="1" x14ac:dyDescent="0.2">
      <c r="B86" s="216" t="s">
        <v>1245</v>
      </c>
      <c r="C86" s="119">
        <v>0.10302857142857143</v>
      </c>
      <c r="D86" s="119">
        <v>3.1361538461538462E-2</v>
      </c>
      <c r="E86" s="120">
        <f t="shared" si="1"/>
        <v>7.1667032967032973E-2</v>
      </c>
    </row>
    <row r="87" spans="2:5" ht="15" customHeight="1" x14ac:dyDescent="0.2">
      <c r="B87" s="216" t="s">
        <v>1246</v>
      </c>
      <c r="C87" s="119">
        <v>9.9500000000000005E-2</v>
      </c>
      <c r="D87" s="119">
        <v>2.9363076923076922E-2</v>
      </c>
      <c r="E87" s="120">
        <f t="shared" si="1"/>
        <v>7.0136923076923083E-2</v>
      </c>
    </row>
    <row r="88" spans="2:5" ht="15" customHeight="1" x14ac:dyDescent="0.2">
      <c r="B88" s="216" t="s">
        <v>1247</v>
      </c>
      <c r="C88" s="119">
        <v>9.9000000000000005E-2</v>
      </c>
      <c r="D88" s="119">
        <v>2.7429230769230779E-2</v>
      </c>
      <c r="E88" s="120">
        <f t="shared" si="1"/>
        <v>7.1570769230769229E-2</v>
      </c>
    </row>
    <row r="89" spans="2:5" ht="15" customHeight="1" x14ac:dyDescent="0.2">
      <c r="B89" s="216" t="s">
        <v>1248</v>
      </c>
      <c r="C89" s="119">
        <v>0.10163529411764709</v>
      </c>
      <c r="D89" s="119">
        <v>2.8639062499999993E-2</v>
      </c>
      <c r="E89" s="120">
        <f t="shared" si="1"/>
        <v>7.2996231617647095E-2</v>
      </c>
    </row>
    <row r="90" spans="2:5" ht="15" customHeight="1" x14ac:dyDescent="0.2">
      <c r="B90" s="216" t="s">
        <v>1249</v>
      </c>
      <c r="C90" s="119">
        <v>9.849999999999999E-2</v>
      </c>
      <c r="D90" s="119">
        <v>3.1303125000000008E-2</v>
      </c>
      <c r="E90" s="120">
        <f t="shared" si="1"/>
        <v>6.7196874999999989E-2</v>
      </c>
    </row>
    <row r="91" spans="2:5" ht="15" customHeight="1" x14ac:dyDescent="0.2">
      <c r="B91" s="216" t="s">
        <v>1250</v>
      </c>
      <c r="C91" s="119">
        <v>9.8599999999999993E-2</v>
      </c>
      <c r="D91" s="119">
        <v>3.1412307692307684E-2</v>
      </c>
      <c r="E91" s="120">
        <f t="shared" si="1"/>
        <v>6.7187692307692309E-2</v>
      </c>
    </row>
    <row r="92" spans="2:5" ht="15" customHeight="1" x14ac:dyDescent="0.2">
      <c r="B92" s="216" t="s">
        <v>1251</v>
      </c>
      <c r="C92" s="119">
        <v>0.10119999999999998</v>
      </c>
      <c r="D92" s="119">
        <v>3.7107575757575756E-2</v>
      </c>
      <c r="E92" s="120">
        <f t="shared" si="1"/>
        <v>6.4092424242424229E-2</v>
      </c>
    </row>
    <row r="93" spans="2:5" ht="15" customHeight="1" x14ac:dyDescent="0.2">
      <c r="B93" s="216" t="s">
        <v>1252</v>
      </c>
      <c r="C93" s="119">
        <v>9.9668750000000014E-2</v>
      </c>
      <c r="D93" s="119">
        <v>3.7882812500000008E-2</v>
      </c>
      <c r="E93" s="120">
        <f t="shared" si="1"/>
        <v>6.1785937500000006E-2</v>
      </c>
    </row>
    <row r="94" spans="2:5" ht="15" customHeight="1" x14ac:dyDescent="0.2">
      <c r="B94" s="216" t="s">
        <v>1253</v>
      </c>
      <c r="C94" s="119">
        <v>9.8549999999999999E-2</v>
      </c>
      <c r="D94" s="119">
        <v>3.6903125000000009E-2</v>
      </c>
      <c r="E94" s="120">
        <f t="shared" si="1"/>
        <v>6.164687499999999E-2</v>
      </c>
    </row>
    <row r="95" spans="2:5" ht="15" customHeight="1" x14ac:dyDescent="0.2">
      <c r="B95" s="216" t="s">
        <v>1254</v>
      </c>
      <c r="C95" s="119">
        <v>0.10100000000000001</v>
      </c>
      <c r="D95" s="119">
        <v>3.4430769230769237E-2</v>
      </c>
      <c r="E95" s="120">
        <f t="shared" si="1"/>
        <v>6.6569230769230769E-2</v>
      </c>
    </row>
    <row r="96" spans="2:5" ht="15" customHeight="1" x14ac:dyDescent="0.2">
      <c r="B96" s="216" t="s">
        <v>1255</v>
      </c>
      <c r="C96" s="119">
        <v>9.9000000000000005E-2</v>
      </c>
      <c r="D96" s="119">
        <v>3.2657575757575753E-2</v>
      </c>
      <c r="E96" s="120">
        <f t="shared" si="1"/>
        <v>6.6342424242424258E-2</v>
      </c>
    </row>
    <row r="97" spans="2:5" ht="15" customHeight="1" x14ac:dyDescent="0.2">
      <c r="B97" s="216" t="s">
        <v>1256</v>
      </c>
      <c r="C97" s="119">
        <v>9.9440000000000001E-2</v>
      </c>
      <c r="D97" s="119">
        <v>2.9637499999999997E-2</v>
      </c>
      <c r="E97" s="120">
        <f t="shared" si="1"/>
        <v>6.9802500000000003E-2</v>
      </c>
    </row>
    <row r="98" spans="2:5" ht="15" customHeight="1" x14ac:dyDescent="0.2">
      <c r="B98" s="216" t="s">
        <v>1257</v>
      </c>
      <c r="C98" s="119">
        <v>9.6374999999999988E-2</v>
      </c>
      <c r="D98" s="119">
        <v>2.5540625000000004E-2</v>
      </c>
      <c r="E98" s="120">
        <f t="shared" si="1"/>
        <v>7.0834374999999977E-2</v>
      </c>
    </row>
    <row r="99" spans="2:5" ht="15" customHeight="1" x14ac:dyDescent="0.2">
      <c r="B99" s="216" t="s">
        <v>1258</v>
      </c>
      <c r="C99" s="119">
        <v>9.8266666666666655E-2</v>
      </c>
      <c r="D99" s="119">
        <v>2.8836923076923083E-2</v>
      </c>
      <c r="E99" s="120">
        <f t="shared" si="1"/>
        <v>6.9429743589743576E-2</v>
      </c>
    </row>
    <row r="100" spans="2:5" ht="15" customHeight="1" x14ac:dyDescent="0.2">
      <c r="B100" s="216" t="s">
        <v>1259</v>
      </c>
      <c r="C100" s="119">
        <v>9.4E-2</v>
      </c>
      <c r="D100" s="119">
        <v>2.9624242424242438E-2</v>
      </c>
      <c r="E100" s="120">
        <f t="shared" si="1"/>
        <v>6.4375757575757558E-2</v>
      </c>
    </row>
    <row r="101" spans="2:5" ht="15" customHeight="1" x14ac:dyDescent="0.2">
      <c r="B101" s="216" t="s">
        <v>1260</v>
      </c>
      <c r="C101" s="119">
        <v>9.862499999999999E-2</v>
      </c>
      <c r="D101" s="119">
        <v>2.9630303030303028E-2</v>
      </c>
      <c r="E101" s="120">
        <f t="shared" si="1"/>
        <v>6.8994696969696956E-2</v>
      </c>
    </row>
    <row r="102" spans="2:5" ht="15" customHeight="1" x14ac:dyDescent="0.2">
      <c r="B102" s="216" t="s">
        <v>1261</v>
      </c>
      <c r="C102" s="119">
        <v>9.7000000000000017E-2</v>
      </c>
      <c r="D102" s="119">
        <v>2.7218461538461539E-2</v>
      </c>
      <c r="E102" s="120">
        <f t="shared" si="1"/>
        <v>6.9781538461538478E-2</v>
      </c>
    </row>
    <row r="103" spans="2:5" ht="15" customHeight="1" x14ac:dyDescent="0.2">
      <c r="B103" s="216" t="s">
        <v>1262</v>
      </c>
      <c r="C103" s="119">
        <v>9.4800000000000009E-2</v>
      </c>
      <c r="D103" s="119">
        <v>2.5672307692307696E-2</v>
      </c>
      <c r="E103" s="120">
        <f t="shared" si="1"/>
        <v>6.9127692307692307E-2</v>
      </c>
    </row>
    <row r="104" spans="2:5" ht="15" customHeight="1" x14ac:dyDescent="0.2">
      <c r="B104" s="216" t="s">
        <v>1263</v>
      </c>
      <c r="C104" s="119">
        <v>9.7349999999999992E-2</v>
      </c>
      <c r="D104" s="119">
        <v>2.2793939393939398E-2</v>
      </c>
      <c r="E104" s="120">
        <f t="shared" si="1"/>
        <v>7.4556060606060598E-2</v>
      </c>
    </row>
    <row r="105" spans="2:5" ht="15" customHeight="1" x14ac:dyDescent="0.2">
      <c r="B105" s="216" t="s">
        <v>1264</v>
      </c>
      <c r="C105" s="119">
        <v>9.8319999999999991E-2</v>
      </c>
      <c r="D105" s="119">
        <v>2.8333846153846154E-2</v>
      </c>
      <c r="E105" s="120">
        <f t="shared" si="1"/>
        <v>6.9986153846153837E-2</v>
      </c>
    </row>
    <row r="106" spans="2:5" ht="15" customHeight="1" x14ac:dyDescent="0.2">
      <c r="B106" s="216" t="s">
        <v>1265</v>
      </c>
      <c r="C106" s="119">
        <v>9.7183333333333344E-2</v>
      </c>
      <c r="D106" s="119">
        <v>3.0452307692307709E-2</v>
      </c>
      <c r="E106" s="120">
        <f t="shared" si="1"/>
        <v>6.6731025641025635E-2</v>
      </c>
    </row>
    <row r="107" spans="2:5" ht="15" customHeight="1" x14ac:dyDescent="0.2">
      <c r="B107" s="216" t="s">
        <v>1266</v>
      </c>
      <c r="C107" s="119">
        <v>9.6428571428571419E-2</v>
      </c>
      <c r="D107" s="119">
        <v>2.8972307692307693E-2</v>
      </c>
      <c r="E107" s="120">
        <f t="shared" si="1"/>
        <v>6.7456263736263733E-2</v>
      </c>
    </row>
    <row r="108" spans="2:5" ht="15" customHeight="1" x14ac:dyDescent="0.2">
      <c r="B108" s="216" t="s">
        <v>1267</v>
      </c>
      <c r="C108" s="119">
        <v>0.1</v>
      </c>
      <c r="D108" s="119">
        <v>2.8173846153846157E-2</v>
      </c>
      <c r="E108" s="120">
        <f t="shared" si="1"/>
        <v>7.1826153846153845E-2</v>
      </c>
    </row>
    <row r="109" spans="2:5" ht="15" customHeight="1" x14ac:dyDescent="0.2">
      <c r="B109" s="216" t="s">
        <v>1268</v>
      </c>
      <c r="C109" s="119">
        <v>9.9064285714285716E-2</v>
      </c>
      <c r="D109" s="119">
        <v>2.817384615384615E-2</v>
      </c>
      <c r="E109" s="120">
        <f t="shared" si="1"/>
        <v>7.0890439560439569E-2</v>
      </c>
    </row>
    <row r="110" spans="2:5" ht="15" customHeight="1" x14ac:dyDescent="0.2">
      <c r="B110" s="216" t="s">
        <v>1269</v>
      </c>
      <c r="C110" s="119">
        <v>9.6883333333333321E-2</v>
      </c>
      <c r="D110" s="119">
        <v>3.0235384615384615E-2</v>
      </c>
      <c r="E110" s="120">
        <f t="shared" si="1"/>
        <v>6.6647948717948713E-2</v>
      </c>
    </row>
    <row r="111" spans="2:5" ht="15" customHeight="1" x14ac:dyDescent="0.2">
      <c r="B111" s="216" t="s">
        <v>1270</v>
      </c>
      <c r="C111" s="119">
        <v>9.7474999999999992E-2</v>
      </c>
      <c r="D111" s="119">
        <v>3.0853846153846162E-2</v>
      </c>
      <c r="E111" s="120">
        <f t="shared" si="1"/>
        <v>6.662115384615383E-2</v>
      </c>
    </row>
    <row r="112" spans="2:5" ht="15" customHeight="1" x14ac:dyDescent="0.2">
      <c r="B112" s="216" t="s">
        <v>1271</v>
      </c>
      <c r="C112" s="119">
        <v>9.6859999999999988E-2</v>
      </c>
      <c r="D112" s="119">
        <v>3.0607692307692315E-2</v>
      </c>
      <c r="E112" s="120">
        <f t="shared" si="1"/>
        <v>6.6252307692307666E-2</v>
      </c>
    </row>
    <row r="113" spans="2:5" ht="15" customHeight="1" x14ac:dyDescent="0.2">
      <c r="B113" s="216" t="s">
        <v>1272</v>
      </c>
      <c r="C113" s="119">
        <v>9.5225000000000018E-2</v>
      </c>
      <c r="D113" s="119">
        <v>3.26939393939394E-2</v>
      </c>
      <c r="E113" s="120">
        <f t="shared" si="1"/>
        <v>6.2531060606060618E-2</v>
      </c>
    </row>
    <row r="114" spans="2:5" ht="15" customHeight="1" x14ac:dyDescent="0.2">
      <c r="B114" s="216" t="s">
        <v>1273</v>
      </c>
      <c r="C114" s="119">
        <v>9.7166666666666665E-2</v>
      </c>
      <c r="D114" s="119">
        <v>3.0129687499999998E-2</v>
      </c>
      <c r="E114" s="120">
        <f t="shared" si="1"/>
        <v>6.7036979166666663E-2</v>
      </c>
    </row>
    <row r="115" spans="2:5" ht="15" customHeight="1" x14ac:dyDescent="0.2">
      <c r="B115" s="216" t="s">
        <v>1274</v>
      </c>
      <c r="C115" s="119">
        <v>9.5762499999999987E-2</v>
      </c>
      <c r="D115" s="119">
        <v>2.7836923076923075E-2</v>
      </c>
      <c r="E115" s="120">
        <f t="shared" si="1"/>
        <v>6.7925576923076908E-2</v>
      </c>
    </row>
    <row r="116" spans="2:5" ht="15" customHeight="1" x14ac:dyDescent="0.2">
      <c r="B116" s="216" t="s">
        <v>1275</v>
      </c>
      <c r="C116" s="119">
        <v>9.5299999999999996E-2</v>
      </c>
      <c r="D116" s="119">
        <v>2.2849999999999995E-2</v>
      </c>
      <c r="E116" s="120">
        <f t="shared" si="1"/>
        <v>7.2450000000000001E-2</v>
      </c>
    </row>
    <row r="117" spans="2:5" ht="15" customHeight="1" x14ac:dyDescent="0.2">
      <c r="B117" s="216" t="s">
        <v>1276</v>
      </c>
      <c r="C117" s="119">
        <v>9.8875000000000005E-2</v>
      </c>
      <c r="D117" s="119">
        <v>2.2566666666666676E-2</v>
      </c>
      <c r="E117" s="120">
        <f t="shared" si="1"/>
        <v>7.6308333333333325E-2</v>
      </c>
    </row>
    <row r="118" spans="2:5" ht="15" customHeight="1" x14ac:dyDescent="0.2">
      <c r="B118" s="216" t="s">
        <v>1277</v>
      </c>
      <c r="C118" s="119">
        <v>9.7185714285714292E-2</v>
      </c>
      <c r="D118" s="119">
        <v>1.8878461538461538E-2</v>
      </c>
      <c r="E118" s="120">
        <f t="shared" si="1"/>
        <v>7.8307252747252754E-2</v>
      </c>
    </row>
    <row r="119" spans="2:5" ht="15" customHeight="1" x14ac:dyDescent="0.2">
      <c r="B119" s="216" t="s">
        <v>1278</v>
      </c>
      <c r="C119" s="119">
        <v>9.5749999999999988E-2</v>
      </c>
      <c r="D119" s="119">
        <v>1.3801538461538454E-2</v>
      </c>
      <c r="E119" s="120">
        <f t="shared" si="1"/>
        <v>8.1948461538461539E-2</v>
      </c>
    </row>
    <row r="120" spans="2:5" ht="15" customHeight="1" x14ac:dyDescent="0.2">
      <c r="B120" s="216">
        <v>2020.3</v>
      </c>
      <c r="C120" s="119">
        <v>9.2999999999999985E-2</v>
      </c>
      <c r="D120" s="119">
        <v>1.3654545454545457E-2</v>
      </c>
      <c r="E120" s="120">
        <f t="shared" si="1"/>
        <v>7.9345454545454525E-2</v>
      </c>
    </row>
    <row r="121" spans="2:5" ht="15" customHeight="1" x14ac:dyDescent="0.2">
      <c r="B121" s="216">
        <v>2020.4</v>
      </c>
      <c r="C121" s="119">
        <v>9.5599999999999991E-2</v>
      </c>
      <c r="D121" s="119">
        <v>1.6210606060606054E-2</v>
      </c>
      <c r="E121" s="120">
        <f t="shared" si="1"/>
        <v>7.938939393939394E-2</v>
      </c>
    </row>
    <row r="122" spans="2:5" ht="15" customHeight="1" x14ac:dyDescent="0.2">
      <c r="B122" s="216">
        <v>2021.1</v>
      </c>
      <c r="C122" s="119">
        <v>9.4500000000000001E-2</v>
      </c>
      <c r="D122" s="119">
        <v>2.0748437499999998E-2</v>
      </c>
      <c r="E122" s="120">
        <f t="shared" si="1"/>
        <v>7.3751562500000006E-2</v>
      </c>
    </row>
    <row r="123" spans="2:5" ht="15" customHeight="1" x14ac:dyDescent="0.2">
      <c r="B123" s="216">
        <v>2021.2</v>
      </c>
      <c r="C123" s="119">
        <v>9.4683333333333328E-2</v>
      </c>
      <c r="D123" s="119">
        <v>2.2579999999999996E-2</v>
      </c>
      <c r="E123" s="120">
        <f t="shared" si="1"/>
        <v>7.2103333333333325E-2</v>
      </c>
    </row>
    <row r="124" spans="2:5" ht="15" customHeight="1" x14ac:dyDescent="0.2">
      <c r="B124" s="216">
        <v>2021.3</v>
      </c>
      <c r="C124" s="119">
        <v>9.2740000000000003E-2</v>
      </c>
      <c r="D124" s="119">
        <v>1.9333333333333327E-2</v>
      </c>
      <c r="E124" s="120">
        <f t="shared" si="1"/>
        <v>7.3406666666666676E-2</v>
      </c>
    </row>
    <row r="125" spans="2:5" ht="15" customHeight="1" x14ac:dyDescent="0.2">
      <c r="B125" s="216">
        <v>2021.4</v>
      </c>
      <c r="C125" s="120">
        <v>9.6733333333333338E-2</v>
      </c>
      <c r="D125" s="120">
        <v>1.9479687499999995E-2</v>
      </c>
      <c r="E125" s="120">
        <f t="shared" si="1"/>
        <v>7.7253645833333343E-2</v>
      </c>
    </row>
    <row r="126" spans="2:5" ht="15" customHeight="1" x14ac:dyDescent="0.2">
      <c r="B126" s="216">
        <v>2022.1</v>
      </c>
      <c r="C126" s="120">
        <v>9.4499999999999987E-2</v>
      </c>
      <c r="D126" s="120">
        <v>2.2546031746031748E-2</v>
      </c>
      <c r="E126" s="120">
        <f t="shared" si="1"/>
        <v>7.1953968253968242E-2</v>
      </c>
    </row>
    <row r="127" spans="2:5" ht="15" customHeight="1" x14ac:dyDescent="0.2">
      <c r="B127" s="216">
        <v>2022.2</v>
      </c>
      <c r="C127" s="120">
        <v>9.5000000000000001E-2</v>
      </c>
      <c r="D127" s="120">
        <v>3.0455384615384599E-2</v>
      </c>
      <c r="E127" s="120">
        <f t="shared" si="1"/>
        <v>6.4544615384615395E-2</v>
      </c>
    </row>
    <row r="128" spans="2:5" ht="15" customHeight="1" x14ac:dyDescent="0.2">
      <c r="B128" s="216">
        <v>2022.3</v>
      </c>
      <c r="C128" s="120">
        <v>9.1399999999999995E-2</v>
      </c>
      <c r="D128" s="120">
        <v>3.2607575757575759E-2</v>
      </c>
      <c r="E128" s="120">
        <f t="shared" si="1"/>
        <v>5.8792424242424236E-2</v>
      </c>
    </row>
    <row r="129" spans="2:5" ht="15" customHeight="1" x14ac:dyDescent="0.2">
      <c r="B129" s="216">
        <v>2022.4</v>
      </c>
      <c r="C129" s="120">
        <v>9.8673333333333349E-2</v>
      </c>
      <c r="D129" s="120">
        <v>3.8912500000000003E-2</v>
      </c>
      <c r="E129" s="120">
        <f t="shared" si="1"/>
        <v>5.9760833333333346E-2</v>
      </c>
    </row>
    <row r="130" spans="2:5" ht="15" customHeight="1" x14ac:dyDescent="0.2">
      <c r="B130" s="216">
        <v>2023.1</v>
      </c>
      <c r="C130" s="120">
        <v>9.7666666666666679E-2</v>
      </c>
      <c r="D130" s="120">
        <v>3.6759090909090915E-2</v>
      </c>
      <c r="E130" s="120">
        <f t="shared" si="1"/>
        <v>6.0907575757575765E-2</v>
      </c>
    </row>
    <row r="131" spans="2:5" ht="15" customHeight="1" x14ac:dyDescent="0.2">
      <c r="B131" s="130" t="s">
        <v>1205</v>
      </c>
      <c r="C131" s="131">
        <f>AVERAGE(C6:C129)</f>
        <v>0.10605723435476339</v>
      </c>
      <c r="D131" s="131">
        <f>AVERAGE(D6:D129)</f>
        <v>4.5555149077106907E-2</v>
      </c>
      <c r="E131" s="131">
        <f>AVERAGE(E6:E129)</f>
        <v>6.0502085277656506E-2</v>
      </c>
    </row>
    <row r="132" spans="2:5" ht="15" customHeight="1" thickBot="1" x14ac:dyDescent="0.25">
      <c r="B132" s="132" t="s">
        <v>1279</v>
      </c>
      <c r="C132" s="133">
        <f>MEDIAN(C6:C129)</f>
        <v>0.10581666666666667</v>
      </c>
      <c r="D132" s="133">
        <f>MEDIAN(D6:D129)</f>
        <v>4.6086153846153846E-2</v>
      </c>
      <c r="E132" s="133">
        <f t="shared" ref="E132" si="2">MEDIAN(E6:E129)</f>
        <v>6.1760606060606051E-2</v>
      </c>
    </row>
  </sheetData>
  <mergeCells count="1">
    <mergeCell ref="B2:E2"/>
  </mergeCells>
  <conditionalFormatting sqref="C6:E130">
    <cfRule type="containsErrors" dxfId="9" priority="1">
      <formula>ISERROR(C6)</formula>
    </cfRule>
  </conditionalFormatting>
  <printOptions horizontalCentered="1"/>
  <pageMargins left="0.7" right="0.7" top="0.75" bottom="0.75" header="0.3" footer="0.3"/>
  <pageSetup scale="59" orientation="portrait" useFirstPageNumber="1" horizontalDpi="1200" verticalDpi="1200" r:id="rId1"/>
  <headerFooter scaleWithDoc="0">
    <oddHeader>&amp;LREFILED April 19, 2023</oddHeader>
  </headerFooter>
  <rowBreaks count="1" manualBreakCount="1">
    <brk id="21" min="6" max="14"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61"/>
  <sheetViews>
    <sheetView view="pageLayout" zoomScaleNormal="90" zoomScaleSheetLayoutView="70" workbookViewId="0">
      <selection activeCell="D61" sqref="D61"/>
    </sheetView>
  </sheetViews>
  <sheetFormatPr defaultColWidth="9.140625" defaultRowHeight="15.75" x14ac:dyDescent="0.25"/>
  <cols>
    <col min="1" max="1" width="3" style="140" customWidth="1"/>
    <col min="2" max="2" width="40.7109375" style="140" customWidth="1"/>
    <col min="3" max="3" width="10.7109375" style="140" customWidth="1"/>
    <col min="4" max="11" width="15.5703125" style="140" customWidth="1"/>
    <col min="12" max="13" width="14.5703125" style="140" customWidth="1"/>
    <col min="14" max="14" width="19" style="140" bestFit="1" customWidth="1"/>
    <col min="15" max="16384" width="9.140625" style="140"/>
  </cols>
  <sheetData>
    <row r="1" spans="1:15" ht="12.75" customHeight="1" x14ac:dyDescent="0.25">
      <c r="A1" s="138"/>
      <c r="B1" s="139"/>
      <c r="C1" s="139"/>
      <c r="D1" s="139"/>
      <c r="E1" s="139"/>
      <c r="F1" s="139"/>
      <c r="G1" s="139"/>
      <c r="H1" s="139"/>
      <c r="I1" s="139"/>
      <c r="J1" s="139"/>
      <c r="K1" s="139"/>
      <c r="L1" s="139"/>
      <c r="M1" s="139"/>
    </row>
    <row r="2" spans="1:15" ht="12.75" customHeight="1" x14ac:dyDescent="0.25">
      <c r="A2" s="138"/>
      <c r="B2" s="362" t="s">
        <v>1331</v>
      </c>
      <c r="C2" s="362"/>
      <c r="D2" s="362"/>
      <c r="E2" s="362"/>
      <c r="F2" s="362"/>
      <c r="G2" s="362"/>
      <c r="H2" s="362"/>
      <c r="I2" s="362"/>
      <c r="J2" s="362"/>
      <c r="K2" s="362"/>
      <c r="L2" s="362"/>
      <c r="M2" s="362"/>
    </row>
    <row r="3" spans="1:15" ht="12.75" customHeight="1" x14ac:dyDescent="0.25">
      <c r="A3" s="138"/>
      <c r="B3" s="138"/>
      <c r="C3" s="138"/>
      <c r="D3" s="138"/>
      <c r="E3" s="138"/>
      <c r="F3" s="138"/>
      <c r="G3" s="138"/>
      <c r="H3" s="138"/>
      <c r="I3" s="138"/>
      <c r="J3" s="138"/>
      <c r="K3" s="138"/>
      <c r="L3" s="138"/>
      <c r="M3" s="138"/>
    </row>
    <row r="4" spans="1:15" ht="12.75" customHeight="1" thickBot="1" x14ac:dyDescent="0.3">
      <c r="A4" s="138"/>
      <c r="B4" s="138"/>
      <c r="C4" s="138"/>
      <c r="D4" s="141" t="s">
        <v>28</v>
      </c>
      <c r="E4" s="141" t="s">
        <v>29</v>
      </c>
      <c r="F4" s="141" t="s">
        <v>30</v>
      </c>
      <c r="G4" s="141" t="s">
        <v>31</v>
      </c>
      <c r="H4" s="141" t="s">
        <v>32</v>
      </c>
      <c r="I4" s="141" t="s">
        <v>33</v>
      </c>
      <c r="J4" s="141" t="s">
        <v>93</v>
      </c>
      <c r="K4" s="141" t="s">
        <v>94</v>
      </c>
      <c r="L4" s="141" t="s">
        <v>95</v>
      </c>
      <c r="M4" s="141" t="s">
        <v>96</v>
      </c>
      <c r="O4" s="142"/>
    </row>
    <row r="5" spans="1:15" ht="63" customHeight="1" x14ac:dyDescent="0.25">
      <c r="A5" s="143"/>
      <c r="B5" s="144"/>
      <c r="C5" s="144"/>
      <c r="D5" s="145" t="s">
        <v>1425</v>
      </c>
      <c r="E5" s="145" t="s">
        <v>1429</v>
      </c>
      <c r="F5" s="145" t="s">
        <v>1430</v>
      </c>
      <c r="G5" s="145" t="s">
        <v>1431</v>
      </c>
      <c r="H5" s="145" t="s">
        <v>1426</v>
      </c>
      <c r="I5" s="145" t="s">
        <v>1427</v>
      </c>
      <c r="J5" s="145" t="s">
        <v>1428</v>
      </c>
      <c r="K5" s="145" t="s">
        <v>1332</v>
      </c>
      <c r="L5" s="145" t="s">
        <v>1333</v>
      </c>
      <c r="M5" s="145" t="s">
        <v>1334</v>
      </c>
    </row>
    <row r="6" spans="1:15" ht="12.75" customHeight="1" x14ac:dyDescent="0.25">
      <c r="A6" s="143"/>
      <c r="B6" s="138"/>
      <c r="C6" s="138"/>
      <c r="D6" s="143"/>
      <c r="E6" s="143"/>
      <c r="F6" s="143"/>
      <c r="G6" s="143"/>
      <c r="H6" s="143"/>
      <c r="I6" s="143"/>
      <c r="J6" s="143"/>
      <c r="K6" s="143"/>
      <c r="L6" s="143"/>
      <c r="M6" s="143"/>
      <c r="O6" s="146"/>
    </row>
    <row r="7" spans="1:15" ht="12.75" customHeight="1" x14ac:dyDescent="0.25">
      <c r="A7" s="147"/>
      <c r="B7" s="148" t="str">
        <f>'Exh. No. AEB-6 CGDCF'!A7</f>
        <v>ALLETE, Inc.</v>
      </c>
      <c r="C7" s="148" t="str">
        <f>'Exh. No. AEB-6 CGDCF'!B7</f>
        <v>ALE</v>
      </c>
      <c r="D7" s="230">
        <v>0.09</v>
      </c>
      <c r="E7" s="231">
        <v>4176.3</v>
      </c>
      <c r="F7" s="230">
        <v>0.57799999999999996</v>
      </c>
      <c r="G7" s="231">
        <f>E7*F7</f>
        <v>2413.9013999999997</v>
      </c>
      <c r="H7" s="231">
        <v>5550</v>
      </c>
      <c r="I7" s="230">
        <v>0.59499999999999997</v>
      </c>
      <c r="J7" s="150">
        <f>H7*I7</f>
        <v>3302.25</v>
      </c>
      <c r="K7" s="151">
        <f>(J7/G7)^(1/5)-1</f>
        <v>6.4677520344428752E-2</v>
      </c>
      <c r="L7" s="152">
        <f>2*(1+K7)/(2+K7)</f>
        <v>1.031325725062207</v>
      </c>
      <c r="M7" s="153">
        <f>D7*L7</f>
        <v>9.2819315255598625E-2</v>
      </c>
      <c r="N7" s="154"/>
      <c r="O7" s="155"/>
    </row>
    <row r="8" spans="1:15" ht="12.75" customHeight="1" x14ac:dyDescent="0.25">
      <c r="A8" s="147"/>
      <c r="B8" s="148" t="str">
        <f>'Exh. No. AEB-6 CGDCF'!A8</f>
        <v>Alliant Energy Corporation</v>
      </c>
      <c r="C8" s="148" t="str">
        <f>'Exh. No. AEB-6 CGDCF'!B8</f>
        <v>LNT</v>
      </c>
      <c r="D8" s="230">
        <v>0.115</v>
      </c>
      <c r="E8" s="231">
        <v>12725</v>
      </c>
      <c r="F8" s="230">
        <v>0.47099999999999997</v>
      </c>
      <c r="G8" s="231">
        <f t="shared" ref="G8:G23" si="0">E8*F8</f>
        <v>5993.4749999999995</v>
      </c>
      <c r="H8" s="231">
        <v>17100</v>
      </c>
      <c r="I8" s="230">
        <v>0.45</v>
      </c>
      <c r="J8" s="150">
        <f t="shared" ref="J8:J23" si="1">H8*I8</f>
        <v>7695</v>
      </c>
      <c r="K8" s="151">
        <f t="shared" ref="K8:K23" si="2">(J8/G8)^(1/5)-1</f>
        <v>5.1249942873998311E-2</v>
      </c>
      <c r="L8" s="152">
        <f t="shared" ref="L8:L23" si="3">2*(1+K8)/(2+K8)</f>
        <v>1.0249847382334072</v>
      </c>
      <c r="M8" s="153">
        <f t="shared" ref="M8:M23" si="4">D8*L8</f>
        <v>0.11787324489684183</v>
      </c>
    </row>
    <row r="9" spans="1:15" ht="12.75" customHeight="1" x14ac:dyDescent="0.25">
      <c r="A9" s="147"/>
      <c r="B9" s="148" t="str">
        <f>'Exh. No. AEB-6 CGDCF'!A9</f>
        <v>Ameren Corporation</v>
      </c>
      <c r="C9" s="148" t="str">
        <f>'Exh. No. AEB-6 CGDCF'!B9</f>
        <v>AEE</v>
      </c>
      <c r="D9" s="230">
        <v>0.1</v>
      </c>
      <c r="E9" s="231">
        <v>22391</v>
      </c>
      <c r="F9" s="230">
        <v>0.433</v>
      </c>
      <c r="G9" s="231">
        <f t="shared" si="0"/>
        <v>9695.3029999999999</v>
      </c>
      <c r="H9" s="231">
        <v>29500</v>
      </c>
      <c r="I9" s="230">
        <v>0.48499999999999999</v>
      </c>
      <c r="J9" s="150">
        <f t="shared" si="1"/>
        <v>14307.5</v>
      </c>
      <c r="K9" s="151">
        <f t="shared" si="2"/>
        <v>8.0937226117455019E-2</v>
      </c>
      <c r="L9" s="152">
        <f t="shared" si="3"/>
        <v>1.0388946024424124</v>
      </c>
      <c r="M9" s="153">
        <f t="shared" si="4"/>
        <v>0.10388946024424124</v>
      </c>
    </row>
    <row r="10" spans="1:15" s="237" customFormat="1" ht="12.75" customHeight="1" x14ac:dyDescent="0.25">
      <c r="A10" s="232"/>
      <c r="B10" s="233" t="str">
        <f>'Exh. No. AEB-6 CGDCF'!A10</f>
        <v>American Electric Power Company, Inc.</v>
      </c>
      <c r="C10" s="233" t="str">
        <f>'Exh. No. AEB-6 CGDCF'!B10</f>
        <v>AEP</v>
      </c>
      <c r="D10" s="230">
        <v>0.11</v>
      </c>
      <c r="E10" s="231">
        <v>53734</v>
      </c>
      <c r="F10" s="230">
        <v>0.41699999999999998</v>
      </c>
      <c r="G10" s="231">
        <f t="shared" si="0"/>
        <v>22407.077999999998</v>
      </c>
      <c r="H10" s="231">
        <v>75900</v>
      </c>
      <c r="I10" s="230">
        <v>0.42499999999999999</v>
      </c>
      <c r="J10" s="231">
        <f t="shared" si="1"/>
        <v>32257.5</v>
      </c>
      <c r="K10" s="234">
        <f t="shared" si="2"/>
        <v>7.5595795743593097E-2</v>
      </c>
      <c r="L10" s="235">
        <f t="shared" si="3"/>
        <v>1.0364212511408131</v>
      </c>
      <c r="M10" s="236">
        <f t="shared" si="4"/>
        <v>0.11400633762548944</v>
      </c>
    </row>
    <row r="11" spans="1:15" ht="12.75" customHeight="1" x14ac:dyDescent="0.25">
      <c r="A11" s="147"/>
      <c r="B11" s="148" t="str">
        <f>'Exh. No. AEB-6 CGDCF'!A11</f>
        <v>Avista Corporation</v>
      </c>
      <c r="C11" s="148" t="str">
        <f>'Exh. No. AEB-6 CGDCF'!B11</f>
        <v>AVA</v>
      </c>
      <c r="D11" s="230">
        <v>0.08</v>
      </c>
      <c r="E11" s="231">
        <v>4104.7</v>
      </c>
      <c r="F11" s="230">
        <v>0.52500000000000002</v>
      </c>
      <c r="G11" s="231">
        <f t="shared" si="0"/>
        <v>2154.9675000000002</v>
      </c>
      <c r="H11" s="231">
        <v>5675</v>
      </c>
      <c r="I11" s="230">
        <v>0.51500000000000001</v>
      </c>
      <c r="J11" s="150">
        <f t="shared" si="1"/>
        <v>2922.625</v>
      </c>
      <c r="K11" s="151">
        <f t="shared" si="2"/>
        <v>6.2836532952872615E-2</v>
      </c>
      <c r="L11" s="152">
        <f t="shared" si="3"/>
        <v>1.0304612275132263</v>
      </c>
      <c r="M11" s="153">
        <f t="shared" si="4"/>
        <v>8.2436898201058109E-2</v>
      </c>
    </row>
    <row r="12" spans="1:15" ht="12.75" customHeight="1" x14ac:dyDescent="0.25">
      <c r="A12" s="147"/>
      <c r="B12" s="148" t="str">
        <f>'Exh. No. AEB-6 CGDCF'!A12</f>
        <v>CMS Energy Corporation</v>
      </c>
      <c r="C12" s="148" t="str">
        <f>'Exh. No. AEB-6 CGDCF'!B12</f>
        <v>CMS</v>
      </c>
      <c r="D12" s="230">
        <v>0.14000000000000001</v>
      </c>
      <c r="E12" s="231">
        <v>18760</v>
      </c>
      <c r="F12" s="230">
        <v>0.34200000000000003</v>
      </c>
      <c r="G12" s="231">
        <f t="shared" si="0"/>
        <v>6415.92</v>
      </c>
      <c r="H12" s="231">
        <v>20400</v>
      </c>
      <c r="I12" s="230">
        <v>0.39</v>
      </c>
      <c r="J12" s="150">
        <f t="shared" si="1"/>
        <v>7956</v>
      </c>
      <c r="K12" s="151">
        <f t="shared" si="2"/>
        <v>4.3967952203958882E-2</v>
      </c>
      <c r="L12" s="152">
        <f t="shared" si="3"/>
        <v>1.0215110770971481</v>
      </c>
      <c r="M12" s="153">
        <f t="shared" si="4"/>
        <v>0.14301155079360073</v>
      </c>
    </row>
    <row r="13" spans="1:15" ht="12.75" customHeight="1" x14ac:dyDescent="0.25">
      <c r="A13" s="147"/>
      <c r="B13" s="148" t="str">
        <f>'Exh. No. AEB-6 CGDCF'!A13</f>
        <v>Duke Energy Corporation</v>
      </c>
      <c r="C13" s="148" t="str">
        <f>'Exh. No. AEB-6 CGDCF'!B13</f>
        <v>DUK</v>
      </c>
      <c r="D13" s="230">
        <v>0.09</v>
      </c>
      <c r="E13" s="231">
        <v>109744</v>
      </c>
      <c r="F13" s="230">
        <v>0.43099999999999999</v>
      </c>
      <c r="G13" s="231">
        <f t="shared" si="0"/>
        <v>47299.663999999997</v>
      </c>
      <c r="H13" s="231">
        <v>144100</v>
      </c>
      <c r="I13" s="230">
        <v>0.375</v>
      </c>
      <c r="J13" s="150">
        <f t="shared" si="1"/>
        <v>54037.5</v>
      </c>
      <c r="K13" s="151">
        <f t="shared" si="2"/>
        <v>2.6992893879467017E-2</v>
      </c>
      <c r="L13" s="152">
        <f t="shared" si="3"/>
        <v>1.0133167185543532</v>
      </c>
      <c r="M13" s="153">
        <f t="shared" si="4"/>
        <v>9.1198504669891794E-2</v>
      </c>
    </row>
    <row r="14" spans="1:15" ht="12.75" customHeight="1" x14ac:dyDescent="0.25">
      <c r="A14" s="147"/>
      <c r="B14" s="148" t="str">
        <f>'Exh. No. AEB-6 CGDCF'!A14</f>
        <v>Entergy Corporation</v>
      </c>
      <c r="C14" s="148" t="str">
        <f>'Exh. No. AEB-6 CGDCF'!B14</f>
        <v>ETR</v>
      </c>
      <c r="D14" s="230">
        <v>0.115</v>
      </c>
      <c r="E14" s="231">
        <v>36733</v>
      </c>
      <c r="F14" s="230">
        <v>0.317</v>
      </c>
      <c r="G14" s="231">
        <f t="shared" si="0"/>
        <v>11644.361000000001</v>
      </c>
      <c r="H14" s="231">
        <v>47300</v>
      </c>
      <c r="I14" s="230">
        <v>0.33500000000000002</v>
      </c>
      <c r="J14" s="150">
        <f t="shared" si="1"/>
        <v>15845.500000000002</v>
      </c>
      <c r="K14" s="151">
        <f t="shared" si="2"/>
        <v>6.3550356120990692E-2</v>
      </c>
      <c r="L14" s="152">
        <f t="shared" si="3"/>
        <v>1.0307966102850288</v>
      </c>
      <c r="M14" s="153">
        <f t="shared" si="4"/>
        <v>0.11854161018277831</v>
      </c>
    </row>
    <row r="15" spans="1:15" ht="12.75" customHeight="1" x14ac:dyDescent="0.25">
      <c r="A15" s="147"/>
      <c r="B15" s="148" t="str">
        <f>'Exh. No. AEB-6 CGDCF'!A15</f>
        <v>Evergy, Inc.</v>
      </c>
      <c r="C15" s="148" t="str">
        <f>'Exh. No. AEB-6 CGDCF'!B15</f>
        <v>EVRG</v>
      </c>
      <c r="D15" s="230">
        <v>0.1</v>
      </c>
      <c r="E15" s="231">
        <v>18542</v>
      </c>
      <c r="F15" s="230">
        <v>0.499</v>
      </c>
      <c r="G15" s="231">
        <f t="shared" si="0"/>
        <v>9252.4580000000005</v>
      </c>
      <c r="H15" s="231">
        <v>23400</v>
      </c>
      <c r="I15" s="230">
        <v>0.46500000000000002</v>
      </c>
      <c r="J15" s="150">
        <f t="shared" si="1"/>
        <v>10881</v>
      </c>
      <c r="K15" s="151">
        <f t="shared" si="2"/>
        <v>3.2957224836454468E-2</v>
      </c>
      <c r="L15" s="152">
        <f t="shared" si="3"/>
        <v>1.0162114698891935</v>
      </c>
      <c r="M15" s="153">
        <f t="shared" si="4"/>
        <v>0.10162114698891936</v>
      </c>
    </row>
    <row r="16" spans="1:15" ht="12.75" customHeight="1" x14ac:dyDescent="0.25">
      <c r="A16" s="147"/>
      <c r="B16" s="148" t="str">
        <f>'Exh. No. AEB-6 CGDCF'!A16</f>
        <v>IDACORP, Inc.</v>
      </c>
      <c r="C16" s="148" t="str">
        <f>'Exh. No. AEB-6 CGDCF'!B16</f>
        <v>IDA</v>
      </c>
      <c r="D16" s="230">
        <v>9.5000000000000001E-2</v>
      </c>
      <c r="E16" s="231">
        <v>4669.1000000000004</v>
      </c>
      <c r="F16" s="230">
        <v>0.57199999999999995</v>
      </c>
      <c r="G16" s="231">
        <f t="shared" si="0"/>
        <v>2670.7251999999999</v>
      </c>
      <c r="H16" s="231">
        <v>6775</v>
      </c>
      <c r="I16" s="230">
        <v>0.5</v>
      </c>
      <c r="J16" s="150">
        <f t="shared" si="1"/>
        <v>3387.5</v>
      </c>
      <c r="K16" s="151">
        <f t="shared" si="2"/>
        <v>4.8696986228270678E-2</v>
      </c>
      <c r="L16" s="152">
        <f t="shared" si="3"/>
        <v>1.0237697358641229</v>
      </c>
      <c r="M16" s="153">
        <f t="shared" si="4"/>
        <v>9.7258124907091681E-2</v>
      </c>
    </row>
    <row r="17" spans="1:14" ht="12.75" customHeight="1" x14ac:dyDescent="0.25">
      <c r="A17" s="147"/>
      <c r="B17" s="148" t="str">
        <f>'Exh. No. AEB-6 CGDCF'!A17</f>
        <v>NextEra Energy, Inc.</v>
      </c>
      <c r="C17" s="148" t="str">
        <f>'Exh. No. AEB-6 CGDCF'!B17</f>
        <v>NEE</v>
      </c>
      <c r="D17" s="230">
        <v>0.15</v>
      </c>
      <c r="E17" s="231">
        <v>88162</v>
      </c>
      <c r="F17" s="230">
        <v>0.42199999999999999</v>
      </c>
      <c r="G17" s="231">
        <f t="shared" si="0"/>
        <v>37204.364000000001</v>
      </c>
      <c r="H17" s="231">
        <v>126100</v>
      </c>
      <c r="I17" s="230">
        <v>0.44</v>
      </c>
      <c r="J17" s="150">
        <f t="shared" si="1"/>
        <v>55484</v>
      </c>
      <c r="K17" s="151">
        <f t="shared" si="2"/>
        <v>8.3215275133076139E-2</v>
      </c>
      <c r="L17" s="152">
        <f t="shared" si="3"/>
        <v>1.0399455956983419</v>
      </c>
      <c r="M17" s="153">
        <f t="shared" si="4"/>
        <v>0.15599183935475128</v>
      </c>
    </row>
    <row r="18" spans="1:14" ht="12.75" customHeight="1" x14ac:dyDescent="0.25">
      <c r="A18" s="147"/>
      <c r="B18" s="148" t="str">
        <f>'Exh. No. AEB-6 CGDCF'!A18</f>
        <v>NorthWestern Corporation</v>
      </c>
      <c r="C18" s="148" t="str">
        <f>'Exh. No. AEB-6 CGDCF'!B18</f>
        <v>NWE</v>
      </c>
      <c r="D18" s="230">
        <v>0.08</v>
      </c>
      <c r="E18" s="231">
        <v>4893.1000000000004</v>
      </c>
      <c r="F18" s="230">
        <v>0.47799999999999998</v>
      </c>
      <c r="G18" s="231">
        <f t="shared" si="0"/>
        <v>2338.9018000000001</v>
      </c>
      <c r="H18" s="231">
        <v>6050</v>
      </c>
      <c r="I18" s="230">
        <v>0.51</v>
      </c>
      <c r="J18" s="150">
        <f t="shared" si="1"/>
        <v>3085.5</v>
      </c>
      <c r="K18" s="151">
        <f t="shared" si="2"/>
        <v>5.6970125664121962E-2</v>
      </c>
      <c r="L18" s="152">
        <f t="shared" si="3"/>
        <v>1.0276961366396744</v>
      </c>
      <c r="M18" s="153">
        <f t="shared" si="4"/>
        <v>8.2215690931173951E-2</v>
      </c>
    </row>
    <row r="19" spans="1:14" ht="12.75" customHeight="1" x14ac:dyDescent="0.25">
      <c r="A19" s="147"/>
      <c r="B19" s="148" t="str">
        <f>'Exh. No. AEB-6 CGDCF'!A19</f>
        <v>OGE Energy Corporation</v>
      </c>
      <c r="C19" s="148" t="str">
        <f>'Exh. No. AEB-6 CGDCF'!B19</f>
        <v>OGE</v>
      </c>
      <c r="D19" s="230">
        <v>0.13</v>
      </c>
      <c r="E19" s="231">
        <v>8552.7000000000007</v>
      </c>
      <c r="F19" s="230">
        <v>0.47399999999999998</v>
      </c>
      <c r="G19" s="231">
        <f t="shared" si="0"/>
        <v>4053.9798000000001</v>
      </c>
      <c r="H19" s="231">
        <v>10400</v>
      </c>
      <c r="I19" s="230">
        <v>0.5</v>
      </c>
      <c r="J19" s="150">
        <f t="shared" si="1"/>
        <v>5200</v>
      </c>
      <c r="K19" s="151">
        <f t="shared" si="2"/>
        <v>5.1052362298598331E-2</v>
      </c>
      <c r="L19" s="152">
        <f t="shared" si="3"/>
        <v>1.0248908137290966</v>
      </c>
      <c r="M19" s="153">
        <f t="shared" si="4"/>
        <v>0.13323580578478256</v>
      </c>
    </row>
    <row r="20" spans="1:14" ht="12.75" customHeight="1" x14ac:dyDescent="0.25">
      <c r="A20" s="147"/>
      <c r="B20" s="148" t="str">
        <f>'Exh. No. AEB-6 CGDCF'!A20</f>
        <v>Otter Tail Corporation</v>
      </c>
      <c r="C20" s="148" t="str">
        <f>'Exh. No. AEB-6 CGDCF'!B20</f>
        <v>OTTR</v>
      </c>
      <c r="D20" s="230">
        <v>0.115</v>
      </c>
      <c r="E20" s="231">
        <v>1724.8</v>
      </c>
      <c r="F20" s="230">
        <v>0.57399999999999995</v>
      </c>
      <c r="G20" s="231">
        <f t="shared" si="0"/>
        <v>990.03519999999992</v>
      </c>
      <c r="H20" s="231">
        <v>2525</v>
      </c>
      <c r="I20" s="230">
        <v>0.57499999999999996</v>
      </c>
      <c r="J20" s="150">
        <f t="shared" si="1"/>
        <v>1451.875</v>
      </c>
      <c r="K20" s="151">
        <f t="shared" si="2"/>
        <v>7.9582207186474241E-2</v>
      </c>
      <c r="L20" s="152">
        <f t="shared" si="3"/>
        <v>1.0382683631892307</v>
      </c>
      <c r="M20" s="153">
        <f t="shared" si="4"/>
        <v>0.11940086176676153</v>
      </c>
    </row>
    <row r="21" spans="1:14" ht="12.75" customHeight="1" x14ac:dyDescent="0.25">
      <c r="A21" s="147"/>
      <c r="B21" s="148" t="str">
        <f>'Exh. No. AEB-6 CGDCF'!A21</f>
        <v>Portland General Electric Company</v>
      </c>
      <c r="C21" s="148" t="str">
        <f>'Exh. No. AEB-6 CGDCF'!B21</f>
        <v>POR</v>
      </c>
      <c r="D21" s="230">
        <v>9.5000000000000001E-2</v>
      </c>
      <c r="E21" s="231">
        <v>6265</v>
      </c>
      <c r="F21" s="230">
        <v>0.432</v>
      </c>
      <c r="G21" s="231">
        <f t="shared" si="0"/>
        <v>2706.48</v>
      </c>
      <c r="H21" s="231">
        <v>8250</v>
      </c>
      <c r="I21" s="230">
        <v>0.45</v>
      </c>
      <c r="J21" s="150">
        <f t="shared" si="1"/>
        <v>3712.5</v>
      </c>
      <c r="K21" s="151">
        <f t="shared" si="2"/>
        <v>6.5251925873477612E-2</v>
      </c>
      <c r="L21" s="152">
        <f t="shared" si="3"/>
        <v>1.0315951410363073</v>
      </c>
      <c r="M21" s="153">
        <f t="shared" si="4"/>
        <v>9.8001538398449203E-2</v>
      </c>
    </row>
    <row r="22" spans="1:14" ht="12.75" customHeight="1" x14ac:dyDescent="0.25">
      <c r="A22" s="147"/>
      <c r="B22" s="148" t="str">
        <f>'Exh. No. AEB-6 CGDCF'!A22</f>
        <v>Southern Company</v>
      </c>
      <c r="C22" s="148" t="str">
        <f>'Exh. No. AEB-6 CGDCF'!B22</f>
        <v>SO</v>
      </c>
      <c r="D22" s="230">
        <v>0.14499999999999999</v>
      </c>
      <c r="E22" s="231">
        <v>78285</v>
      </c>
      <c r="F22" s="230">
        <v>0.35599999999999998</v>
      </c>
      <c r="G22" s="231">
        <f t="shared" si="0"/>
        <v>27869.46</v>
      </c>
      <c r="H22" s="231">
        <v>93500</v>
      </c>
      <c r="I22" s="230">
        <v>0.37</v>
      </c>
      <c r="J22" s="150">
        <f t="shared" si="1"/>
        <v>34595</v>
      </c>
      <c r="K22" s="151">
        <f t="shared" si="2"/>
        <v>4.41838123827758E-2</v>
      </c>
      <c r="L22" s="152">
        <f t="shared" si="3"/>
        <v>1.0216144028316483</v>
      </c>
      <c r="M22" s="153">
        <f t="shared" si="4"/>
        <v>0.148134088410589</v>
      </c>
    </row>
    <row r="23" spans="1:14" ht="12.75" customHeight="1" x14ac:dyDescent="0.25">
      <c r="A23" s="147"/>
      <c r="B23" s="148" t="str">
        <f>'Exh. No. AEB-6 CGDCF'!A23</f>
        <v>Xcel Energy Inc.</v>
      </c>
      <c r="C23" s="148" t="str">
        <f>'Exh. No. AEB-6 CGDCF'!B23</f>
        <v>XEL</v>
      </c>
      <c r="D23" s="230">
        <v>0.11</v>
      </c>
      <c r="E23" s="231">
        <v>37391</v>
      </c>
      <c r="F23" s="230">
        <v>0.41799999999999998</v>
      </c>
      <c r="G23" s="231">
        <f t="shared" si="0"/>
        <v>15629.438</v>
      </c>
      <c r="H23" s="231">
        <v>49200</v>
      </c>
      <c r="I23" s="230">
        <v>0.42</v>
      </c>
      <c r="J23" s="150">
        <f t="shared" si="1"/>
        <v>20664</v>
      </c>
      <c r="K23" s="151">
        <f t="shared" si="2"/>
        <v>5.743627883299518E-2</v>
      </c>
      <c r="L23" s="152">
        <f t="shared" si="3"/>
        <v>1.0279164314462141</v>
      </c>
      <c r="M23" s="153">
        <f t="shared" si="4"/>
        <v>0.11307080745908356</v>
      </c>
    </row>
    <row r="24" spans="1:14" ht="12.75" customHeight="1" x14ac:dyDescent="0.25">
      <c r="A24" s="147"/>
      <c r="B24" s="138"/>
      <c r="C24" s="141"/>
      <c r="D24" s="149"/>
      <c r="E24" s="150"/>
      <c r="F24" s="149"/>
      <c r="G24" s="150"/>
      <c r="H24" s="150"/>
      <c r="I24" s="149"/>
      <c r="J24" s="150"/>
      <c r="K24" s="151"/>
      <c r="L24" s="152"/>
      <c r="M24" s="153"/>
    </row>
    <row r="25" spans="1:14" ht="12.75" customHeight="1" x14ac:dyDescent="0.25">
      <c r="A25" s="147"/>
      <c r="B25" s="156" t="s">
        <v>4</v>
      </c>
      <c r="C25" s="157"/>
      <c r="D25" s="158"/>
      <c r="E25" s="158"/>
      <c r="F25" s="158"/>
      <c r="G25" s="158"/>
      <c r="H25" s="158"/>
      <c r="I25" s="158"/>
      <c r="J25" s="158"/>
      <c r="K25" s="158"/>
      <c r="L25" s="159"/>
      <c r="M25" s="160">
        <f>AVERAGE(M7:M23)</f>
        <v>0.11251216622771187</v>
      </c>
    </row>
    <row r="26" spans="1:14" ht="12.75" customHeight="1" thickBot="1" x14ac:dyDescent="0.3">
      <c r="A26" s="147"/>
      <c r="B26" s="161" t="s">
        <v>13</v>
      </c>
      <c r="C26" s="162"/>
      <c r="D26" s="163"/>
      <c r="E26" s="163"/>
      <c r="F26" s="163"/>
      <c r="G26" s="163"/>
      <c r="H26" s="163"/>
      <c r="I26" s="163"/>
      <c r="J26" s="163"/>
      <c r="K26" s="163"/>
      <c r="L26" s="161"/>
      <c r="M26" s="164">
        <f>MEDIAN(M7:M23)</f>
        <v>0.11307080745908356</v>
      </c>
    </row>
    <row r="27" spans="1:14" ht="12.75" customHeight="1" x14ac:dyDescent="0.25">
      <c r="A27" s="138"/>
      <c r="B27" s="165"/>
      <c r="C27" s="138"/>
      <c r="D27" s="138"/>
      <c r="E27" s="138"/>
      <c r="F27" s="138"/>
      <c r="G27" s="138"/>
      <c r="H27" s="138"/>
      <c r="I27" s="138"/>
      <c r="J27" s="138"/>
      <c r="K27" s="138"/>
      <c r="L27" s="138"/>
      <c r="M27" s="138"/>
    </row>
    <row r="28" spans="1:14" ht="12.75" customHeight="1" x14ac:dyDescent="0.25">
      <c r="A28" s="138"/>
      <c r="B28" s="166" t="s">
        <v>88</v>
      </c>
      <c r="C28" s="138"/>
      <c r="D28" s="138"/>
      <c r="E28" s="138"/>
      <c r="F28" s="138"/>
      <c r="G28" s="138"/>
      <c r="H28" s="138"/>
      <c r="I28" s="138"/>
      <c r="J28" s="138"/>
      <c r="K28" s="138"/>
      <c r="L28" s="138"/>
      <c r="M28" s="138"/>
      <c r="N28" s="167"/>
    </row>
    <row r="29" spans="1:14" ht="12.75" customHeight="1" x14ac:dyDescent="0.25">
      <c r="A29" s="138"/>
      <c r="B29" s="168" t="s">
        <v>1336</v>
      </c>
      <c r="C29" s="138"/>
      <c r="D29" s="138"/>
      <c r="E29" s="138"/>
      <c r="F29" s="138"/>
      <c r="G29" s="169"/>
      <c r="H29" s="170"/>
      <c r="I29" s="170"/>
      <c r="J29" s="170"/>
      <c r="K29" s="170"/>
      <c r="L29" s="170"/>
      <c r="M29" s="170"/>
      <c r="N29" s="171"/>
    </row>
    <row r="30" spans="1:14" ht="12.75" customHeight="1" x14ac:dyDescent="0.25">
      <c r="A30" s="138"/>
      <c r="B30" s="168" t="s">
        <v>128</v>
      </c>
      <c r="C30" s="138"/>
      <c r="D30" s="138"/>
      <c r="E30" s="138"/>
      <c r="F30" s="138"/>
      <c r="G30" s="172"/>
      <c r="H30" s="172"/>
      <c r="I30" s="172"/>
      <c r="J30" s="172"/>
      <c r="K30" s="172"/>
      <c r="L30" s="172"/>
      <c r="M30" s="138"/>
      <c r="N30" s="173"/>
    </row>
    <row r="31" spans="1:14" ht="12.75" customHeight="1" x14ac:dyDescent="0.25">
      <c r="A31" s="138"/>
      <c r="B31" s="168" t="s">
        <v>1337</v>
      </c>
      <c r="C31" s="138"/>
      <c r="D31" s="138"/>
      <c r="E31" s="138"/>
      <c r="F31" s="138"/>
      <c r="G31" s="174"/>
      <c r="H31" s="174"/>
      <c r="I31" s="174"/>
      <c r="J31" s="174"/>
      <c r="K31" s="174"/>
      <c r="L31" s="174"/>
      <c r="M31" s="138"/>
      <c r="N31" s="155"/>
    </row>
    <row r="32" spans="1:14" ht="12.75" customHeight="1" x14ac:dyDescent="0.25">
      <c r="A32" s="138"/>
      <c r="B32" s="168" t="s">
        <v>1338</v>
      </c>
      <c r="C32" s="138"/>
      <c r="D32" s="138"/>
      <c r="E32" s="138"/>
      <c r="F32" s="138"/>
      <c r="G32" s="138"/>
      <c r="H32" s="138"/>
      <c r="I32" s="138"/>
      <c r="J32" s="138"/>
      <c r="K32" s="138"/>
      <c r="L32" s="138"/>
      <c r="M32" s="138"/>
    </row>
    <row r="33" spans="1:13" ht="12.75" customHeight="1" x14ac:dyDescent="0.25">
      <c r="A33" s="138"/>
      <c r="B33" s="168" t="s">
        <v>112</v>
      </c>
      <c r="C33" s="138"/>
      <c r="D33" s="138"/>
      <c r="E33" s="138"/>
      <c r="F33" s="138"/>
      <c r="G33" s="138"/>
      <c r="H33" s="138"/>
      <c r="I33" s="138"/>
      <c r="J33" s="138"/>
      <c r="K33" s="138"/>
      <c r="L33" s="138"/>
      <c r="M33" s="138"/>
    </row>
    <row r="34" spans="1:13" ht="12.75" customHeight="1" x14ac:dyDescent="0.25">
      <c r="A34" s="138"/>
      <c r="B34" s="168" t="s">
        <v>1339</v>
      </c>
      <c r="C34" s="138"/>
      <c r="D34" s="138"/>
      <c r="E34" s="138"/>
      <c r="F34" s="138"/>
      <c r="G34" s="138"/>
      <c r="H34" s="138"/>
      <c r="I34" s="138"/>
      <c r="J34" s="138"/>
      <c r="K34" s="138"/>
      <c r="L34" s="138"/>
      <c r="M34" s="138"/>
    </row>
    <row r="35" spans="1:13" ht="12.75" customHeight="1" x14ac:dyDescent="0.25">
      <c r="A35" s="138"/>
      <c r="B35" s="168" t="s">
        <v>1340</v>
      </c>
      <c r="C35" s="138"/>
      <c r="D35" s="138"/>
      <c r="E35" s="138"/>
      <c r="F35" s="138"/>
      <c r="G35" s="138"/>
      <c r="H35" s="138"/>
      <c r="I35" s="138"/>
      <c r="J35" s="138"/>
      <c r="K35" s="138"/>
      <c r="L35" s="138"/>
      <c r="M35" s="138"/>
    </row>
    <row r="36" spans="1:13" ht="12.75" customHeight="1" x14ac:dyDescent="0.25">
      <c r="A36" s="138"/>
      <c r="B36" s="168" t="s">
        <v>1341</v>
      </c>
      <c r="C36" s="138"/>
      <c r="D36" s="138"/>
      <c r="E36" s="138"/>
      <c r="F36" s="138"/>
      <c r="G36" s="138"/>
      <c r="H36" s="138"/>
      <c r="I36" s="138"/>
      <c r="J36" s="138"/>
      <c r="K36" s="138"/>
      <c r="L36" s="138"/>
      <c r="M36" s="138"/>
    </row>
    <row r="37" spans="1:13" ht="12.75" customHeight="1" x14ac:dyDescent="0.25">
      <c r="A37" s="138"/>
      <c r="B37" s="168" t="s">
        <v>1342</v>
      </c>
      <c r="C37" s="138"/>
      <c r="D37" s="138"/>
      <c r="E37" s="138"/>
      <c r="F37" s="138"/>
      <c r="G37" s="138"/>
      <c r="H37" s="138"/>
      <c r="I37" s="138"/>
      <c r="J37" s="138"/>
      <c r="K37" s="138"/>
      <c r="L37" s="138"/>
      <c r="M37" s="138"/>
    </row>
    <row r="38" spans="1:13" ht="12.75" customHeight="1" x14ac:dyDescent="0.25">
      <c r="A38" s="138"/>
      <c r="B38" s="168" t="s">
        <v>1343</v>
      </c>
      <c r="C38" s="138"/>
      <c r="D38" s="138"/>
      <c r="E38" s="138"/>
      <c r="F38" s="138"/>
      <c r="G38" s="138"/>
      <c r="H38" s="138"/>
      <c r="I38" s="138"/>
      <c r="J38" s="138"/>
      <c r="K38" s="138"/>
      <c r="L38" s="138"/>
      <c r="M38" s="138"/>
    </row>
    <row r="39" spans="1:13" ht="12.75" customHeight="1" x14ac:dyDescent="0.25">
      <c r="A39" s="138"/>
      <c r="B39" s="168"/>
      <c r="C39" s="138"/>
      <c r="D39" s="138"/>
      <c r="E39" s="138"/>
      <c r="F39" s="138"/>
      <c r="G39" s="138"/>
      <c r="H39" s="138"/>
      <c r="I39" s="138"/>
      <c r="J39" s="138"/>
      <c r="K39" s="138"/>
      <c r="L39" s="138"/>
      <c r="M39" s="138"/>
    </row>
    <row r="40" spans="1:13" ht="12.75" customHeight="1" x14ac:dyDescent="0.25">
      <c r="A40" s="138"/>
      <c r="B40" s="168"/>
      <c r="C40" s="138"/>
      <c r="D40" s="138"/>
      <c r="E40" s="138"/>
      <c r="F40" s="138"/>
      <c r="G40" s="138"/>
      <c r="H40" s="138"/>
      <c r="I40" s="138"/>
      <c r="J40" s="138"/>
      <c r="K40" s="138"/>
      <c r="L40" s="138"/>
      <c r="M40" s="138"/>
    </row>
    <row r="41" spans="1:13" ht="12.75" customHeight="1" x14ac:dyDescent="0.25">
      <c r="B41" s="175"/>
    </row>
    <row r="42" spans="1:13" ht="12.75" customHeight="1" x14ac:dyDescent="0.25"/>
    <row r="43" spans="1:13" ht="12.75" customHeight="1" x14ac:dyDescent="0.25"/>
    <row r="44" spans="1:13" ht="12.75" customHeight="1" x14ac:dyDescent="0.25"/>
    <row r="45" spans="1:13" ht="12.75" customHeight="1" x14ac:dyDescent="0.25"/>
    <row r="46" spans="1:13" ht="12.75" customHeight="1" x14ac:dyDescent="0.25"/>
    <row r="47" spans="1:13" ht="12.75" customHeight="1" x14ac:dyDescent="0.25"/>
    <row r="48" spans="1:13"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sheetData>
  <mergeCells count="1">
    <mergeCell ref="B2:M2"/>
  </mergeCells>
  <conditionalFormatting sqref="D25:K26 D7:J24">
    <cfRule type="expression" dxfId="8" priority="3">
      <formula>$D7="Yes"</formula>
    </cfRule>
  </conditionalFormatting>
  <conditionalFormatting sqref="B7:C23">
    <cfRule type="expression" dxfId="7" priority="1">
      <formula>"(blank)"</formula>
    </cfRule>
  </conditionalFormatting>
  <conditionalFormatting sqref="B7:C23">
    <cfRule type="expression" dxfId="6" priority="2">
      <formula>#REF!</formula>
    </cfRule>
  </conditionalFormatting>
  <pageMargins left="0.7" right="0.7" top="1" bottom="0.75" header="0.3" footer="0.3"/>
  <pageSetup scale="58" orientation="landscape" useFirstPageNumber="1" r:id="rId1"/>
  <headerFooter>
    <oddHeader>&amp;LREFILED April 19, 2023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O112"/>
  <sheetViews>
    <sheetView view="pageLayout" zoomScaleNormal="120" workbookViewId="0">
      <selection activeCell="A108" sqref="A108:L108"/>
    </sheetView>
  </sheetViews>
  <sheetFormatPr defaultColWidth="9.140625" defaultRowHeight="12.75" x14ac:dyDescent="0.2"/>
  <cols>
    <col min="1" max="1" width="2.5703125" style="176" customWidth="1"/>
    <col min="2" max="2" width="30.5703125" style="176" customWidth="1"/>
    <col min="3" max="3" width="11.7109375" style="176" customWidth="1"/>
    <col min="4" max="10" width="10.5703125" style="176" customWidth="1"/>
    <col min="11" max="13" width="9.140625" style="176"/>
    <col min="14" max="14" width="15" style="176" bestFit="1" customWidth="1"/>
    <col min="15" max="16384" width="9.140625" style="176"/>
  </cols>
  <sheetData>
    <row r="2" spans="1:11" x14ac:dyDescent="0.2">
      <c r="A2" s="363" t="s">
        <v>1531</v>
      </c>
      <c r="B2" s="363"/>
      <c r="C2" s="363"/>
      <c r="D2" s="363"/>
      <c r="E2" s="363"/>
      <c r="F2" s="363"/>
      <c r="G2" s="363"/>
      <c r="H2" s="363"/>
      <c r="I2" s="363"/>
      <c r="J2" s="363"/>
    </row>
    <row r="3" spans="1:11" x14ac:dyDescent="0.2">
      <c r="A3" s="364" t="s">
        <v>1344</v>
      </c>
      <c r="B3" s="364"/>
      <c r="C3" s="364"/>
      <c r="D3" s="364"/>
      <c r="E3" s="364"/>
      <c r="F3" s="364"/>
      <c r="G3" s="364"/>
      <c r="H3" s="364"/>
      <c r="I3" s="364"/>
      <c r="J3" s="364"/>
    </row>
    <row r="4" spans="1:11" x14ac:dyDescent="0.2">
      <c r="A4" s="177"/>
    </row>
    <row r="5" spans="1:11" ht="13.5" thickBot="1" x14ac:dyDescent="0.25">
      <c r="A5" s="177"/>
      <c r="D5" s="178" t="s">
        <v>28</v>
      </c>
      <c r="E5" s="178" t="s">
        <v>29</v>
      </c>
      <c r="F5" s="178" t="s">
        <v>30</v>
      </c>
      <c r="G5" s="178" t="s">
        <v>31</v>
      </c>
      <c r="H5" s="178" t="s">
        <v>32</v>
      </c>
      <c r="I5" s="178" t="s">
        <v>33</v>
      </c>
      <c r="J5" s="178" t="s">
        <v>93</v>
      </c>
    </row>
    <row r="6" spans="1:11" x14ac:dyDescent="0.2">
      <c r="A6" s="179"/>
      <c r="B6" s="180"/>
      <c r="C6" s="180"/>
      <c r="D6" s="180"/>
      <c r="E6" s="180"/>
      <c r="F6" s="180"/>
      <c r="G6" s="180"/>
      <c r="H6" s="180"/>
      <c r="I6" s="180"/>
      <c r="J6" s="181" t="s">
        <v>1432</v>
      </c>
    </row>
    <row r="7" spans="1:11" x14ac:dyDescent="0.2">
      <c r="J7" s="178" t="s">
        <v>1345</v>
      </c>
    </row>
    <row r="8" spans="1:11" x14ac:dyDescent="0.2">
      <c r="J8" s="178">
        <v>2022</v>
      </c>
    </row>
    <row r="9" spans="1:11" x14ac:dyDescent="0.2">
      <c r="A9" s="182"/>
      <c r="B9" s="182"/>
      <c r="C9" s="182"/>
      <c r="D9" s="183">
        <v>2022</v>
      </c>
      <c r="E9" s="183">
        <v>2023</v>
      </c>
      <c r="F9" s="183">
        <f>E9+1</f>
        <v>2024</v>
      </c>
      <c r="G9" s="183">
        <f t="shared" ref="G9" si="0">F9+1</f>
        <v>2025</v>
      </c>
      <c r="H9" s="183">
        <v>2026</v>
      </c>
      <c r="I9" s="183">
        <v>2027</v>
      </c>
      <c r="J9" s="183" t="s">
        <v>1346</v>
      </c>
      <c r="K9" s="178" t="s">
        <v>1347</v>
      </c>
    </row>
    <row r="10" spans="1:11" x14ac:dyDescent="0.2">
      <c r="D10" s="178"/>
      <c r="E10" s="178"/>
      <c r="F10" s="178"/>
      <c r="G10" s="178"/>
      <c r="H10" s="178"/>
      <c r="I10" s="178"/>
      <c r="J10" s="178"/>
    </row>
    <row r="11" spans="1:11" x14ac:dyDescent="0.2">
      <c r="A11" s="176" t="s">
        <v>41</v>
      </c>
      <c r="C11" s="176" t="s">
        <v>42</v>
      </c>
    </row>
    <row r="12" spans="1:11" x14ac:dyDescent="0.2">
      <c r="A12" s="63"/>
      <c r="B12" s="63" t="s">
        <v>1348</v>
      </c>
      <c r="C12" s="184"/>
      <c r="E12" s="185">
        <v>5.95</v>
      </c>
      <c r="F12" s="185">
        <f>AVERAGE(E12,G12)</f>
        <v>6.6</v>
      </c>
      <c r="G12" s="185">
        <v>7.25</v>
      </c>
      <c r="H12" s="185">
        <f>G12</f>
        <v>7.25</v>
      </c>
      <c r="I12" s="185">
        <f>H12</f>
        <v>7.25</v>
      </c>
    </row>
    <row r="13" spans="1:11" x14ac:dyDescent="0.2">
      <c r="A13" s="63"/>
      <c r="B13" s="63" t="s">
        <v>1349</v>
      </c>
      <c r="C13" s="184"/>
      <c r="D13" s="182"/>
      <c r="E13" s="238">
        <v>58</v>
      </c>
      <c r="F13" s="238">
        <f>AVERAGE(E13,G13)</f>
        <v>59.5</v>
      </c>
      <c r="G13" s="238">
        <v>61</v>
      </c>
      <c r="H13" s="238">
        <f>G13</f>
        <v>61</v>
      </c>
      <c r="I13" s="238">
        <f>H13</f>
        <v>61</v>
      </c>
      <c r="J13" s="182"/>
    </row>
    <row r="14" spans="1:11" x14ac:dyDescent="0.2">
      <c r="A14" s="63"/>
      <c r="B14" s="63" t="s">
        <v>1350</v>
      </c>
      <c r="C14" s="184"/>
      <c r="E14" s="186">
        <f>E12*E13</f>
        <v>345.1</v>
      </c>
      <c r="F14" s="186">
        <f>F12*F13</f>
        <v>392.7</v>
      </c>
      <c r="G14" s="186">
        <f t="shared" ref="G14:I14" si="1">G12*G13</f>
        <v>442.25</v>
      </c>
      <c r="H14" s="186">
        <f t="shared" si="1"/>
        <v>442.25</v>
      </c>
      <c r="I14" s="186">
        <f t="shared" si="1"/>
        <v>442.25</v>
      </c>
      <c r="J14" s="187">
        <f>SUM(E14:I14)/D15</f>
        <v>0.39588686481303936</v>
      </c>
      <c r="K14" s="176">
        <f t="shared" ref="K14:K45" si="2">IFERROR(RANK(J14,$J$14:$J$100,1),"")</f>
        <v>1</v>
      </c>
    </row>
    <row r="15" spans="1:11" x14ac:dyDescent="0.2">
      <c r="A15" s="63"/>
      <c r="B15" s="63" t="s">
        <v>1346</v>
      </c>
      <c r="C15" s="184"/>
      <c r="D15" s="186">
        <v>5215</v>
      </c>
      <c r="K15" s="176" t="str">
        <f t="shared" si="2"/>
        <v/>
      </c>
    </row>
    <row r="16" spans="1:11" x14ac:dyDescent="0.2">
      <c r="A16" s="63" t="s">
        <v>46</v>
      </c>
      <c r="C16" s="63" t="s">
        <v>47</v>
      </c>
      <c r="K16" s="176" t="str">
        <f t="shared" si="2"/>
        <v/>
      </c>
    </row>
    <row r="17" spans="1:11" x14ac:dyDescent="0.2">
      <c r="A17" s="63"/>
      <c r="B17" s="63" t="s">
        <v>1348</v>
      </c>
      <c r="C17" s="184"/>
      <c r="E17" s="185">
        <v>5.9</v>
      </c>
      <c r="F17" s="185">
        <f>AVERAGE(E17,G17)</f>
        <v>6.0750000000000002</v>
      </c>
      <c r="G17" s="185">
        <v>6.25</v>
      </c>
      <c r="H17" s="185">
        <f>G17</f>
        <v>6.25</v>
      </c>
      <c r="I17" s="185">
        <f>H17</f>
        <v>6.25</v>
      </c>
      <c r="K17" s="176" t="str">
        <f t="shared" si="2"/>
        <v/>
      </c>
    </row>
    <row r="18" spans="1:11" x14ac:dyDescent="0.2">
      <c r="A18" s="63"/>
      <c r="B18" s="63" t="s">
        <v>1349</v>
      </c>
      <c r="C18" s="184"/>
      <c r="D18" s="182"/>
      <c r="E18" s="238">
        <v>251.5</v>
      </c>
      <c r="F18" s="238">
        <f>AVERAGE(E18,G18)</f>
        <v>252.25</v>
      </c>
      <c r="G18" s="238">
        <v>253</v>
      </c>
      <c r="H18" s="238">
        <f>G18</f>
        <v>253</v>
      </c>
      <c r="I18" s="238">
        <f>H18</f>
        <v>253</v>
      </c>
      <c r="J18" s="182"/>
      <c r="K18" s="176" t="str">
        <f t="shared" si="2"/>
        <v/>
      </c>
    </row>
    <row r="19" spans="1:11" x14ac:dyDescent="0.2">
      <c r="A19" s="63"/>
      <c r="B19" s="63" t="s">
        <v>1350</v>
      </c>
      <c r="C19" s="184"/>
      <c r="E19" s="186">
        <f>E17*E18</f>
        <v>1483.8500000000001</v>
      </c>
      <c r="F19" s="186">
        <f>F17*F18</f>
        <v>1532.41875</v>
      </c>
      <c r="G19" s="186">
        <f t="shared" ref="G19:I19" si="3">G17*G18</f>
        <v>1581.25</v>
      </c>
      <c r="H19" s="186">
        <f t="shared" si="3"/>
        <v>1581.25</v>
      </c>
      <c r="I19" s="186">
        <f t="shared" si="3"/>
        <v>1581.25</v>
      </c>
      <c r="J19" s="187">
        <f>SUM(E19:I19)/D20</f>
        <v>0.48424453978159127</v>
      </c>
      <c r="K19" s="176">
        <f t="shared" si="2"/>
        <v>7</v>
      </c>
    </row>
    <row r="20" spans="1:11" x14ac:dyDescent="0.2">
      <c r="A20" s="63"/>
      <c r="B20" s="63" t="s">
        <v>1346</v>
      </c>
      <c r="C20" s="184"/>
      <c r="D20" s="186">
        <v>16025</v>
      </c>
      <c r="K20" s="176" t="str">
        <f t="shared" si="2"/>
        <v/>
      </c>
    </row>
    <row r="21" spans="1:11" x14ac:dyDescent="0.2">
      <c r="A21" s="176" t="s">
        <v>49</v>
      </c>
      <c r="C21" s="176" t="s">
        <v>50</v>
      </c>
      <c r="K21" s="176" t="str">
        <f t="shared" si="2"/>
        <v/>
      </c>
    </row>
    <row r="22" spans="1:11" x14ac:dyDescent="0.2">
      <c r="A22" s="63"/>
      <c r="B22" s="63" t="s">
        <v>1348</v>
      </c>
      <c r="C22" s="184"/>
      <c r="E22" s="185">
        <v>12.55</v>
      </c>
      <c r="F22" s="185">
        <f>AVERAGE(E22,G22)</f>
        <v>12.775</v>
      </c>
      <c r="G22" s="185">
        <v>13</v>
      </c>
      <c r="H22" s="185">
        <f>G22</f>
        <v>13</v>
      </c>
      <c r="I22" s="185">
        <f>H22</f>
        <v>13</v>
      </c>
      <c r="K22" s="176" t="str">
        <f t="shared" si="2"/>
        <v/>
      </c>
    </row>
    <row r="23" spans="1:11" x14ac:dyDescent="0.2">
      <c r="A23" s="63"/>
      <c r="B23" s="63" t="s">
        <v>1349</v>
      </c>
      <c r="C23" s="184"/>
      <c r="D23" s="182"/>
      <c r="E23" s="238">
        <v>267</v>
      </c>
      <c r="F23" s="238">
        <f>AVERAGE(E23,G23)</f>
        <v>273.5</v>
      </c>
      <c r="G23" s="238">
        <v>280</v>
      </c>
      <c r="H23" s="238">
        <f>G23</f>
        <v>280</v>
      </c>
      <c r="I23" s="238">
        <f>H23</f>
        <v>280</v>
      </c>
      <c r="J23" s="182"/>
      <c r="K23" s="176" t="str">
        <f t="shared" si="2"/>
        <v/>
      </c>
    </row>
    <row r="24" spans="1:11" x14ac:dyDescent="0.2">
      <c r="A24" s="63"/>
      <c r="B24" s="63" t="s">
        <v>1350</v>
      </c>
      <c r="C24" s="184"/>
      <c r="E24" s="186">
        <f>E22*E23</f>
        <v>3350.8500000000004</v>
      </c>
      <c r="F24" s="186">
        <f t="shared" ref="F24:I24" si="4">F22*F23</f>
        <v>3493.9625000000001</v>
      </c>
      <c r="G24" s="186">
        <f t="shared" si="4"/>
        <v>3640</v>
      </c>
      <c r="H24" s="186">
        <f t="shared" si="4"/>
        <v>3640</v>
      </c>
      <c r="I24" s="186">
        <f t="shared" si="4"/>
        <v>3640</v>
      </c>
      <c r="J24" s="187">
        <f>SUM(E24:I24)/D25</f>
        <v>0.56892914331465172</v>
      </c>
      <c r="K24" s="176">
        <f t="shared" si="2"/>
        <v>14</v>
      </c>
    </row>
    <row r="25" spans="1:11" x14ac:dyDescent="0.2">
      <c r="A25" s="63"/>
      <c r="B25" s="63" t="s">
        <v>1346</v>
      </c>
      <c r="C25" s="184"/>
      <c r="D25" s="186">
        <v>31225</v>
      </c>
      <c r="K25" s="176" t="str">
        <f t="shared" si="2"/>
        <v/>
      </c>
    </row>
    <row r="26" spans="1:11" x14ac:dyDescent="0.2">
      <c r="A26" s="63" t="s">
        <v>52</v>
      </c>
      <c r="C26" s="63" t="s">
        <v>53</v>
      </c>
      <c r="K26" s="176" t="str">
        <f t="shared" si="2"/>
        <v/>
      </c>
    </row>
    <row r="27" spans="1:11" x14ac:dyDescent="0.2">
      <c r="A27" s="63"/>
      <c r="B27" s="63" t="s">
        <v>1348</v>
      </c>
      <c r="C27" s="184"/>
      <c r="E27" s="185">
        <v>14.15</v>
      </c>
      <c r="F27" s="185">
        <f>AVERAGE(E27,G27)</f>
        <v>14.074999999999999</v>
      </c>
      <c r="G27" s="185">
        <v>14</v>
      </c>
      <c r="H27" s="185">
        <f>G27</f>
        <v>14</v>
      </c>
      <c r="I27" s="185">
        <f>H27</f>
        <v>14</v>
      </c>
      <c r="K27" s="176" t="str">
        <f t="shared" si="2"/>
        <v/>
      </c>
    </row>
    <row r="28" spans="1:11" x14ac:dyDescent="0.2">
      <c r="A28" s="63"/>
      <c r="B28" s="63" t="s">
        <v>1349</v>
      </c>
      <c r="C28" s="184"/>
      <c r="D28" s="182"/>
      <c r="E28" s="238">
        <v>523</v>
      </c>
      <c r="F28" s="238">
        <f>AVERAGE(E28,G28)</f>
        <v>534</v>
      </c>
      <c r="G28" s="238">
        <v>545</v>
      </c>
      <c r="H28" s="238">
        <f>G28</f>
        <v>545</v>
      </c>
      <c r="I28" s="238">
        <f>H28</f>
        <v>545</v>
      </c>
      <c r="J28" s="182"/>
      <c r="K28" s="176" t="str">
        <f t="shared" si="2"/>
        <v/>
      </c>
    </row>
    <row r="29" spans="1:11" x14ac:dyDescent="0.2">
      <c r="A29" s="63"/>
      <c r="B29" s="63" t="s">
        <v>1350</v>
      </c>
      <c r="C29" s="184"/>
      <c r="E29" s="186">
        <f>E27*E28</f>
        <v>7400.45</v>
      </c>
      <c r="F29" s="186">
        <f t="shared" ref="F29:I29" si="5">F27*F28</f>
        <v>7516.0499999999993</v>
      </c>
      <c r="G29" s="186">
        <f t="shared" si="5"/>
        <v>7630</v>
      </c>
      <c r="H29" s="186">
        <f t="shared" si="5"/>
        <v>7630</v>
      </c>
      <c r="I29" s="186">
        <f t="shared" si="5"/>
        <v>7630</v>
      </c>
      <c r="J29" s="187">
        <f>SUM(E29:I29)/D30</f>
        <v>0.53512384996461426</v>
      </c>
      <c r="K29" s="176">
        <f t="shared" si="2"/>
        <v>11</v>
      </c>
    </row>
    <row r="30" spans="1:11" x14ac:dyDescent="0.2">
      <c r="A30" s="63"/>
      <c r="B30" s="63" t="s">
        <v>1346</v>
      </c>
      <c r="C30" s="184"/>
      <c r="D30" s="186">
        <v>70650</v>
      </c>
      <c r="K30" s="176" t="str">
        <f t="shared" si="2"/>
        <v/>
      </c>
    </row>
    <row r="31" spans="1:11" x14ac:dyDescent="0.2">
      <c r="A31" s="63" t="s">
        <v>55</v>
      </c>
      <c r="C31" s="63" t="s">
        <v>56</v>
      </c>
      <c r="K31" s="176" t="str">
        <f t="shared" si="2"/>
        <v/>
      </c>
    </row>
    <row r="32" spans="1:11" x14ac:dyDescent="0.2">
      <c r="A32" s="63"/>
      <c r="B32" s="63" t="s">
        <v>1348</v>
      </c>
      <c r="C32" s="188"/>
      <c r="E32" s="185">
        <v>6.4</v>
      </c>
      <c r="F32" s="185">
        <f>AVERAGE(E32,G32)</f>
        <v>6.2</v>
      </c>
      <c r="G32" s="185">
        <v>6</v>
      </c>
      <c r="H32" s="185">
        <f>G32</f>
        <v>6</v>
      </c>
      <c r="I32" s="185">
        <f>H32</f>
        <v>6</v>
      </c>
      <c r="K32" s="176" t="str">
        <f t="shared" si="2"/>
        <v/>
      </c>
    </row>
    <row r="33" spans="1:11" x14ac:dyDescent="0.2">
      <c r="A33" s="63"/>
      <c r="B33" s="63" t="s">
        <v>1349</v>
      </c>
      <c r="C33" s="188"/>
      <c r="D33" s="182"/>
      <c r="E33" s="238">
        <v>77</v>
      </c>
      <c r="F33" s="238">
        <f>AVERAGE(E33,G33)</f>
        <v>80</v>
      </c>
      <c r="G33" s="238">
        <v>83</v>
      </c>
      <c r="H33" s="238">
        <f>G33</f>
        <v>83</v>
      </c>
      <c r="I33" s="238">
        <f>H33</f>
        <v>83</v>
      </c>
      <c r="J33" s="182"/>
      <c r="K33" s="176" t="str">
        <f t="shared" si="2"/>
        <v/>
      </c>
    </row>
    <row r="34" spans="1:11" x14ac:dyDescent="0.2">
      <c r="A34" s="63"/>
      <c r="B34" s="63" t="s">
        <v>1350</v>
      </c>
      <c r="C34" s="188"/>
      <c r="E34" s="186">
        <f>E32*E33</f>
        <v>492.8</v>
      </c>
      <c r="F34" s="186">
        <f t="shared" ref="F34:I34" si="6">F32*F33</f>
        <v>496</v>
      </c>
      <c r="G34" s="186">
        <f t="shared" si="6"/>
        <v>498</v>
      </c>
      <c r="H34" s="186">
        <f t="shared" si="6"/>
        <v>498</v>
      </c>
      <c r="I34" s="186">
        <f t="shared" si="6"/>
        <v>498</v>
      </c>
      <c r="J34" s="187">
        <f>SUM(E34:I34)/D35</f>
        <v>0.45555963302752295</v>
      </c>
      <c r="K34" s="176">
        <f t="shared" si="2"/>
        <v>4</v>
      </c>
    </row>
    <row r="35" spans="1:11" x14ac:dyDescent="0.2">
      <c r="A35" s="63"/>
      <c r="B35" s="63" t="s">
        <v>1346</v>
      </c>
      <c r="C35" s="188"/>
      <c r="D35" s="186">
        <v>5450</v>
      </c>
      <c r="K35" s="176" t="str">
        <f t="shared" si="2"/>
        <v/>
      </c>
    </row>
    <row r="36" spans="1:11" x14ac:dyDescent="0.2">
      <c r="A36" s="63" t="s">
        <v>57</v>
      </c>
      <c r="C36" s="63" t="s">
        <v>58</v>
      </c>
      <c r="K36" s="176" t="str">
        <f t="shared" si="2"/>
        <v/>
      </c>
    </row>
    <row r="37" spans="1:11" x14ac:dyDescent="0.2">
      <c r="A37" s="63"/>
      <c r="B37" s="63" t="s">
        <v>1348</v>
      </c>
      <c r="C37" s="188"/>
      <c r="E37" s="185">
        <v>10</v>
      </c>
      <c r="F37" s="185">
        <f>AVERAGE(E37,G37)</f>
        <v>9.875</v>
      </c>
      <c r="G37" s="185">
        <v>9.75</v>
      </c>
      <c r="H37" s="185">
        <f>G37</f>
        <v>9.75</v>
      </c>
      <c r="I37" s="185">
        <f>H37</f>
        <v>9.75</v>
      </c>
      <c r="K37" s="176" t="str">
        <f t="shared" si="2"/>
        <v/>
      </c>
    </row>
    <row r="38" spans="1:11" x14ac:dyDescent="0.2">
      <c r="A38" s="63"/>
      <c r="B38" s="63" t="s">
        <v>1349</v>
      </c>
      <c r="C38" s="188"/>
      <c r="D38" s="182"/>
      <c r="E38" s="238">
        <v>290</v>
      </c>
      <c r="F38" s="238">
        <f>AVERAGE(E38,G38)</f>
        <v>295</v>
      </c>
      <c r="G38" s="238">
        <v>300</v>
      </c>
      <c r="H38" s="238">
        <f>G38</f>
        <v>300</v>
      </c>
      <c r="I38" s="238">
        <f>H38</f>
        <v>300</v>
      </c>
      <c r="J38" s="182"/>
      <c r="K38" s="176" t="str">
        <f t="shared" si="2"/>
        <v/>
      </c>
    </row>
    <row r="39" spans="1:11" x14ac:dyDescent="0.2">
      <c r="A39" s="63"/>
      <c r="B39" s="63" t="s">
        <v>1350</v>
      </c>
      <c r="C39" s="188"/>
      <c r="E39" s="186">
        <f>E37*E38</f>
        <v>2900</v>
      </c>
      <c r="F39" s="186">
        <f t="shared" ref="F39:I39" si="7">F37*F38</f>
        <v>2913.125</v>
      </c>
      <c r="G39" s="186">
        <f t="shared" si="7"/>
        <v>2925</v>
      </c>
      <c r="H39" s="186">
        <f t="shared" si="7"/>
        <v>2925</v>
      </c>
      <c r="I39" s="186">
        <f t="shared" si="7"/>
        <v>2925</v>
      </c>
      <c r="J39" s="187">
        <f>SUM(E39:I39)/D40</f>
        <v>0.61359095688748688</v>
      </c>
      <c r="K39" s="176">
        <f t="shared" si="2"/>
        <v>16</v>
      </c>
    </row>
    <row r="40" spans="1:11" x14ac:dyDescent="0.2">
      <c r="A40" s="63"/>
      <c r="B40" s="63" t="s">
        <v>1346</v>
      </c>
      <c r="C40" s="188"/>
      <c r="D40" s="186">
        <v>23775</v>
      </c>
      <c r="K40" s="176" t="str">
        <f t="shared" si="2"/>
        <v/>
      </c>
    </row>
    <row r="41" spans="1:11" x14ac:dyDescent="0.2">
      <c r="A41" s="63" t="s">
        <v>60</v>
      </c>
      <c r="C41" s="63" t="s">
        <v>61</v>
      </c>
      <c r="K41" s="176" t="str">
        <f t="shared" si="2"/>
        <v/>
      </c>
    </row>
    <row r="42" spans="1:11" x14ac:dyDescent="0.2">
      <c r="A42" s="63"/>
      <c r="B42" s="63" t="s">
        <v>1348</v>
      </c>
      <c r="C42" s="188"/>
      <c r="E42" s="185">
        <v>16.75</v>
      </c>
      <c r="F42" s="185">
        <f>AVERAGE(E42,G42)</f>
        <v>16.75</v>
      </c>
      <c r="G42" s="185">
        <v>16.75</v>
      </c>
      <c r="H42" s="185">
        <f>G42</f>
        <v>16.75</v>
      </c>
      <c r="I42" s="185">
        <f>H42</f>
        <v>16.75</v>
      </c>
      <c r="K42" s="176" t="str">
        <f t="shared" si="2"/>
        <v/>
      </c>
    </row>
    <row r="43" spans="1:11" x14ac:dyDescent="0.2">
      <c r="A43" s="63"/>
      <c r="B43" s="63" t="s">
        <v>1349</v>
      </c>
      <c r="C43" s="188"/>
      <c r="D43" s="182"/>
      <c r="E43" s="238">
        <v>770</v>
      </c>
      <c r="F43" s="238">
        <f>AVERAGE(E43,G43)</f>
        <v>770</v>
      </c>
      <c r="G43" s="238">
        <v>770</v>
      </c>
      <c r="H43" s="238">
        <f>G43</f>
        <v>770</v>
      </c>
      <c r="I43" s="238">
        <f>H43</f>
        <v>770</v>
      </c>
      <c r="J43" s="182"/>
      <c r="K43" s="176" t="str">
        <f t="shared" si="2"/>
        <v/>
      </c>
    </row>
    <row r="44" spans="1:11" x14ac:dyDescent="0.2">
      <c r="A44" s="63"/>
      <c r="B44" s="63" t="s">
        <v>1350</v>
      </c>
      <c r="C44" s="188"/>
      <c r="E44" s="186">
        <f>E42*E43</f>
        <v>12897.5</v>
      </c>
      <c r="F44" s="186">
        <f t="shared" ref="F44:I44" si="8">F42*F43</f>
        <v>12897.5</v>
      </c>
      <c r="G44" s="186">
        <f t="shared" si="8"/>
        <v>12897.5</v>
      </c>
      <c r="H44" s="186">
        <f t="shared" si="8"/>
        <v>12897.5</v>
      </c>
      <c r="I44" s="186">
        <f t="shared" si="8"/>
        <v>12897.5</v>
      </c>
      <c r="J44" s="187">
        <f>SUM(E44:I44)/D45</f>
        <v>0.54778084519006154</v>
      </c>
      <c r="K44" s="176">
        <f t="shared" si="2"/>
        <v>12</v>
      </c>
    </row>
    <row r="45" spans="1:11" x14ac:dyDescent="0.2">
      <c r="A45" s="63"/>
      <c r="B45" s="63" t="s">
        <v>1346</v>
      </c>
      <c r="C45" s="188"/>
      <c r="D45" s="186">
        <v>117725</v>
      </c>
      <c r="K45" s="176" t="str">
        <f t="shared" si="2"/>
        <v/>
      </c>
    </row>
    <row r="46" spans="1:11" x14ac:dyDescent="0.2">
      <c r="A46" s="63" t="s">
        <v>64</v>
      </c>
      <c r="C46" s="63" t="s">
        <v>65</v>
      </c>
      <c r="K46" s="176" t="str">
        <f t="shared" ref="K46:K77" si="9">IFERROR(RANK(J46,$J$14:$J$100,1),"")</f>
        <v/>
      </c>
    </row>
    <row r="47" spans="1:11" x14ac:dyDescent="0.2">
      <c r="A47" s="63"/>
      <c r="B47" s="63" t="s">
        <v>1348</v>
      </c>
      <c r="C47" s="188"/>
      <c r="E47" s="185">
        <v>19</v>
      </c>
      <c r="F47" s="185">
        <f>AVERAGE(E47,G47)</f>
        <v>19.375</v>
      </c>
      <c r="G47" s="185">
        <v>19.75</v>
      </c>
      <c r="H47" s="185">
        <f>G47</f>
        <v>19.75</v>
      </c>
      <c r="I47" s="185">
        <f>H47</f>
        <v>19.75</v>
      </c>
      <c r="K47" s="176" t="str">
        <f t="shared" si="9"/>
        <v/>
      </c>
    </row>
    <row r="48" spans="1:11" x14ac:dyDescent="0.2">
      <c r="A48" s="63"/>
      <c r="B48" s="63" t="s">
        <v>1349</v>
      </c>
      <c r="C48" s="188"/>
      <c r="D48" s="182"/>
      <c r="E48" s="238">
        <v>209</v>
      </c>
      <c r="F48" s="238">
        <f>AVERAGE(E48,G48)</f>
        <v>211.5</v>
      </c>
      <c r="G48" s="238">
        <v>214</v>
      </c>
      <c r="H48" s="238">
        <f>G48</f>
        <v>214</v>
      </c>
      <c r="I48" s="238">
        <f>H48</f>
        <v>214</v>
      </c>
      <c r="J48" s="182"/>
      <c r="K48" s="176" t="str">
        <f t="shared" si="9"/>
        <v/>
      </c>
    </row>
    <row r="49" spans="1:11" x14ac:dyDescent="0.2">
      <c r="A49" s="63"/>
      <c r="B49" s="63" t="s">
        <v>1350</v>
      </c>
      <c r="C49" s="188"/>
      <c r="E49" s="186">
        <f>E47*E48</f>
        <v>3971</v>
      </c>
      <c r="F49" s="186">
        <f>F47*F48</f>
        <v>4097.8125</v>
      </c>
      <c r="G49" s="186">
        <f t="shared" ref="G49:I49" si="10">G47*G48</f>
        <v>4226.5</v>
      </c>
      <c r="H49" s="186">
        <f t="shared" si="10"/>
        <v>4226.5</v>
      </c>
      <c r="I49" s="186">
        <f t="shared" si="10"/>
        <v>4226.5</v>
      </c>
      <c r="J49" s="187">
        <f>SUM(E49:I49)/D50</f>
        <v>0.47424714285714287</v>
      </c>
      <c r="K49" s="176">
        <f t="shared" si="9"/>
        <v>6</v>
      </c>
    </row>
    <row r="50" spans="1:11" x14ac:dyDescent="0.2">
      <c r="A50" s="63"/>
      <c r="B50" s="63" t="s">
        <v>1346</v>
      </c>
      <c r="C50" s="188"/>
      <c r="D50" s="186">
        <v>43750</v>
      </c>
      <c r="K50" s="176" t="str">
        <f t="shared" si="9"/>
        <v/>
      </c>
    </row>
    <row r="51" spans="1:11" x14ac:dyDescent="0.2">
      <c r="A51" s="63" t="s">
        <v>1335</v>
      </c>
      <c r="C51" s="63" t="s">
        <v>66</v>
      </c>
      <c r="K51" s="176" t="str">
        <f t="shared" si="9"/>
        <v/>
      </c>
    </row>
    <row r="52" spans="1:11" x14ac:dyDescent="0.2">
      <c r="A52" s="63"/>
      <c r="B52" s="63" t="s">
        <v>1348</v>
      </c>
      <c r="C52" s="188"/>
      <c r="E52" s="185">
        <v>9.1999999999999993</v>
      </c>
      <c r="F52" s="185">
        <f>AVERAGE(E52,G52)</f>
        <v>9.35</v>
      </c>
      <c r="G52" s="185">
        <v>9.5</v>
      </c>
      <c r="H52" s="185">
        <f>G52</f>
        <v>9.5</v>
      </c>
      <c r="I52" s="185">
        <f>H52</f>
        <v>9.5</v>
      </c>
      <c r="K52" s="176" t="str">
        <f t="shared" si="9"/>
        <v/>
      </c>
    </row>
    <row r="53" spans="1:11" x14ac:dyDescent="0.2">
      <c r="A53" s="63"/>
      <c r="B53" s="63" t="s">
        <v>1349</v>
      </c>
      <c r="C53" s="188"/>
      <c r="D53" s="182"/>
      <c r="E53" s="238">
        <v>230</v>
      </c>
      <c r="F53" s="238">
        <f>AVERAGE(E53,G53)</f>
        <v>230</v>
      </c>
      <c r="G53" s="238">
        <v>230</v>
      </c>
      <c r="H53" s="238">
        <f>G53</f>
        <v>230</v>
      </c>
      <c r="I53" s="238">
        <f>H53</f>
        <v>230</v>
      </c>
      <c r="J53" s="182"/>
      <c r="K53" s="176" t="str">
        <f t="shared" si="9"/>
        <v/>
      </c>
    </row>
    <row r="54" spans="1:11" x14ac:dyDescent="0.2">
      <c r="A54" s="63"/>
      <c r="B54" s="63" t="s">
        <v>1350</v>
      </c>
      <c r="C54" s="188"/>
      <c r="E54" s="186">
        <f>E52*E53</f>
        <v>2116</v>
      </c>
      <c r="F54" s="186">
        <f t="shared" ref="F54:I54" si="11">F52*F53</f>
        <v>2150.5</v>
      </c>
      <c r="G54" s="186">
        <f t="shared" si="11"/>
        <v>2185</v>
      </c>
      <c r="H54" s="186">
        <f t="shared" si="11"/>
        <v>2185</v>
      </c>
      <c r="I54" s="186">
        <f t="shared" si="11"/>
        <v>2185</v>
      </c>
      <c r="J54" s="187">
        <f>SUM(E54:I54)/D55</f>
        <v>0.48966063348416289</v>
      </c>
      <c r="K54" s="176">
        <f t="shared" si="9"/>
        <v>8</v>
      </c>
    </row>
    <row r="55" spans="1:11" x14ac:dyDescent="0.2">
      <c r="A55" s="63"/>
      <c r="B55" s="63" t="s">
        <v>1346</v>
      </c>
      <c r="C55" s="188"/>
      <c r="D55" s="186">
        <v>22100</v>
      </c>
      <c r="K55" s="176" t="str">
        <f t="shared" si="9"/>
        <v/>
      </c>
    </row>
    <row r="56" spans="1:11" x14ac:dyDescent="0.2">
      <c r="A56" s="63" t="s">
        <v>69</v>
      </c>
      <c r="C56" s="63" t="s">
        <v>70</v>
      </c>
      <c r="K56" s="176" t="str">
        <f t="shared" si="9"/>
        <v/>
      </c>
    </row>
    <row r="57" spans="1:11" x14ac:dyDescent="0.2">
      <c r="A57" s="63"/>
      <c r="B57" s="63" t="s">
        <v>1348</v>
      </c>
      <c r="C57" s="188"/>
      <c r="E57" s="185">
        <v>14.2</v>
      </c>
      <c r="F57" s="185">
        <f>AVERAGE(E57,G57)</f>
        <v>12.149999999999999</v>
      </c>
      <c r="G57" s="185">
        <v>10.1</v>
      </c>
      <c r="H57" s="185">
        <f>G57</f>
        <v>10.1</v>
      </c>
      <c r="I57" s="185">
        <f>H57</f>
        <v>10.1</v>
      </c>
      <c r="K57" s="176" t="str">
        <f t="shared" si="9"/>
        <v/>
      </c>
    </row>
    <row r="58" spans="1:11" x14ac:dyDescent="0.2">
      <c r="A58" s="63"/>
      <c r="B58" s="63" t="s">
        <v>1349</v>
      </c>
      <c r="C58" s="188"/>
      <c r="D58" s="182"/>
      <c r="E58" s="238">
        <v>51</v>
      </c>
      <c r="F58" s="238">
        <f>AVERAGE(E58,G58)</f>
        <v>51.5</v>
      </c>
      <c r="G58" s="238">
        <v>52</v>
      </c>
      <c r="H58" s="238">
        <f>G58</f>
        <v>52</v>
      </c>
      <c r="I58" s="238">
        <f>H58</f>
        <v>52</v>
      </c>
      <c r="J58" s="182"/>
      <c r="K58" s="176" t="str">
        <f t="shared" si="9"/>
        <v/>
      </c>
    </row>
    <row r="59" spans="1:11" x14ac:dyDescent="0.2">
      <c r="A59" s="63"/>
      <c r="B59" s="63" t="s">
        <v>1350</v>
      </c>
      <c r="C59" s="188"/>
      <c r="E59" s="186">
        <f>E57*E58</f>
        <v>724.19999999999993</v>
      </c>
      <c r="F59" s="186">
        <f t="shared" ref="F59:I59" si="12">F57*F58</f>
        <v>625.72499999999991</v>
      </c>
      <c r="G59" s="186">
        <f t="shared" si="12"/>
        <v>525.19999999999993</v>
      </c>
      <c r="H59" s="186">
        <f t="shared" si="12"/>
        <v>525.19999999999993</v>
      </c>
      <c r="I59" s="186">
        <f t="shared" si="12"/>
        <v>525.19999999999993</v>
      </c>
      <c r="J59" s="187">
        <f>SUM(E59:I59)/D60</f>
        <v>0.55724285714285704</v>
      </c>
      <c r="K59" s="176">
        <f t="shared" si="9"/>
        <v>13</v>
      </c>
    </row>
    <row r="60" spans="1:11" x14ac:dyDescent="0.2">
      <c r="A60" s="63"/>
      <c r="B60" s="63" t="s">
        <v>1346</v>
      </c>
      <c r="C60" s="188"/>
      <c r="D60" s="186">
        <v>5250</v>
      </c>
      <c r="K60" s="176" t="str">
        <f t="shared" si="9"/>
        <v/>
      </c>
    </row>
    <row r="61" spans="1:11" x14ac:dyDescent="0.2">
      <c r="A61" s="63" t="s">
        <v>71</v>
      </c>
      <c r="C61" s="63" t="s">
        <v>72</v>
      </c>
      <c r="D61" s="186"/>
      <c r="K61" s="176" t="str">
        <f t="shared" si="9"/>
        <v/>
      </c>
    </row>
    <row r="62" spans="1:11" x14ac:dyDescent="0.2">
      <c r="A62" s="63"/>
      <c r="B62" s="63" t="s">
        <v>1348</v>
      </c>
      <c r="C62" s="188"/>
      <c r="E62" s="185">
        <v>8.4</v>
      </c>
      <c r="F62" s="185">
        <f>AVERAGE(E62,G62)</f>
        <v>9.1999999999999993</v>
      </c>
      <c r="G62" s="185">
        <v>10</v>
      </c>
      <c r="H62" s="185">
        <f>G62</f>
        <v>10</v>
      </c>
      <c r="I62" s="185">
        <f>H62</f>
        <v>10</v>
      </c>
      <c r="K62" s="176" t="str">
        <f t="shared" si="9"/>
        <v/>
      </c>
    </row>
    <row r="63" spans="1:11" x14ac:dyDescent="0.2">
      <c r="A63" s="63"/>
      <c r="B63" s="63" t="s">
        <v>1349</v>
      </c>
      <c r="C63" s="188"/>
      <c r="D63" s="182"/>
      <c r="E63" s="238">
        <v>2025</v>
      </c>
      <c r="F63" s="238">
        <f>AVERAGE(E63,G63)</f>
        <v>2025</v>
      </c>
      <c r="G63" s="238">
        <v>2025</v>
      </c>
      <c r="H63" s="238">
        <f>G63</f>
        <v>2025</v>
      </c>
      <c r="I63" s="238">
        <f>H63</f>
        <v>2025</v>
      </c>
      <c r="J63" s="182"/>
      <c r="K63" s="176" t="str">
        <f t="shared" si="9"/>
        <v/>
      </c>
    </row>
    <row r="64" spans="1:11" x14ac:dyDescent="0.2">
      <c r="A64" s="63"/>
      <c r="B64" s="63" t="s">
        <v>1350</v>
      </c>
      <c r="C64" s="188"/>
      <c r="E64" s="186">
        <f>E62*E63</f>
        <v>17010</v>
      </c>
      <c r="F64" s="186">
        <f t="shared" ref="F64:I64" si="13">F62*F63</f>
        <v>18630</v>
      </c>
      <c r="G64" s="186">
        <f t="shared" si="13"/>
        <v>20250</v>
      </c>
      <c r="H64" s="186">
        <f t="shared" si="13"/>
        <v>20250</v>
      </c>
      <c r="I64" s="186">
        <f t="shared" si="13"/>
        <v>20250</v>
      </c>
      <c r="J64" s="187">
        <f>SUM(E64:I64)/D65</f>
        <v>0.86896551724137927</v>
      </c>
      <c r="K64" s="176">
        <f t="shared" si="9"/>
        <v>17</v>
      </c>
    </row>
    <row r="65" spans="1:11" x14ac:dyDescent="0.2">
      <c r="A65" s="63"/>
      <c r="B65" s="63" t="s">
        <v>1346</v>
      </c>
      <c r="C65" s="188"/>
      <c r="D65" s="186">
        <v>110925</v>
      </c>
      <c r="K65" s="176" t="str">
        <f t="shared" si="9"/>
        <v/>
      </c>
    </row>
    <row r="66" spans="1:11" x14ac:dyDescent="0.2">
      <c r="A66" s="63" t="s">
        <v>74</v>
      </c>
      <c r="C66" s="63" t="s">
        <v>75</v>
      </c>
      <c r="K66" s="176" t="str">
        <f t="shared" si="9"/>
        <v/>
      </c>
    </row>
    <row r="67" spans="1:11" x14ac:dyDescent="0.2">
      <c r="A67" s="63"/>
      <c r="B67" s="63" t="s">
        <v>1348</v>
      </c>
      <c r="C67" s="188"/>
      <c r="E67" s="185">
        <v>9.1</v>
      </c>
      <c r="F67" s="185">
        <f>AVERAGE(E67,G67)</f>
        <v>7.8</v>
      </c>
      <c r="G67" s="185">
        <v>6.5</v>
      </c>
      <c r="H67" s="185">
        <f>G67</f>
        <v>6.5</v>
      </c>
      <c r="I67" s="185">
        <f>H67</f>
        <v>6.5</v>
      </c>
      <c r="K67" s="176" t="str">
        <f t="shared" si="9"/>
        <v/>
      </c>
    </row>
    <row r="68" spans="1:11" x14ac:dyDescent="0.2">
      <c r="A68" s="63"/>
      <c r="B68" s="63" t="s">
        <v>1349</v>
      </c>
      <c r="C68" s="188"/>
      <c r="D68" s="182"/>
      <c r="E68" s="238">
        <v>62</v>
      </c>
      <c r="F68" s="238">
        <f>AVERAGE(E68,G68)</f>
        <v>62</v>
      </c>
      <c r="G68" s="238">
        <v>62</v>
      </c>
      <c r="H68" s="238">
        <f>G68</f>
        <v>62</v>
      </c>
      <c r="I68" s="238">
        <f>H68</f>
        <v>62</v>
      </c>
      <c r="J68" s="182"/>
      <c r="K68" s="176" t="str">
        <f t="shared" si="9"/>
        <v/>
      </c>
    </row>
    <row r="69" spans="1:11" x14ac:dyDescent="0.2">
      <c r="A69" s="63"/>
      <c r="B69" s="63" t="s">
        <v>1350</v>
      </c>
      <c r="C69" s="188"/>
      <c r="E69" s="186">
        <f>E67*E68</f>
        <v>564.19999999999993</v>
      </c>
      <c r="F69" s="186">
        <f>F67*F68</f>
        <v>483.59999999999997</v>
      </c>
      <c r="G69" s="186">
        <f t="shared" ref="G69:I69" si="14">G67*G68</f>
        <v>403</v>
      </c>
      <c r="H69" s="186">
        <f t="shared" si="14"/>
        <v>403</v>
      </c>
      <c r="I69" s="186">
        <f t="shared" si="14"/>
        <v>403</v>
      </c>
      <c r="J69" s="187">
        <f>SUM(E69:I69)/D70</f>
        <v>0.40085257548845477</v>
      </c>
      <c r="K69" s="176">
        <f t="shared" si="9"/>
        <v>2</v>
      </c>
    </row>
    <row r="70" spans="1:11" x14ac:dyDescent="0.2">
      <c r="A70" s="63"/>
      <c r="B70" s="63" t="s">
        <v>1346</v>
      </c>
      <c r="C70" s="188"/>
      <c r="D70" s="186">
        <v>5630</v>
      </c>
      <c r="K70" s="176" t="str">
        <f t="shared" si="9"/>
        <v/>
      </c>
    </row>
    <row r="71" spans="1:11" x14ac:dyDescent="0.2">
      <c r="A71" s="63" t="s">
        <v>76</v>
      </c>
      <c r="C71" s="63" t="s">
        <v>77</v>
      </c>
      <c r="K71" s="176" t="str">
        <f t="shared" si="9"/>
        <v/>
      </c>
    </row>
    <row r="72" spans="1:11" x14ac:dyDescent="0.2">
      <c r="A72" s="63"/>
      <c r="B72" s="63" t="s">
        <v>1348</v>
      </c>
      <c r="C72" s="188"/>
      <c r="E72" s="185">
        <v>4.75</v>
      </c>
      <c r="F72" s="185">
        <f>AVERAGE(E72,G72)</f>
        <v>4.75</v>
      </c>
      <c r="G72" s="185">
        <v>4.75</v>
      </c>
      <c r="H72" s="185">
        <f>G72</f>
        <v>4.75</v>
      </c>
      <c r="I72" s="185">
        <f>H72</f>
        <v>4.75</v>
      </c>
      <c r="K72" s="176" t="str">
        <f t="shared" si="9"/>
        <v/>
      </c>
    </row>
    <row r="73" spans="1:11" x14ac:dyDescent="0.2">
      <c r="A73" s="63"/>
      <c r="B73" s="63" t="s">
        <v>1349</v>
      </c>
      <c r="C73" s="188"/>
      <c r="D73" s="182"/>
      <c r="E73" s="238">
        <v>200.2</v>
      </c>
      <c r="F73" s="238">
        <f>AVERAGE(E73,G73)</f>
        <v>200.2</v>
      </c>
      <c r="G73" s="238">
        <v>200.2</v>
      </c>
      <c r="H73" s="238">
        <f>G73</f>
        <v>200.2</v>
      </c>
      <c r="I73" s="238">
        <f>H73</f>
        <v>200.2</v>
      </c>
      <c r="J73" s="182"/>
      <c r="K73" s="176" t="str">
        <f t="shared" si="9"/>
        <v/>
      </c>
    </row>
    <row r="74" spans="1:11" x14ac:dyDescent="0.2">
      <c r="A74" s="63"/>
      <c r="B74" s="63" t="s">
        <v>1350</v>
      </c>
      <c r="C74" s="188"/>
      <c r="E74" s="186">
        <f>E72*E73</f>
        <v>950.94999999999993</v>
      </c>
      <c r="F74" s="186">
        <f t="shared" ref="F74:I74" si="15">F72*F73</f>
        <v>950.94999999999993</v>
      </c>
      <c r="G74" s="186">
        <f t="shared" si="15"/>
        <v>950.94999999999993</v>
      </c>
      <c r="H74" s="186">
        <f t="shared" si="15"/>
        <v>950.94999999999993</v>
      </c>
      <c r="I74" s="186">
        <f t="shared" si="15"/>
        <v>950.94999999999993</v>
      </c>
      <c r="J74" s="187">
        <f>SUM(E74:I74)/D75</f>
        <v>0.4596181730304495</v>
      </c>
      <c r="K74" s="176">
        <f t="shared" si="9"/>
        <v>5</v>
      </c>
    </row>
    <row r="75" spans="1:11" x14ac:dyDescent="0.2">
      <c r="A75" s="63"/>
      <c r="B75" s="63" t="s">
        <v>1346</v>
      </c>
      <c r="C75" s="188"/>
      <c r="D75" s="186">
        <v>10345</v>
      </c>
      <c r="K75" s="176" t="str">
        <f t="shared" si="9"/>
        <v/>
      </c>
    </row>
    <row r="76" spans="1:11" x14ac:dyDescent="0.2">
      <c r="A76" s="63" t="str">
        <f>'Exh. No. AEB-6 CGDCF'!A100</f>
        <v>Otter Tail Corporation</v>
      </c>
      <c r="C76" s="63" t="str">
        <f>'Exh. No. AEB-6 CGDCF'!B100</f>
        <v>OTTR</v>
      </c>
      <c r="K76" s="176" t="str">
        <f t="shared" si="9"/>
        <v/>
      </c>
    </row>
    <row r="77" spans="1:11" x14ac:dyDescent="0.2">
      <c r="A77" s="63"/>
      <c r="B77" s="63" t="s">
        <v>1348</v>
      </c>
      <c r="C77" s="188"/>
      <c r="E77" s="185">
        <v>5.9</v>
      </c>
      <c r="F77" s="185">
        <f>AVERAGE(E77,G77)</f>
        <v>6.0750000000000002</v>
      </c>
      <c r="G77" s="185">
        <v>6.25</v>
      </c>
      <c r="H77" s="185">
        <f>G77</f>
        <v>6.25</v>
      </c>
      <c r="I77" s="185">
        <f>H77</f>
        <v>6.25</v>
      </c>
      <c r="K77" s="176" t="str">
        <f t="shared" si="9"/>
        <v/>
      </c>
    </row>
    <row r="78" spans="1:11" x14ac:dyDescent="0.2">
      <c r="A78" s="63"/>
      <c r="B78" s="63" t="s">
        <v>1349</v>
      </c>
      <c r="C78" s="188"/>
      <c r="D78" s="182"/>
      <c r="E78" s="238">
        <v>41.9</v>
      </c>
      <c r="F78" s="238">
        <f>AVERAGE(E78,G78)</f>
        <v>42.2</v>
      </c>
      <c r="G78" s="238">
        <v>42.5</v>
      </c>
      <c r="H78" s="238">
        <f>G78</f>
        <v>42.5</v>
      </c>
      <c r="I78" s="238">
        <f>H78</f>
        <v>42.5</v>
      </c>
      <c r="J78" s="182"/>
      <c r="K78" s="176" t="str">
        <f t="shared" ref="K78:K101" si="16">IFERROR(RANK(J78,$J$14:$J$100,1),"")</f>
        <v/>
      </c>
    </row>
    <row r="79" spans="1:11" x14ac:dyDescent="0.2">
      <c r="A79" s="63"/>
      <c r="B79" s="63" t="s">
        <v>1350</v>
      </c>
      <c r="C79" s="188"/>
      <c r="E79" s="186">
        <f>E77*E78</f>
        <v>247.21</v>
      </c>
      <c r="F79" s="186">
        <f t="shared" ref="F79:I79" si="17">F77*F78</f>
        <v>256.36500000000001</v>
      </c>
      <c r="G79" s="186">
        <f t="shared" si="17"/>
        <v>265.625</v>
      </c>
      <c r="H79" s="186">
        <f t="shared" si="17"/>
        <v>265.625</v>
      </c>
      <c r="I79" s="186">
        <f t="shared" si="17"/>
        <v>265.625</v>
      </c>
      <c r="J79" s="187">
        <f>SUM(E79:I79)/D80</f>
        <v>0.58843891402714932</v>
      </c>
      <c r="K79" s="176">
        <f t="shared" si="16"/>
        <v>15</v>
      </c>
    </row>
    <row r="80" spans="1:11" x14ac:dyDescent="0.2">
      <c r="A80" s="63"/>
      <c r="B80" s="63" t="s">
        <v>1346</v>
      </c>
      <c r="C80" s="188"/>
      <c r="D80" s="186">
        <v>2210</v>
      </c>
      <c r="K80" s="176" t="str">
        <f t="shared" si="16"/>
        <v/>
      </c>
    </row>
    <row r="81" spans="1:15" x14ac:dyDescent="0.2">
      <c r="A81" s="63" t="s">
        <v>80</v>
      </c>
      <c r="C81" s="63" t="s">
        <v>81</v>
      </c>
      <c r="K81" s="176" t="str">
        <f t="shared" si="16"/>
        <v/>
      </c>
    </row>
    <row r="82" spans="1:15" x14ac:dyDescent="0.2">
      <c r="A82" s="63"/>
      <c r="B82" s="63" t="s">
        <v>1348</v>
      </c>
      <c r="C82" s="188"/>
      <c r="E82" s="185">
        <v>8.25</v>
      </c>
      <c r="F82" s="185">
        <f>AVERAGE(E82,G82)</f>
        <v>8.375</v>
      </c>
      <c r="G82" s="185">
        <v>8.5</v>
      </c>
      <c r="H82" s="185">
        <f>G82</f>
        <v>8.5</v>
      </c>
      <c r="I82" s="185">
        <f>H82</f>
        <v>8.5</v>
      </c>
      <c r="K82" s="176" t="str">
        <f t="shared" si="16"/>
        <v/>
      </c>
    </row>
    <row r="83" spans="1:15" x14ac:dyDescent="0.2">
      <c r="A83" s="63"/>
      <c r="B83" s="63" t="s">
        <v>1349</v>
      </c>
      <c r="C83" s="188"/>
      <c r="D83" s="182"/>
      <c r="E83" s="238">
        <v>94.5</v>
      </c>
      <c r="F83" s="238">
        <f>AVERAGE(E83,G83)</f>
        <v>97.25</v>
      </c>
      <c r="G83" s="238">
        <v>100</v>
      </c>
      <c r="H83" s="238">
        <f>G83</f>
        <v>100</v>
      </c>
      <c r="I83" s="238">
        <f>H83</f>
        <v>100</v>
      </c>
      <c r="J83" s="182"/>
      <c r="K83" s="176" t="str">
        <f t="shared" si="16"/>
        <v/>
      </c>
    </row>
    <row r="84" spans="1:15" x14ac:dyDescent="0.2">
      <c r="A84" s="63"/>
      <c r="B84" s="63" t="s">
        <v>1350</v>
      </c>
      <c r="C84" s="188"/>
      <c r="E84" s="186">
        <f>E82*E83</f>
        <v>779.625</v>
      </c>
      <c r="F84" s="186">
        <f t="shared" ref="F84:I84" si="18">F82*F83</f>
        <v>814.46875</v>
      </c>
      <c r="G84" s="186">
        <f t="shared" si="18"/>
        <v>850</v>
      </c>
      <c r="H84" s="186">
        <f t="shared" si="18"/>
        <v>850</v>
      </c>
      <c r="I84" s="186">
        <f t="shared" si="18"/>
        <v>850</v>
      </c>
      <c r="J84" s="187">
        <f>SUM(E84:I84)/D85</f>
        <v>0.49778903903903904</v>
      </c>
      <c r="K84" s="176">
        <f t="shared" si="16"/>
        <v>9</v>
      </c>
    </row>
    <row r="85" spans="1:15" x14ac:dyDescent="0.2">
      <c r="A85" s="63"/>
      <c r="B85" s="63" t="s">
        <v>1346</v>
      </c>
      <c r="C85" s="188"/>
      <c r="D85" s="186">
        <v>8325</v>
      </c>
      <c r="K85" s="176" t="str">
        <f t="shared" si="16"/>
        <v/>
      </c>
    </row>
    <row r="86" spans="1:15" x14ac:dyDescent="0.2">
      <c r="A86" s="63" t="s">
        <v>83</v>
      </c>
      <c r="C86" s="63" t="s">
        <v>84</v>
      </c>
      <c r="D86" s="186"/>
      <c r="K86" s="176" t="str">
        <f t="shared" si="16"/>
        <v/>
      </c>
    </row>
    <row r="87" spans="1:15" x14ac:dyDescent="0.2">
      <c r="A87" s="63"/>
      <c r="B87" s="63" t="s">
        <v>1348</v>
      </c>
      <c r="C87" s="188"/>
      <c r="E87" s="185">
        <v>7.85</v>
      </c>
      <c r="F87" s="185">
        <f>AVERAGE(E87,G87)</f>
        <v>7.6749999999999998</v>
      </c>
      <c r="G87" s="185">
        <v>7.5</v>
      </c>
      <c r="H87" s="185">
        <f>G87</f>
        <v>7.5</v>
      </c>
      <c r="I87" s="185">
        <f>H87</f>
        <v>7.5</v>
      </c>
      <c r="K87" s="176" t="str">
        <f t="shared" si="16"/>
        <v/>
      </c>
    </row>
    <row r="88" spans="1:15" x14ac:dyDescent="0.2">
      <c r="A88" s="63"/>
      <c r="B88" s="63" t="s">
        <v>1349</v>
      </c>
      <c r="C88" s="188"/>
      <c r="D88" s="182"/>
      <c r="E88" s="238">
        <v>1070</v>
      </c>
      <c r="F88" s="238">
        <f>AVERAGE(E88,G88)</f>
        <v>1070</v>
      </c>
      <c r="G88" s="238">
        <v>1070</v>
      </c>
      <c r="H88" s="238">
        <f>G88</f>
        <v>1070</v>
      </c>
      <c r="I88" s="238">
        <f>H88</f>
        <v>1070</v>
      </c>
      <c r="J88" s="182"/>
      <c r="K88" s="176" t="str">
        <f t="shared" si="16"/>
        <v/>
      </c>
    </row>
    <row r="89" spans="1:15" x14ac:dyDescent="0.2">
      <c r="A89" s="63"/>
      <c r="B89" s="63" t="s">
        <v>1350</v>
      </c>
      <c r="C89" s="188"/>
      <c r="E89" s="186">
        <f>E87*E88</f>
        <v>8399.5</v>
      </c>
      <c r="F89" s="186">
        <f t="shared" ref="F89:I89" si="19">F87*F88</f>
        <v>8212.25</v>
      </c>
      <c r="G89" s="186">
        <f t="shared" si="19"/>
        <v>8025</v>
      </c>
      <c r="H89" s="186">
        <f t="shared" si="19"/>
        <v>8025</v>
      </c>
      <c r="I89" s="186">
        <f t="shared" si="19"/>
        <v>8025</v>
      </c>
      <c r="J89" s="187">
        <f>SUM(E89:I89)/D90</f>
        <v>0.42760641093011037</v>
      </c>
      <c r="K89" s="176">
        <f t="shared" si="16"/>
        <v>3</v>
      </c>
    </row>
    <row r="90" spans="1:15" x14ac:dyDescent="0.2">
      <c r="A90" s="63"/>
      <c r="B90" s="63" t="s">
        <v>1346</v>
      </c>
      <c r="C90" s="188"/>
      <c r="D90" s="186">
        <v>95150</v>
      </c>
      <c r="K90" s="176" t="str">
        <f t="shared" si="16"/>
        <v/>
      </c>
      <c r="O90" s="185"/>
    </row>
    <row r="91" spans="1:15" x14ac:dyDescent="0.2">
      <c r="A91" s="63" t="s">
        <v>86</v>
      </c>
      <c r="C91" s="63" t="s">
        <v>87</v>
      </c>
      <c r="D91" s="186"/>
      <c r="K91" s="176" t="str">
        <f t="shared" si="16"/>
        <v/>
      </c>
    </row>
    <row r="92" spans="1:15" x14ac:dyDescent="0.2">
      <c r="A92" s="63"/>
      <c r="B92" s="63" t="s">
        <v>1348</v>
      </c>
      <c r="C92" s="188"/>
      <c r="E92" s="185">
        <v>9</v>
      </c>
      <c r="F92" s="185">
        <f>AVERAGE(E92,G92)</f>
        <v>9</v>
      </c>
      <c r="G92" s="185">
        <v>9</v>
      </c>
      <c r="H92" s="185">
        <f>G92</f>
        <v>9</v>
      </c>
      <c r="I92" s="185">
        <f>H92</f>
        <v>9</v>
      </c>
      <c r="K92" s="176" t="str">
        <f t="shared" si="16"/>
        <v/>
      </c>
    </row>
    <row r="93" spans="1:15" x14ac:dyDescent="0.2">
      <c r="A93" s="63"/>
      <c r="B93" s="63" t="s">
        <v>1349</v>
      </c>
      <c r="C93" s="188"/>
      <c r="D93" s="182"/>
      <c r="E93" s="238">
        <v>550</v>
      </c>
      <c r="F93" s="238">
        <f>AVERAGE(E93,G93)</f>
        <v>555.5</v>
      </c>
      <c r="G93" s="238">
        <v>561</v>
      </c>
      <c r="H93" s="238">
        <f>G93</f>
        <v>561</v>
      </c>
      <c r="I93" s="238">
        <f>H93</f>
        <v>561</v>
      </c>
      <c r="J93" s="182"/>
      <c r="K93" s="176" t="str">
        <f t="shared" si="16"/>
        <v/>
      </c>
    </row>
    <row r="94" spans="1:15" x14ac:dyDescent="0.2">
      <c r="A94" s="63"/>
      <c r="B94" s="63" t="s">
        <v>1350</v>
      </c>
      <c r="C94" s="188"/>
      <c r="E94" s="186">
        <f>E92*E93</f>
        <v>4950</v>
      </c>
      <c r="F94" s="186">
        <f t="shared" ref="F94:I94" si="20">F92*F93</f>
        <v>4999.5</v>
      </c>
      <c r="G94" s="186">
        <f t="shared" si="20"/>
        <v>5049</v>
      </c>
      <c r="H94" s="186">
        <f t="shared" si="20"/>
        <v>5049</v>
      </c>
      <c r="I94" s="186">
        <f t="shared" si="20"/>
        <v>5049</v>
      </c>
      <c r="J94" s="187">
        <f>SUM(E94:I94)/D95</f>
        <v>0.52040435458786938</v>
      </c>
      <c r="K94" s="176">
        <f t="shared" si="16"/>
        <v>10</v>
      </c>
    </row>
    <row r="95" spans="1:15" x14ac:dyDescent="0.2">
      <c r="A95" s="63"/>
      <c r="B95" s="63" t="s">
        <v>1346</v>
      </c>
      <c r="C95" s="188"/>
      <c r="D95" s="186">
        <v>48225</v>
      </c>
      <c r="K95" s="176" t="str">
        <f t="shared" si="16"/>
        <v/>
      </c>
      <c r="O95" s="185"/>
    </row>
    <row r="96" spans="1:15" x14ac:dyDescent="0.2">
      <c r="J96" s="187"/>
      <c r="K96" s="176" t="str">
        <f t="shared" si="16"/>
        <v/>
      </c>
      <c r="O96" s="189"/>
    </row>
    <row r="97" spans="1:15" x14ac:dyDescent="0.2">
      <c r="A97" s="190" t="str">
        <f>A99</f>
        <v>PacifiCorp</v>
      </c>
      <c r="B97" s="190"/>
      <c r="C97" s="191" t="str">
        <f>C99</f>
        <v>PacifiCorp</v>
      </c>
      <c r="E97" s="185"/>
      <c r="F97" s="185"/>
      <c r="G97" s="185"/>
      <c r="H97" s="185"/>
      <c r="I97" s="185"/>
      <c r="J97" s="187"/>
      <c r="K97" s="176" t="str">
        <f t="shared" si="16"/>
        <v/>
      </c>
      <c r="O97" s="192"/>
    </row>
    <row r="98" spans="1:15" x14ac:dyDescent="0.2">
      <c r="K98" s="176" t="str">
        <f t="shared" si="16"/>
        <v/>
      </c>
      <c r="O98" s="192"/>
    </row>
    <row r="99" spans="1:15" x14ac:dyDescent="0.2">
      <c r="A99" s="176" t="s">
        <v>1351</v>
      </c>
      <c r="C99" s="193" t="s">
        <v>1351</v>
      </c>
      <c r="K99" s="176" t="str">
        <f t="shared" si="16"/>
        <v/>
      </c>
    </row>
    <row r="100" spans="1:15" x14ac:dyDescent="0.2">
      <c r="B100" s="176" t="s">
        <v>1352</v>
      </c>
      <c r="D100" s="334"/>
      <c r="E100" s="335">
        <v>3884.6</v>
      </c>
      <c r="F100" s="335">
        <v>3179.4</v>
      </c>
      <c r="G100" s="335">
        <v>4490.5</v>
      </c>
      <c r="H100" s="335">
        <v>4582</v>
      </c>
      <c r="I100" s="335">
        <v>4687</v>
      </c>
      <c r="J100" s="194">
        <f>SUM(E100:I100)/D101</f>
        <v>0.98855496864049885</v>
      </c>
      <c r="K100" s="176">
        <f t="shared" si="16"/>
        <v>18</v>
      </c>
    </row>
    <row r="101" spans="1:15" x14ac:dyDescent="0.2">
      <c r="B101" s="176" t="s">
        <v>1353</v>
      </c>
      <c r="D101" s="336">
        <v>21064.584834000001</v>
      </c>
      <c r="E101" s="336"/>
      <c r="F101" s="336"/>
      <c r="G101" s="336"/>
      <c r="H101" s="336"/>
      <c r="I101" s="336"/>
      <c r="J101" s="195"/>
      <c r="K101" s="176" t="str">
        <f t="shared" si="16"/>
        <v/>
      </c>
    </row>
    <row r="103" spans="1:15" x14ac:dyDescent="0.2">
      <c r="B103" s="176" t="s">
        <v>1529</v>
      </c>
      <c r="D103" s="186"/>
      <c r="J103" s="196">
        <f>SUM(E100:I100)</f>
        <v>20823.5</v>
      </c>
    </row>
    <row r="104" spans="1:15" x14ac:dyDescent="0.2">
      <c r="B104" s="176" t="s">
        <v>1354</v>
      </c>
      <c r="J104" s="196">
        <f>AVERAGE(E100:I100)</f>
        <v>4164.7</v>
      </c>
    </row>
    <row r="105" spans="1:15" x14ac:dyDescent="0.2">
      <c r="B105" s="176" t="s">
        <v>1355</v>
      </c>
      <c r="J105" s="197">
        <f>MEDIAN(J14:J95)</f>
        <v>0.49778903903903904</v>
      </c>
    </row>
    <row r="106" spans="1:15" x14ac:dyDescent="0.2">
      <c r="B106" s="176" t="s">
        <v>1356</v>
      </c>
      <c r="J106" s="198">
        <f>J100/J105</f>
        <v>1.9858913939705523</v>
      </c>
    </row>
    <row r="107" spans="1:15" x14ac:dyDescent="0.2">
      <c r="J107" s="198"/>
    </row>
    <row r="108" spans="1:15" x14ac:dyDescent="0.2">
      <c r="A108" s="182" t="s">
        <v>88</v>
      </c>
      <c r="B108" s="182"/>
    </row>
    <row r="109" spans="1:15" x14ac:dyDescent="0.2">
      <c r="A109" s="176" t="s">
        <v>1530</v>
      </c>
    </row>
    <row r="110" spans="1:15" x14ac:dyDescent="0.2">
      <c r="A110" s="176" t="s">
        <v>1357</v>
      </c>
    </row>
    <row r="111" spans="1:15" x14ac:dyDescent="0.2">
      <c r="A111" s="176" t="s">
        <v>1358</v>
      </c>
    </row>
    <row r="112" spans="1:15" x14ac:dyDescent="0.2">
      <c r="A112" s="176" t="s">
        <v>1359</v>
      </c>
      <c r="B112" s="63"/>
    </row>
  </sheetData>
  <mergeCells count="2">
    <mergeCell ref="A2:J2"/>
    <mergeCell ref="A3:J3"/>
  </mergeCells>
  <printOptions horizontalCentered="1"/>
  <pageMargins left="0.7" right="0.7" top="1.25" bottom="0.75" header="0.3" footer="0.3"/>
  <pageSetup scale="58" fitToHeight="0" orientation="portrait" useFirstPageNumber="1" r:id="rId1"/>
  <headerFooter>
    <oddHeader>&amp;LREFILED April 19, 2023</oddHeader>
  </headerFooter>
  <rowBreaks count="1" manualBreakCount="1">
    <brk id="60"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741CC27-B463-4BCA-B5CF-C06A9B2A9968}"/>
</file>

<file path=customXml/itemProps2.xml><?xml version="1.0" encoding="utf-8"?>
<ds:datastoreItem xmlns:ds="http://schemas.openxmlformats.org/officeDocument/2006/customXml" ds:itemID="{FF7DD35B-1EEE-457A-AE75-6CE7EF64DB6F}">
  <ds:schemaRefs>
    <ds:schemaRef ds:uri="http://schemas.microsoft.com/sharepoint/v3/contenttype/forms"/>
  </ds:schemaRefs>
</ds:datastoreItem>
</file>

<file path=customXml/itemProps3.xml><?xml version="1.0" encoding="utf-8"?>
<ds:datastoreItem xmlns:ds="http://schemas.openxmlformats.org/officeDocument/2006/customXml" ds:itemID="{7FAA222A-8780-40D3-8271-453D6E49A8B4}">
  <ds:schemaRefs>
    <ds:schemaRef ds:uri="http://purl.org/dc/dcmitype/"/>
    <ds:schemaRef ds:uri="e7dde0d2-8c6c-490b-946e-18dafc1970d9"/>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d20c5dee-25dc-455a-aba9-b3b8034987f4"/>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0A27D1C5-94A4-4B99-929B-94911FBB2E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Exh. No AEB-4 Summary</vt:lpstr>
      <vt:lpstr>Exh. No. AEB-5 Proxy Selection</vt:lpstr>
      <vt:lpstr>Exh. No. AEB-6 CGDCF</vt:lpstr>
      <vt:lpstr>Exh. No. AEB-7 CAPM</vt:lpstr>
      <vt:lpstr>Exh. No. AEB-8 LT Beta</vt:lpstr>
      <vt:lpstr>Exh. No. AEB-9 Market Return</vt:lpstr>
      <vt:lpstr>Exh. No. AEB-10 Risk Premium</vt:lpstr>
      <vt:lpstr>Exh. No AEB-11 Expected Earning</vt:lpstr>
      <vt:lpstr>Exh. No AEB-12 CapEx 1</vt:lpstr>
      <vt:lpstr>Exh. No AEB-12 CapEx 2</vt:lpstr>
      <vt:lpstr>Exh. No. AEB-13 Reg Risk</vt:lpstr>
      <vt:lpstr>Exh. No. AEB-14 CapStruct</vt:lpstr>
      <vt:lpstr>'Exh. No AEB-11 Expected Earning'!Print_Area</vt:lpstr>
      <vt:lpstr>'Exh. No AEB-12 CapEx 1'!Print_Area</vt:lpstr>
      <vt:lpstr>'Exh. No AEB-12 CapEx 2'!Print_Area</vt:lpstr>
      <vt:lpstr>'Exh. No AEB-4 Summary'!Print_Area</vt:lpstr>
      <vt:lpstr>'Exh. No. AEB-10 Risk Premium'!Print_Area</vt:lpstr>
      <vt:lpstr>'Exh. No. AEB-13 Reg Risk'!Print_Area</vt:lpstr>
      <vt:lpstr>'Exh. No. AEB-5 Proxy Selection'!Print_Area</vt:lpstr>
      <vt:lpstr>'Exh. No. AEB-6 CGDCF'!Print_Area</vt:lpstr>
      <vt:lpstr>'Exh. No. AEB-7 CAPM'!Print_Area</vt:lpstr>
      <vt:lpstr>'Exh. No. AEB-9 Market Return'!Print_Area</vt:lpstr>
      <vt:lpstr>'Exh. No AEB-12 CapEx 1'!Print_Titles</vt:lpstr>
      <vt:lpstr>'Exh. No. AEB-13 Reg Risk'!Print_Titles</vt:lpstr>
      <vt:lpstr>'Exh. No. AEB-9 Market Return'!Print_Titles</vt:lpstr>
    </vt:vector>
  </TitlesOfParts>
  <Company>The Brattle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 Chris</dc:creator>
  <cp:lastModifiedBy>Son, Ariel (PacifiCorp)</cp:lastModifiedBy>
  <cp:lastPrinted>2023-03-13T22:19:04Z</cp:lastPrinted>
  <dcterms:created xsi:type="dcterms:W3CDTF">2023-01-09T15:57:29Z</dcterms:created>
  <dcterms:modified xsi:type="dcterms:W3CDTF">2023-04-19T06:22:46Z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{3155D51E-2321-4BAE-BB90-F357296310A5}</vt:lpwstr>
  </property>
  <property fmtid="{D5CDD505-2E9C-101B-9397-08002B2CF9AE}" pid="3" name="ContentTypeId">
    <vt:lpwstr>0x0101006E56B4D1795A2E4DB2F0B01679ED314A008D109B381DF0A9479BB07F4F14374B16</vt:lpwstr>
  </property>
  <property fmtid="{D5CDD505-2E9C-101B-9397-08002B2CF9AE}" pid="4" name="MediaServiceImageTags">
    <vt:lpwstr/>
  </property>
  <property fmtid="{D5CDD505-2E9C-101B-9397-08002B2CF9AE}" pid="5" name="_docset_NoMedatataSyncRequired">
    <vt:lpwstr>False</vt:lpwstr>
  </property>
</Properties>
</file>