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Adjustments\3.04-3.06 Labor and Benefits\"/>
    </mc:Choice>
  </mc:AlternateContent>
  <bookViews>
    <workbookView minimized="1" xWindow="28680" yWindow="-195" windowWidth="29040" windowHeight="15840" tabRatio="812"/>
    <workbookView xWindow="-120" yWindow="-120" windowWidth="29040" windowHeight="15840"/>
  </bookViews>
  <sheets>
    <sheet name="WA GRC BEN-01" sheetId="51" r:id="rId1"/>
    <sheet name="BEN-02 (Data)" sheetId="50" r:id="rId2"/>
    <sheet name="BEN-03 (% Util-Non-Util)" sheetId="45" r:id="rId3"/>
    <sheet name="Pro-Forma Increases" sheetId="52" r:id="rId4"/>
    <sheet name="table" sheetId="53" r:id="rId5"/>
    <sheet name="for Testimony" sheetId="49" state="hidden" r:id="rId6"/>
  </sheets>
  <externalReferences>
    <externalReference r:id="rId7"/>
    <externalReference r:id="rId8"/>
  </externalReferences>
  <definedNames>
    <definedName name="Allocators" localSheetId="0">#REF!</definedName>
    <definedName name="Allocators">#REF!</definedName>
    <definedName name="C_AAM_Titles" localSheetId="0">#REF!,#REF!</definedName>
    <definedName name="C_AAM_Titles">#REF!,#REF!</definedName>
    <definedName name="C_ADP_Titles" localSheetId="0">#REF!,#REF!</definedName>
    <definedName name="C_ADP_Titles">#REF!,#REF!</definedName>
    <definedName name="C_DTX_Titles" localSheetId="0">#REF!,#REF!</definedName>
    <definedName name="C_DTX_Titles">#REF!,#REF!</definedName>
    <definedName name="C_GPL_Titles" localSheetId="0">#REF!,#REF!</definedName>
    <definedName name="C_GPL_Titles">#REF!,#REF!</definedName>
    <definedName name="C_IPL_Titles" localSheetId="0">#REF!,#REF!</definedName>
    <definedName name="C_IPL_Titles">#REF!,#REF!</definedName>
    <definedName name="E_903" localSheetId="0">#REF!</definedName>
    <definedName name="E_903">#REF!</definedName>
    <definedName name="E_903_Area" localSheetId="0">#REF!</definedName>
    <definedName name="E_903_Area">#REF!</definedName>
    <definedName name="E_903_Titles" localSheetId="0">#REF!,#REF!</definedName>
    <definedName name="E_903_Titles">#REF!,#REF!</definedName>
    <definedName name="E_908_Titles" localSheetId="0">#REF!,#REF!</definedName>
    <definedName name="E_908_Titles">#REF!,#REF!</definedName>
    <definedName name="E_928_Titles" localSheetId="0">#REF!,#REF!</definedName>
    <definedName name="E_928_Titles">#REF!,#REF!</definedName>
    <definedName name="E_ADP_Titles" localSheetId="0">#REF!,#REF!</definedName>
    <definedName name="E_ADP_Titles">#REF!,#REF!</definedName>
    <definedName name="E_ALL" localSheetId="0">#REF!</definedName>
    <definedName name="E_ALL">#REF!</definedName>
    <definedName name="E_ALL_Area" localSheetId="0">#REF!</definedName>
    <definedName name="E_ALL_Area">#REF!</definedName>
    <definedName name="E_ALL_Titles" localSheetId="0">#REF!,#REF!</definedName>
    <definedName name="E_ALL_Titles">#REF!,#REF!</definedName>
    <definedName name="E_APL_Titles" localSheetId="0">#REF!,#REF!</definedName>
    <definedName name="E_APL_Titles">#REF!,#REF!</definedName>
    <definedName name="E_CAM_Titles" localSheetId="0">#REF!,#REF!</definedName>
    <definedName name="E_CAM_Titles">#REF!,#REF!</definedName>
    <definedName name="E_DTE_Titles" localSheetId="0">#REF!,#REF!</definedName>
    <definedName name="E_DTE_Titles">#REF!,#REF!</definedName>
    <definedName name="E_FIT_Titles" localSheetId="0">#REF!,#REF!</definedName>
    <definedName name="E_FIT_Titles">#REF!,#REF!</definedName>
    <definedName name="E_OPS_Titles" localSheetId="0">#REF!,#REF!</definedName>
    <definedName name="E_OPS_Titles">#REF!,#REF!</definedName>
    <definedName name="E_OTX_Titles" localSheetId="0">#REF!,#REF!</definedName>
    <definedName name="E_OTX_Titles">#REF!,#REF!</definedName>
    <definedName name="E_PLT_Titles" localSheetId="0">#REF!,#REF!</definedName>
    <definedName name="E_PLT_Titles">#REF!,#REF!</definedName>
    <definedName name="E_ROR_Titles" localSheetId="0">#REF!,#REF!</definedName>
    <definedName name="E_ROR_Titles">#REF!,#REF!</definedName>
    <definedName name="E_SCM_Titles" localSheetId="0">#REF!,#REF!</definedName>
    <definedName name="E_SCM_Titles">#REF!,#REF!</definedName>
    <definedName name="e_State_9473" localSheetId="0">#REF!</definedName>
    <definedName name="e_State_9473">#REF!</definedName>
    <definedName name="months">[1]Data!$H$2</definedName>
    <definedName name="_xlnm.Print_Area" localSheetId="2">'BEN-03 (% Util-Non-Util)'!$A$1:$G$12</definedName>
    <definedName name="_xlnm.Print_Area" localSheetId="3">'Pro-Forma Increases'!$A$1:$E$34</definedName>
    <definedName name="_xlnm.Print_Area" localSheetId="0">'WA GRC BEN-01'!$A$1:$M$50</definedName>
    <definedName name="rbcalc">[1]Data!$H$3</definedName>
    <definedName name="rbcalc_heading">[1]Data!$H$5</definedName>
    <definedName name="Recover" localSheetId="3">[2]Macro1!$A$69</definedName>
    <definedName name="Recover">[2]Macro1!$A$69</definedName>
    <definedName name="TableName">"Dummy"</definedName>
    <definedName name="tp_heading">[1]Data!$H$4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53" l="1"/>
  <c r="I8" i="53"/>
  <c r="J7" i="53"/>
  <c r="I7" i="53"/>
  <c r="H9" i="53"/>
  <c r="H8" i="53"/>
  <c r="H7" i="53"/>
  <c r="G9" i="53"/>
  <c r="J9" i="53" l="1"/>
  <c r="I9" i="53"/>
  <c r="K27" i="51"/>
  <c r="K28" i="51"/>
  <c r="K24" i="51"/>
  <c r="F39" i="51"/>
  <c r="E19" i="52"/>
  <c r="E15" i="50" l="1"/>
  <c r="E14" i="50"/>
  <c r="E28" i="51" l="1"/>
  <c r="E22" i="51"/>
  <c r="E23" i="51"/>
  <c r="E21" i="51"/>
  <c r="E27" i="51"/>
  <c r="E26" i="51"/>
  <c r="D35" i="52"/>
  <c r="E33" i="52" s="1"/>
  <c r="C34" i="52"/>
  <c r="D28" i="52"/>
  <c r="L27" i="52"/>
  <c r="D27" i="52"/>
  <c r="C27" i="52"/>
  <c r="L26" i="52"/>
  <c r="D19" i="52"/>
  <c r="C19" i="52"/>
  <c r="D12" i="52"/>
  <c r="D13" i="52" s="1"/>
  <c r="C12" i="52"/>
  <c r="D27" i="51" l="1"/>
  <c r="D26" i="51"/>
  <c r="D22" i="51"/>
  <c r="D21" i="51"/>
  <c r="F26" i="51" l="1"/>
  <c r="F27" i="51"/>
  <c r="F22" i="51"/>
  <c r="E29" i="51"/>
  <c r="D16" i="50" l="1"/>
  <c r="D28" i="51" s="1"/>
  <c r="D13" i="50"/>
  <c r="F28" i="51" l="1"/>
  <c r="D29" i="51"/>
  <c r="D23" i="51"/>
  <c r="D17" i="50"/>
  <c r="E17" i="50"/>
  <c r="L13" i="50"/>
  <c r="F23" i="51" l="1"/>
  <c r="D24" i="51"/>
  <c r="D31" i="51" s="1"/>
  <c r="F21" i="51"/>
  <c r="E24" i="51"/>
  <c r="F29" i="51"/>
  <c r="F24" i="51" l="1"/>
  <c r="E31" i="51"/>
  <c r="K13" i="50"/>
  <c r="F31" i="51" l="1"/>
  <c r="J13" i="50"/>
  <c r="D16" i="49" l="1"/>
  <c r="D17" i="49"/>
  <c r="D15" i="49"/>
  <c r="C18" i="49"/>
  <c r="J2" i="49" s="1"/>
  <c r="D3" i="49"/>
  <c r="C2" i="49"/>
  <c r="C4" i="49" s="1"/>
  <c r="J3" i="49" s="1"/>
  <c r="J4" i="49" l="1"/>
  <c r="D2" i="49"/>
  <c r="D4" i="49" s="1"/>
  <c r="J8" i="49" s="1"/>
  <c r="J14" i="49" s="1"/>
  <c r="J20" i="49" s="1"/>
  <c r="D18" i="49"/>
  <c r="E18" i="49" l="1"/>
  <c r="J7" i="49"/>
  <c r="E4" i="49"/>
  <c r="J13" i="49" l="1"/>
  <c r="J9" i="49"/>
  <c r="J19" i="49" l="1"/>
  <c r="J21" i="49" s="1"/>
  <c r="J15" i="49"/>
  <c r="C5" i="49"/>
  <c r="C19" i="49" l="1"/>
  <c r="C6" i="49"/>
  <c r="K3" i="49" l="1"/>
  <c r="D19" i="49"/>
  <c r="D20" i="49" s="1"/>
  <c r="C20" i="49"/>
  <c r="E20" i="49" l="1"/>
  <c r="K2" i="49"/>
  <c r="K4" i="49" s="1"/>
  <c r="K7" i="49"/>
  <c r="K13" i="49" l="1"/>
  <c r="K19" i="49" l="1"/>
  <c r="D5" i="49" l="1"/>
  <c r="D6" i="49" s="1"/>
  <c r="C10" i="49" l="1"/>
  <c r="M3" i="49" s="1"/>
  <c r="D24" i="49"/>
  <c r="C24" i="49"/>
  <c r="M2" i="49" s="1"/>
  <c r="M4" i="49" s="1"/>
  <c r="C8" i="49"/>
  <c r="L3" i="49" s="1"/>
  <c r="D22" i="49"/>
  <c r="C22" i="49"/>
  <c r="L2" i="49" s="1"/>
  <c r="L4" i="49" s="1"/>
  <c r="K8" i="49"/>
  <c r="D8" i="49"/>
  <c r="E6" i="49"/>
  <c r="D10" i="49"/>
  <c r="L7" i="49" l="1"/>
  <c r="L13" i="49" s="1"/>
  <c r="L19" i="49" s="1"/>
  <c r="E22" i="49"/>
  <c r="M7" i="49"/>
  <c r="M13" i="49" s="1"/>
  <c r="M19" i="49" s="1"/>
  <c r="E24" i="49"/>
  <c r="L8" i="49"/>
  <c r="E8" i="49"/>
  <c r="K14" i="49"/>
  <c r="K9" i="49"/>
  <c r="E10" i="49"/>
  <c r="M8" i="49"/>
  <c r="E29" i="49" l="1"/>
  <c r="E30" i="49"/>
  <c r="K20" i="49"/>
  <c r="K21" i="49" s="1"/>
  <c r="K15" i="49"/>
  <c r="M14" i="49"/>
  <c r="M9" i="49"/>
  <c r="L14" i="49"/>
  <c r="L9" i="49"/>
  <c r="D8" i="45"/>
  <c r="E8" i="45"/>
  <c r="F8" i="45"/>
  <c r="C8" i="45"/>
  <c r="G7" i="45"/>
  <c r="G8" i="45" s="1"/>
  <c r="M20" i="49" l="1"/>
  <c r="M21" i="49" s="1"/>
  <c r="M15" i="49"/>
  <c r="L20" i="49"/>
  <c r="L21" i="49" s="1"/>
  <c r="L15" i="49"/>
  <c r="G9" i="45"/>
  <c r="D9" i="45"/>
  <c r="E9" i="45"/>
  <c r="D32" i="51" s="1"/>
  <c r="F9" i="45"/>
  <c r="C9" i="45"/>
  <c r="E32" i="51" l="1"/>
  <c r="D33" i="51"/>
  <c r="F32" i="51" l="1"/>
  <c r="F33" i="51" s="1"/>
  <c r="E33" i="51"/>
  <c r="F43" i="51" l="1"/>
  <c r="M37" i="51" l="1"/>
  <c r="M34" i="51"/>
  <c r="M36" i="51"/>
  <c r="M38" i="51"/>
  <c r="M35" i="51"/>
  <c r="M45" i="51"/>
  <c r="M43" i="51"/>
  <c r="M47" i="51"/>
  <c r="M46" i="51"/>
  <c r="M48" i="51"/>
  <c r="M44" i="51"/>
  <c r="M49" i="51" l="1"/>
  <c r="M39" i="51"/>
</calcChain>
</file>

<file path=xl/sharedStrings.xml><?xml version="1.0" encoding="utf-8"?>
<sst xmlns="http://schemas.openxmlformats.org/spreadsheetml/2006/main" count="202" uniqueCount="127">
  <si>
    <t>Total</t>
  </si>
  <si>
    <t>Adjustment</t>
  </si>
  <si>
    <t>510 Payroll Benefits loading</t>
  </si>
  <si>
    <t>Expenditure Type</t>
  </si>
  <si>
    <t>Medical</t>
  </si>
  <si>
    <t>Accounting Period:&lt;All&gt;</t>
  </si>
  <si>
    <t>Transaction Amount</t>
  </si>
  <si>
    <t>CAP</t>
  </si>
  <si>
    <t>NONOP</t>
  </si>
  <si>
    <t>OPER</t>
  </si>
  <si>
    <t>OTHER</t>
  </si>
  <si>
    <t>Desc</t>
  </si>
  <si>
    <t>Projects</t>
  </si>
  <si>
    <t>Percent</t>
  </si>
  <si>
    <t>Year End</t>
  </si>
  <si>
    <t>Task Number</t>
  </si>
  <si>
    <t>Task Name</t>
  </si>
  <si>
    <t>926220</t>
  </si>
  <si>
    <t>926225</t>
  </si>
  <si>
    <t>401 (k)</t>
  </si>
  <si>
    <t>926226</t>
  </si>
  <si>
    <t>401(K) Non-Elect Con</t>
  </si>
  <si>
    <t>926230</t>
  </si>
  <si>
    <t>Pension FAS 87</t>
  </si>
  <si>
    <t>926240</t>
  </si>
  <si>
    <t xml:space="preserve">FAS 106 (Post-Retirement Medical) </t>
  </si>
  <si>
    <t>Pro-Forma</t>
  </si>
  <si>
    <t>Total Medical</t>
  </si>
  <si>
    <t>Total Retirement</t>
  </si>
  <si>
    <t>Health Insurance (Premera and Group Health)</t>
  </si>
  <si>
    <t>O &amp; M Percent</t>
  </si>
  <si>
    <t>Total O&amp;M</t>
  </si>
  <si>
    <t>O&amp;M</t>
  </si>
  <si>
    <t>WA - E</t>
  </si>
  <si>
    <t>WA - G</t>
  </si>
  <si>
    <t>Change</t>
  </si>
  <si>
    <t>Retirement</t>
  </si>
  <si>
    <t>System</t>
  </si>
  <si>
    <t>Washington - Elec</t>
  </si>
  <si>
    <t>Washington - Gas</t>
  </si>
  <si>
    <t>Health Insurance (High Deductible Plan)</t>
  </si>
  <si>
    <t>Benefits Adjustment</t>
  </si>
  <si>
    <t>Base Year Benefits Expense</t>
  </si>
  <si>
    <t>Cognos Query</t>
  </si>
  <si>
    <t>Ran: 02.04.19</t>
  </si>
  <si>
    <t>Summary EXP Category</t>
  </si>
  <si>
    <t>Non-Labor</t>
  </si>
  <si>
    <t>Sum of Transaction Amount</t>
  </si>
  <si>
    <t>Health Insurance</t>
  </si>
  <si>
    <t>926221</t>
  </si>
  <si>
    <t>Health Insure - HDHP</t>
  </si>
  <si>
    <t>Grand Total</t>
  </si>
  <si>
    <t>Pension FAS 87/Pension FAS 81 NS</t>
  </si>
  <si>
    <t>Avista Utilities</t>
  </si>
  <si>
    <t>Source:</t>
  </si>
  <si>
    <t xml:space="preserve">FAS 106/FAS 106 NS (Post-Retirement Medical) </t>
  </si>
  <si>
    <t>Actual</t>
  </si>
  <si>
    <t>Oregon Only</t>
  </si>
  <si>
    <t>Accounting Period: 01.01.2019 through 12.31.2019</t>
  </si>
  <si>
    <t>FAS 106/FAS 106 NS</t>
  </si>
  <si>
    <t>Pension FAS 87/FAS 87 NS</t>
  </si>
  <si>
    <t xml:space="preserve">TABLE NO. 4 </t>
  </si>
  <si>
    <t>Accounting Period BETWEEN '201901' AND '201912', , Expenditure Type Parameter 1 : '510 Payroll Benefits loading'</t>
  </si>
  <si>
    <t>Allocation</t>
  </si>
  <si>
    <t>YE 12.31.2019</t>
  </si>
  <si>
    <r>
      <t xml:space="preserve">Allocated toWashington </t>
    </r>
    <r>
      <rPr>
        <b/>
        <u/>
        <sz val="11"/>
        <rFont val="Calibri"/>
        <family val="2"/>
        <scheme val="minor"/>
      </rPr>
      <t>Electric</t>
    </r>
  </si>
  <si>
    <t>Note 7</t>
  </si>
  <si>
    <t>Note 4</t>
  </si>
  <si>
    <r>
      <t xml:space="preserve">Allocated to Washington </t>
    </r>
    <r>
      <rPr>
        <b/>
        <u/>
        <sz val="11"/>
        <rFont val="Calibri"/>
        <family val="2"/>
        <scheme val="minor"/>
      </rPr>
      <t>Gas</t>
    </r>
  </si>
  <si>
    <t>State of Washington</t>
  </si>
  <si>
    <t>Electric</t>
  </si>
  <si>
    <t>Production</t>
  </si>
  <si>
    <t>Underground Storage</t>
  </si>
  <si>
    <t>Distribution</t>
  </si>
  <si>
    <t>Customer Accounts</t>
  </si>
  <si>
    <t>Customer Service</t>
  </si>
  <si>
    <t>Admin and General</t>
  </si>
  <si>
    <t>Natural Gas</t>
  </si>
  <si>
    <t>Transmission &amp; Production</t>
  </si>
  <si>
    <t xml:space="preserve">Distribution </t>
  </si>
  <si>
    <t xml:space="preserve">Customer Service </t>
  </si>
  <si>
    <t>By Function</t>
  </si>
  <si>
    <t>AVISTA UTILITIES</t>
  </si>
  <si>
    <t>Percentage Increase Adjustments</t>
  </si>
  <si>
    <r>
      <t xml:space="preserve">NOTE:  Thes 2020 increase is based on </t>
    </r>
    <r>
      <rPr>
        <u/>
        <sz val="10"/>
        <color indexed="12"/>
        <rFont val="Times New Roman"/>
        <family val="1"/>
      </rPr>
      <t>actual</t>
    </r>
    <r>
      <rPr>
        <sz val="10"/>
        <color indexed="12"/>
        <rFont val="Times New Roman"/>
        <family val="1"/>
      </rPr>
      <t xml:space="preserve"> increased approved and in effect.  </t>
    </r>
  </si>
  <si>
    <t>The 2021 increase will be approved by the Board of Directors in November of 2020.</t>
  </si>
  <si>
    <t>The Company will update the adjustment to reflect the approved amount at that time.</t>
  </si>
  <si>
    <t>UNION</t>
  </si>
  <si>
    <t>Notes (not in print area for final adjustment)</t>
  </si>
  <si>
    <t>March 26, 2019 increase</t>
  </si>
  <si>
    <t>Factor to adjust Jan 1 2019 - March 26, 2019</t>
  </si>
  <si>
    <t>Adjustment % to annualize Increase</t>
  </si>
  <si>
    <t>Reflects the three months of the 2019 which will be reflected in 2020.</t>
  </si>
  <si>
    <t>2020 Adjustment</t>
  </si>
  <si>
    <t>Annual March 2020 - Feb 2021</t>
  </si>
  <si>
    <t>March 26, 2021 increase</t>
  </si>
  <si>
    <t>March 2021 - Feb 2022</t>
  </si>
  <si>
    <t>Factor to adjust March 26, 2022-September 30, 2022</t>
  </si>
  <si>
    <t xml:space="preserve">March </t>
  </si>
  <si>
    <t>Adjustment % partial year 2022</t>
  </si>
  <si>
    <t>March 2022 - Oct 2022</t>
  </si>
  <si>
    <t>April</t>
  </si>
  <si>
    <t>May</t>
  </si>
  <si>
    <t>June</t>
  </si>
  <si>
    <t xml:space="preserve">ADMIN </t>
  </si>
  <si>
    <t>July</t>
  </si>
  <si>
    <t>August</t>
  </si>
  <si>
    <t>March 5, 2019 increase</t>
  </si>
  <si>
    <t>September</t>
  </si>
  <si>
    <t>Factor to adjust Jan 1 2019 - March 5, 2019</t>
  </si>
  <si>
    <t>in effect</t>
  </si>
  <si>
    <t>March 1, 2021 increase</t>
  </si>
  <si>
    <t>Factor to adjust March 1, 2022-September 30, 2022</t>
  </si>
  <si>
    <t>Adjustment % for partial year 2022</t>
  </si>
  <si>
    <t>(too far out from test year)</t>
  </si>
  <si>
    <t>Rate Period</t>
  </si>
  <si>
    <t>(BEN-01)</t>
  </si>
  <si>
    <t>BEN-01</t>
  </si>
  <si>
    <t>BEN-02</t>
  </si>
  <si>
    <t>BEN-03</t>
  </si>
  <si>
    <t>Pro-Forma 2022*</t>
  </si>
  <si>
    <t>Updated 03.19.20*</t>
  </si>
  <si>
    <t>*Amounts will be updated during process of case with updated information from Meridian Partners for Health Insurance and Willis Towers Watson for Post-Retirement Medical and 401(K).</t>
  </si>
  <si>
    <t>LMA</t>
  </si>
  <si>
    <t>Benefit Adjustment</t>
  </si>
  <si>
    <t>WA Electric</t>
  </si>
  <si>
    <t>WA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</si>
</sst>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#,###,###"/>
    <numFmt numFmtId="166" formatCode="###,###,##0"/>
    <numFmt numFmtId="167" formatCode="_(&quot;$&quot;* #,##0.0_);_(&quot;$&quot;* \(#,##0.0\);_(&quot;$&quot;* &quot;-&quot;??_);_(@_)"/>
    <numFmt numFmtId="168" formatCode="0.00000%"/>
    <numFmt numFmtId="169" formatCode="0.00000"/>
    <numFmt numFmtId="170" formatCode="0.000%"/>
    <numFmt numFmtId="171" formatCode="0.0000"/>
    <numFmt numFmtId="172" formatCode="_(* #,##0_);_(* \(#,##0\);_(* &quot;-&quot;??_);_(@_)"/>
  </numFmts>
  <fonts count="44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1"/>
      <name val="Times New Roman"/>
      <family val="1"/>
    </font>
    <font>
      <sz val="10"/>
      <name val="NewCenturySchlbk"/>
    </font>
    <font>
      <sz val="10"/>
      <name val="NewCenturySchlbk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name val="Times New Roman"/>
      <family val="1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10"/>
      <name val="Tms Rmn"/>
    </font>
    <font>
      <sz val="10"/>
      <name val="Geneva"/>
    </font>
    <font>
      <sz val="10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sz val="10"/>
      <color theme="1"/>
      <name val="Tahoma"/>
      <family val="2"/>
    </font>
    <font>
      <u/>
      <sz val="10"/>
      <name val="Times New Roman"/>
      <family val="1"/>
    </font>
    <font>
      <sz val="10"/>
      <color indexed="14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Times New Roman"/>
      <family val="1"/>
    </font>
    <font>
      <i/>
      <sz val="9"/>
      <name val="Calibri"/>
      <family val="2"/>
      <scheme val="minor"/>
    </font>
    <font>
      <sz val="10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1" fillId="0" borderId="0"/>
    <xf numFmtId="9" fontId="2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5" fillId="0" borderId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67">
    <xf numFmtId="0" fontId="0" fillId="0" borderId="0" xfId="0"/>
    <xf numFmtId="0" fontId="9" fillId="0" borderId="0" xfId="0" applyFont="1"/>
    <xf numFmtId="0" fontId="9" fillId="0" borderId="0" xfId="0" applyFont="1" applyFill="1"/>
    <xf numFmtId="0" fontId="4" fillId="0" borderId="0" xfId="6"/>
    <xf numFmtId="0" fontId="13" fillId="0" borderId="3" xfId="6" applyFont="1" applyFill="1" applyBorder="1" applyAlignment="1">
      <alignment horizontal="left" vertical="top" wrapText="1"/>
    </xf>
    <xf numFmtId="0" fontId="13" fillId="0" borderId="3" xfId="6" applyFont="1" applyFill="1" applyBorder="1" applyAlignment="1">
      <alignment horizontal="left" vertical="top"/>
    </xf>
    <xf numFmtId="0" fontId="13" fillId="0" borderId="4" xfId="6" applyFont="1" applyFill="1" applyBorder="1" applyAlignment="1">
      <alignment horizontal="right" vertical="top"/>
    </xf>
    <xf numFmtId="0" fontId="13" fillId="0" borderId="8" xfId="6" applyFont="1" applyFill="1" applyBorder="1" applyAlignment="1">
      <alignment horizontal="right" vertical="top"/>
    </xf>
    <xf numFmtId="165" fontId="13" fillId="0" borderId="3" xfId="6" applyNumberFormat="1" applyFont="1" applyFill="1" applyBorder="1" applyAlignment="1">
      <alignment horizontal="right" vertical="top"/>
    </xf>
    <xf numFmtId="0" fontId="4" fillId="0" borderId="2" xfId="6" applyBorder="1"/>
    <xf numFmtId="0" fontId="12" fillId="0" borderId="2" xfId="6" applyFont="1" applyFill="1" applyBorder="1"/>
    <xf numFmtId="0" fontId="15" fillId="0" borderId="3" xfId="6" applyFont="1" applyFill="1" applyBorder="1" applyAlignment="1">
      <alignment horizontal="center" vertical="center"/>
    </xf>
    <xf numFmtId="0" fontId="15" fillId="0" borderId="3" xfId="6" applyFont="1" applyFill="1" applyBorder="1" applyAlignment="1">
      <alignment horizontal="center" vertical="top"/>
    </xf>
    <xf numFmtId="0" fontId="15" fillId="0" borderId="3" xfId="6" applyFont="1" applyFill="1" applyBorder="1" applyAlignment="1">
      <alignment horizontal="left" vertical="top"/>
    </xf>
    <xf numFmtId="0" fontId="13" fillId="2" borderId="4" xfId="6" applyFont="1" applyFill="1" applyBorder="1" applyAlignment="1">
      <alignment horizontal="center" vertical="top"/>
    </xf>
    <xf numFmtId="0" fontId="13" fillId="2" borderId="8" xfId="6" applyFont="1" applyFill="1" applyBorder="1" applyAlignment="1">
      <alignment horizontal="center" vertical="top"/>
    </xf>
    <xf numFmtId="165" fontId="13" fillId="2" borderId="6" xfId="6" applyNumberFormat="1" applyFont="1" applyFill="1" applyBorder="1" applyAlignment="1">
      <alignment horizontal="right" vertical="top"/>
    </xf>
    <xf numFmtId="10" fontId="12" fillId="0" borderId="2" xfId="11" applyNumberFormat="1" applyFont="1" applyFill="1" applyBorder="1"/>
    <xf numFmtId="10" fontId="12" fillId="0" borderId="12" xfId="11" applyNumberFormat="1" applyFont="1" applyFill="1" applyBorder="1"/>
    <xf numFmtId="10" fontId="12" fillId="0" borderId="13" xfId="11" applyNumberFormat="1" applyFont="1" applyFill="1" applyBorder="1"/>
    <xf numFmtId="0" fontId="12" fillId="0" borderId="0" xfId="0" applyFont="1"/>
    <xf numFmtId="164" fontId="12" fillId="0" borderId="0" xfId="2" applyNumberFormat="1" applyFont="1"/>
    <xf numFmtId="164" fontId="12" fillId="0" borderId="0" xfId="0" applyNumberFormat="1" applyFont="1"/>
    <xf numFmtId="0" fontId="12" fillId="0" borderId="0" xfId="0" applyFont="1" applyBorder="1"/>
    <xf numFmtId="0" fontId="13" fillId="0" borderId="0" xfId="6" applyFont="1" applyFill="1" applyBorder="1" applyAlignment="1">
      <alignment horizontal="right" vertical="top"/>
    </xf>
    <xf numFmtId="0" fontId="13" fillId="0" borderId="0" xfId="6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center" vertical="top"/>
    </xf>
    <xf numFmtId="0" fontId="13" fillId="0" borderId="0" xfId="6" applyFont="1" applyFill="1" applyBorder="1" applyAlignment="1">
      <alignment horizontal="left" vertical="top"/>
    </xf>
    <xf numFmtId="166" fontId="13" fillId="0" borderId="0" xfId="6" applyNumberFormat="1" applyFont="1" applyFill="1" applyBorder="1" applyAlignment="1">
      <alignment horizontal="right" vertical="center"/>
    </xf>
    <xf numFmtId="166" fontId="13" fillId="0" borderId="7" xfId="6" applyNumberFormat="1" applyFont="1" applyFill="1" applyBorder="1" applyAlignment="1">
      <alignment horizontal="right" vertical="center"/>
    </xf>
    <xf numFmtId="0" fontId="15" fillId="0" borderId="0" xfId="6" applyFont="1" applyFill="1" applyBorder="1" applyAlignment="1">
      <alignment horizontal="left" vertical="top"/>
    </xf>
    <xf numFmtId="166" fontId="15" fillId="0" borderId="0" xfId="6" applyNumberFormat="1" applyFont="1" applyFill="1" applyBorder="1" applyAlignment="1">
      <alignment horizontal="right" vertical="center"/>
    </xf>
    <xf numFmtId="10" fontId="12" fillId="0" borderId="7" xfId="0" applyNumberFormat="1" applyFont="1" applyBorder="1"/>
    <xf numFmtId="164" fontId="12" fillId="0" borderId="0" xfId="2" applyNumberFormat="1" applyFont="1" applyBorder="1"/>
    <xf numFmtId="164" fontId="12" fillId="0" borderId="0" xfId="0" applyNumberFormat="1" applyFont="1" applyBorder="1"/>
    <xf numFmtId="44" fontId="12" fillId="0" borderId="0" xfId="0" applyNumberFormat="1" applyFont="1"/>
    <xf numFmtId="166" fontId="12" fillId="0" borderId="0" xfId="0" applyNumberFormat="1" applyFont="1"/>
    <xf numFmtId="167" fontId="12" fillId="0" borderId="0" xfId="0" applyNumberFormat="1" applyFont="1"/>
    <xf numFmtId="0" fontId="12" fillId="0" borderId="0" xfId="0" applyFont="1" applyAlignment="1">
      <alignment horizontal="center"/>
    </xf>
    <xf numFmtId="10" fontId="12" fillId="0" borderId="7" xfId="9" applyNumberFormat="1" applyFont="1" applyBorder="1"/>
    <xf numFmtId="0" fontId="12" fillId="0" borderId="0" xfId="0" applyFont="1" applyAlignment="1">
      <alignment wrapText="1"/>
    </xf>
    <xf numFmtId="166" fontId="12" fillId="0" borderId="7" xfId="0" applyNumberFormat="1" applyFont="1" applyBorder="1"/>
    <xf numFmtId="164" fontId="12" fillId="0" borderId="7" xfId="0" applyNumberFormat="1" applyFont="1" applyBorder="1"/>
    <xf numFmtId="0" fontId="9" fillId="0" borderId="14" xfId="0" applyFont="1" applyBorder="1"/>
    <xf numFmtId="166" fontId="9" fillId="0" borderId="0" xfId="0" applyNumberFormat="1" applyFont="1" applyBorder="1"/>
    <xf numFmtId="166" fontId="9" fillId="0" borderId="15" xfId="0" applyNumberFormat="1" applyFont="1" applyBorder="1"/>
    <xf numFmtId="166" fontId="9" fillId="0" borderId="7" xfId="0" applyNumberFormat="1" applyFont="1" applyBorder="1"/>
    <xf numFmtId="166" fontId="9" fillId="0" borderId="17" xfId="0" applyNumberFormat="1" applyFont="1" applyBorder="1"/>
    <xf numFmtId="166" fontId="16" fillId="0" borderId="0" xfId="0" applyNumberFormat="1" applyFont="1" applyBorder="1"/>
    <xf numFmtId="166" fontId="16" fillId="0" borderId="15" xfId="0" applyNumberFormat="1" applyFont="1" applyBorder="1"/>
    <xf numFmtId="0" fontId="9" fillId="0" borderId="16" xfId="0" applyFont="1" applyBorder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4" fontId="12" fillId="0" borderId="0" xfId="0" applyNumberFormat="1" applyFont="1" applyBorder="1"/>
    <xf numFmtId="0" fontId="14" fillId="0" borderId="0" xfId="0" applyFont="1" applyBorder="1"/>
    <xf numFmtId="0" fontId="18" fillId="0" borderId="0" xfId="0" applyFont="1"/>
    <xf numFmtId="0" fontId="19" fillId="0" borderId="0" xfId="0" applyFont="1"/>
    <xf numFmtId="0" fontId="19" fillId="3" borderId="0" xfId="0" applyFont="1" applyFill="1"/>
    <xf numFmtId="0" fontId="18" fillId="0" borderId="0" xfId="0" applyFont="1" applyAlignment="1">
      <alignment horizontal="center"/>
    </xf>
    <xf numFmtId="0" fontId="19" fillId="0" borderId="19" xfId="0" applyFont="1" applyBorder="1"/>
    <xf numFmtId="0" fontId="19" fillId="0" borderId="20" xfId="0" applyFont="1" applyBorder="1"/>
    <xf numFmtId="0" fontId="18" fillId="3" borderId="0" xfId="0" applyFont="1" applyFill="1" applyAlignment="1">
      <alignment horizontal="center"/>
    </xf>
    <xf numFmtId="164" fontId="19" fillId="3" borderId="0" xfId="2" applyNumberFormat="1" applyFont="1" applyFill="1"/>
    <xf numFmtId="0" fontId="20" fillId="0" borderId="0" xfId="6" applyFont="1" applyFill="1" applyBorder="1" applyAlignment="1">
      <alignment horizontal="center" vertical="top"/>
    </xf>
    <xf numFmtId="0" fontId="15" fillId="0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8" fillId="3" borderId="0" xfId="0" applyFont="1" applyFill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19" xfId="0" applyFont="1" applyBorder="1" applyAlignment="1">
      <alignment horizontal="right"/>
    </xf>
    <xf numFmtId="164" fontId="12" fillId="0" borderId="15" xfId="0" applyNumberFormat="1" applyFont="1" applyBorder="1"/>
    <xf numFmtId="164" fontId="12" fillId="0" borderId="17" xfId="0" applyNumberFormat="1" applyFont="1" applyBorder="1"/>
    <xf numFmtId="0" fontId="14" fillId="0" borderId="21" xfId="0" applyFont="1" applyBorder="1" applyAlignment="1">
      <alignment horizontal="center"/>
    </xf>
    <xf numFmtId="0" fontId="23" fillId="0" borderId="0" xfId="0" applyFont="1"/>
    <xf numFmtId="0" fontId="2" fillId="0" borderId="0" xfId="0" applyFont="1"/>
    <xf numFmtId="0" fontId="2" fillId="0" borderId="20" xfId="0" applyFont="1" applyBorder="1"/>
    <xf numFmtId="164" fontId="19" fillId="0" borderId="19" xfId="2" applyNumberFormat="1" applyFont="1" applyFill="1" applyBorder="1"/>
    <xf numFmtId="164" fontId="19" fillId="0" borderId="20" xfId="2" applyNumberFormat="1" applyFont="1" applyFill="1" applyBorder="1"/>
    <xf numFmtId="0" fontId="18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164" fontId="2" fillId="0" borderId="20" xfId="2" applyNumberFormat="1" applyFont="1" applyFill="1" applyBorder="1"/>
    <xf numFmtId="164" fontId="19" fillId="0" borderId="0" xfId="2" applyNumberFormat="1" applyFont="1" applyFill="1" applyBorder="1"/>
    <xf numFmtId="168" fontId="12" fillId="0" borderId="0" xfId="0" applyNumberFormat="1" applyFont="1" applyBorder="1"/>
    <xf numFmtId="164" fontId="12" fillId="0" borderId="0" xfId="0" applyNumberFormat="1" applyFont="1" applyFill="1"/>
    <xf numFmtId="0" fontId="12" fillId="0" borderId="0" xfId="0" applyFont="1" applyFill="1"/>
    <xf numFmtId="164" fontId="12" fillId="0" borderId="0" xfId="0" applyNumberFormat="1" applyFont="1" applyFill="1" applyAlignment="1">
      <alignment horizontal="left" wrapText="1"/>
    </xf>
    <xf numFmtId="0" fontId="27" fillId="0" borderId="0" xfId="20" applyFont="1" applyFill="1" applyAlignment="1">
      <alignment horizontal="left"/>
    </xf>
    <xf numFmtId="37" fontId="12" fillId="0" borderId="0" xfId="0" applyNumberFormat="1" applyFont="1" applyFill="1"/>
    <xf numFmtId="0" fontId="12" fillId="0" borderId="0" xfId="20" applyFont="1" applyFill="1"/>
    <xf numFmtId="0" fontId="12" fillId="0" borderId="0" xfId="20" applyFont="1" applyFill="1" applyAlignment="1">
      <alignment horizontal="right"/>
    </xf>
    <xf numFmtId="169" fontId="12" fillId="0" borderId="0" xfId="20" applyNumberFormat="1" applyFont="1" applyFill="1" applyAlignment="1">
      <alignment horizontal="right"/>
    </xf>
    <xf numFmtId="0" fontId="12" fillId="0" borderId="0" xfId="20" applyFont="1" applyFill="1" applyBorder="1"/>
    <xf numFmtId="0" fontId="0" fillId="0" borderId="0" xfId="0" applyFill="1"/>
    <xf numFmtId="9" fontId="12" fillId="0" borderId="0" xfId="9" applyFont="1" applyBorder="1"/>
    <xf numFmtId="0" fontId="29" fillId="0" borderId="0" xfId="22" applyFont="1"/>
    <xf numFmtId="0" fontId="3" fillId="0" borderId="0" xfId="22" applyFont="1"/>
    <xf numFmtId="0" fontId="30" fillId="0" borderId="0" xfId="22" applyFont="1"/>
    <xf numFmtId="0" fontId="32" fillId="0" borderId="0" xfId="22" applyFont="1"/>
    <xf numFmtId="0" fontId="3" fillId="0" borderId="0" xfId="22" applyFont="1" applyBorder="1" applyAlignment="1">
      <alignment horizontal="center"/>
    </xf>
    <xf numFmtId="44" fontId="3" fillId="0" borderId="0" xfId="23" applyFont="1"/>
    <xf numFmtId="0" fontId="3" fillId="0" borderId="0" xfId="22" applyFont="1" applyFill="1"/>
    <xf numFmtId="10" fontId="30" fillId="0" borderId="0" xfId="22" applyNumberFormat="1" applyFont="1" applyFill="1"/>
    <xf numFmtId="164" fontId="3" fillId="0" borderId="0" xfId="23" applyNumberFormat="1" applyFont="1"/>
    <xf numFmtId="0" fontId="30" fillId="0" borderId="0" xfId="22" applyFont="1" applyFill="1" applyAlignment="1">
      <alignment horizontal="center"/>
    </xf>
    <xf numFmtId="0" fontId="3" fillId="0" borderId="7" xfId="22" applyFont="1" applyFill="1" applyBorder="1"/>
    <xf numFmtId="0" fontId="34" fillId="0" borderId="0" xfId="22" applyFont="1"/>
    <xf numFmtId="0" fontId="29" fillId="0" borderId="0" xfId="22" applyFont="1" applyFill="1"/>
    <xf numFmtId="170" fontId="3" fillId="2" borderId="22" xfId="22" applyNumberFormat="1" applyFont="1" applyFill="1" applyBorder="1"/>
    <xf numFmtId="0" fontId="3" fillId="0" borderId="0" xfId="22" applyFont="1" applyBorder="1"/>
    <xf numFmtId="0" fontId="35" fillId="0" borderId="0" xfId="22" applyFont="1"/>
    <xf numFmtId="10" fontId="3" fillId="2" borderId="22" xfId="22" applyNumberFormat="1" applyFont="1" applyFill="1" applyBorder="1"/>
    <xf numFmtId="170" fontId="29" fillId="0" borderId="0" xfId="22" applyNumberFormat="1" applyFont="1" applyFill="1" applyBorder="1"/>
    <xf numFmtId="15" fontId="3" fillId="0" borderId="0" xfId="22" quotePrefix="1" applyNumberFormat="1" applyFont="1"/>
    <xf numFmtId="0" fontId="36" fillId="0" borderId="0" xfId="22" applyFont="1"/>
    <xf numFmtId="168" fontId="3" fillId="0" borderId="0" xfId="22" applyNumberFormat="1" applyFont="1" applyBorder="1"/>
    <xf numFmtId="171" fontId="3" fillId="0" borderId="0" xfId="22" applyNumberFormat="1" applyFont="1"/>
    <xf numFmtId="10" fontId="35" fillId="0" borderId="0" xfId="22" applyNumberFormat="1" applyFont="1" applyFill="1"/>
    <xf numFmtId="0" fontId="37" fillId="0" borderId="0" xfId="22" applyFont="1" applyBorder="1"/>
    <xf numFmtId="9" fontId="3" fillId="0" borderId="0" xfId="24" applyFont="1"/>
    <xf numFmtId="170" fontId="38" fillId="0" borderId="0" xfId="22" applyNumberFormat="1" applyFont="1" applyBorder="1"/>
    <xf numFmtId="170" fontId="29" fillId="0" borderId="0" xfId="22" applyNumberFormat="1" applyFont="1" applyBorder="1"/>
    <xf numFmtId="17" fontId="3" fillId="0" borderId="0" xfId="22" quotePrefix="1" applyNumberFormat="1" applyFont="1"/>
    <xf numFmtId="16" fontId="3" fillId="0" borderId="0" xfId="22" applyNumberFormat="1" applyFont="1"/>
    <xf numFmtId="0" fontId="39" fillId="0" borderId="0" xfId="22" applyFont="1"/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2" fillId="0" borderId="26" xfId="0" applyFont="1" applyBorder="1"/>
    <xf numFmtId="164" fontId="12" fillId="0" borderId="27" xfId="0" applyNumberFormat="1" applyFont="1" applyBorder="1"/>
    <xf numFmtId="164" fontId="12" fillId="0" borderId="28" xfId="0" applyNumberFormat="1" applyFont="1" applyBorder="1"/>
    <xf numFmtId="0" fontId="12" fillId="0" borderId="29" xfId="0" applyFont="1" applyBorder="1"/>
    <xf numFmtId="164" fontId="12" fillId="0" borderId="30" xfId="0" applyNumberFormat="1" applyFont="1" applyBorder="1"/>
    <xf numFmtId="164" fontId="12" fillId="0" borderId="31" xfId="0" applyNumberFormat="1" applyFont="1" applyBorder="1"/>
    <xf numFmtId="10" fontId="0" fillId="0" borderId="0" xfId="9" applyNumberFormat="1" applyFont="1"/>
    <xf numFmtId="0" fontId="14" fillId="0" borderId="0" xfId="0" applyFont="1" applyAlignment="1">
      <alignment vertical="top"/>
    </xf>
    <xf numFmtId="10" fontId="12" fillId="4" borderId="7" xfId="0" applyNumberFormat="1" applyFont="1" applyFill="1" applyBorder="1"/>
    <xf numFmtId="164" fontId="12" fillId="4" borderId="0" xfId="2" applyNumberFormat="1" applyFont="1" applyFill="1" applyBorder="1"/>
    <xf numFmtId="164" fontId="12" fillId="4" borderId="18" xfId="21" applyNumberFormat="1" applyFont="1" applyFill="1" applyBorder="1"/>
    <xf numFmtId="0" fontId="40" fillId="0" borderId="0" xfId="0" applyFont="1" applyBorder="1" applyAlignment="1">
      <alignment horizontal="right"/>
    </xf>
    <xf numFmtId="10" fontId="14" fillId="4" borderId="11" xfId="11" applyNumberFormat="1" applyFont="1" applyFill="1" applyBorder="1"/>
    <xf numFmtId="10" fontId="12" fillId="0" borderId="7" xfId="0" applyNumberFormat="1" applyFont="1" applyFill="1" applyBorder="1"/>
    <xf numFmtId="164" fontId="14" fillId="0" borderId="0" xfId="0" applyNumberFormat="1" applyFont="1" applyBorder="1"/>
    <xf numFmtId="164" fontId="14" fillId="0" borderId="7" xfId="0" applyNumberFormat="1" applyFont="1" applyBorder="1"/>
    <xf numFmtId="164" fontId="12" fillId="4" borderId="2" xfId="0" applyNumberFormat="1" applyFont="1" applyFill="1" applyBorder="1"/>
    <xf numFmtId="170" fontId="3" fillId="0" borderId="22" xfId="22" applyNumberFormat="1" applyFont="1" applyFill="1" applyBorder="1"/>
    <xf numFmtId="0" fontId="43" fillId="0" borderId="0" xfId="0" applyFont="1"/>
    <xf numFmtId="0" fontId="43" fillId="5" borderId="0" xfId="0" applyFont="1" applyFill="1" applyBorder="1"/>
    <xf numFmtId="164" fontId="43" fillId="5" borderId="0" xfId="2" applyNumberFormat="1" applyFont="1" applyFill="1" applyBorder="1"/>
    <xf numFmtId="172" fontId="43" fillId="5" borderId="7" xfId="25" applyNumberFormat="1" applyFont="1" applyFill="1" applyBorder="1"/>
    <xf numFmtId="0" fontId="42" fillId="5" borderId="33" xfId="0" applyFont="1" applyFill="1" applyBorder="1" applyAlignment="1">
      <alignment horizontal="center"/>
    </xf>
    <xf numFmtId="0" fontId="42" fillId="5" borderId="34" xfId="0" applyFont="1" applyFill="1" applyBorder="1" applyAlignment="1">
      <alignment horizontal="center"/>
    </xf>
    <xf numFmtId="0" fontId="42" fillId="5" borderId="26" xfId="0" applyFont="1" applyFill="1" applyBorder="1"/>
    <xf numFmtId="164" fontId="43" fillId="5" borderId="27" xfId="2" applyNumberFormat="1" applyFont="1" applyFill="1" applyBorder="1"/>
    <xf numFmtId="172" fontId="43" fillId="5" borderId="28" xfId="25" applyNumberFormat="1" applyFont="1" applyFill="1" applyBorder="1"/>
    <xf numFmtId="0" fontId="42" fillId="5" borderId="29" xfId="0" applyFont="1" applyFill="1" applyBorder="1"/>
    <xf numFmtId="0" fontId="42" fillId="5" borderId="30" xfId="0" applyFont="1" applyFill="1" applyBorder="1" applyAlignment="1">
      <alignment horizontal="center"/>
    </xf>
    <xf numFmtId="164" fontId="43" fillId="5" borderId="30" xfId="2" applyNumberFormat="1" applyFont="1" applyFill="1" applyBorder="1"/>
    <xf numFmtId="164" fontId="43" fillId="5" borderId="31" xfId="2" applyNumberFormat="1" applyFont="1" applyFill="1" applyBorder="1"/>
    <xf numFmtId="0" fontId="17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12" fillId="0" borderId="0" xfId="6" applyFont="1" applyFill="1" applyAlignment="1">
      <alignment horizontal="left" vertical="top" wrapText="1"/>
    </xf>
    <xf numFmtId="0" fontId="15" fillId="0" borderId="5" xfId="6" applyFont="1" applyFill="1" applyBorder="1" applyAlignment="1">
      <alignment horizontal="center" vertical="top"/>
    </xf>
    <xf numFmtId="0" fontId="15" fillId="0" borderId="9" xfId="6" applyFont="1" applyFill="1" applyBorder="1" applyAlignment="1">
      <alignment horizontal="center" vertical="top"/>
    </xf>
    <xf numFmtId="0" fontId="15" fillId="0" borderId="10" xfId="6" applyFont="1" applyFill="1" applyBorder="1" applyAlignment="1">
      <alignment horizontal="center" vertical="top"/>
    </xf>
    <xf numFmtId="0" fontId="42" fillId="5" borderId="32" xfId="0" applyFont="1" applyFill="1" applyBorder="1" applyAlignment="1">
      <alignment horizontal="left"/>
    </xf>
    <xf numFmtId="0" fontId="42" fillId="5" borderId="33" xfId="0" applyFont="1" applyFill="1" applyBorder="1" applyAlignment="1">
      <alignment horizontal="left"/>
    </xf>
  </cellXfs>
  <cellStyles count="26">
    <cellStyle name="Comma" xfId="25" builtinId="3"/>
    <cellStyle name="Comma 2" xfId="1"/>
    <cellStyle name="Comma 3" xfId="14"/>
    <cellStyle name="Comma 4" xfId="12"/>
    <cellStyle name="Currency" xfId="2" builtinId="4"/>
    <cellStyle name="Currency 2" xfId="3"/>
    <cellStyle name="Currency 3" xfId="4"/>
    <cellStyle name="Currency 3 2" xfId="21"/>
    <cellStyle name="Currency 4" xfId="15"/>
    <cellStyle name="Currency 5" xfId="23"/>
    <cellStyle name="Normal" xfId="0" builtinId="0"/>
    <cellStyle name="Normal 2" xfId="5"/>
    <cellStyle name="Normal 2 2" xfId="18"/>
    <cellStyle name="Normal 3" xfId="6"/>
    <cellStyle name="Normal 3 2" xfId="20"/>
    <cellStyle name="Normal 4" xfId="7"/>
    <cellStyle name="Normal 5" xfId="8"/>
    <cellStyle name="Normal 6" xfId="13"/>
    <cellStyle name="Normal 7" xfId="17"/>
    <cellStyle name="Normal_LaborAdj%" xfId="22"/>
    <cellStyle name="Percent" xfId="9" builtinId="5"/>
    <cellStyle name="Percent 2" xfId="10"/>
    <cellStyle name="Percent 3" xfId="11"/>
    <cellStyle name="Percent 4" xfId="16"/>
    <cellStyle name="Percent 5" xfId="19"/>
    <cellStyle name="Percent 6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9523</xdr:rowOff>
    </xdr:from>
    <xdr:to>
      <xdr:col>5</xdr:col>
      <xdr:colOff>1074420</xdr:colOff>
      <xdr:row>14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609598"/>
          <a:ext cx="7665720" cy="2543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Assumptions/Purpose of Adjustment:  </a:t>
          </a:r>
          <a:r>
            <a:rPr lang="en-US" sz="1100" b="0"/>
            <a:t>The</a:t>
          </a:r>
          <a:r>
            <a:rPr lang="en-US" sz="1100" b="0" baseline="0"/>
            <a:t> purpose of this adjustment is to pro-form Company Medical and Retirement expenses from the base year 12-months-ending 12.31.2019 to that expected during the Rate Period 10/1/2021 - 9/30/2022.  (Cost level information based on third party informatin as noted below, available May 2020. Updated information will be used once available late 2020). </a:t>
          </a:r>
          <a:endParaRPr lang="en-US" sz="1100" b="1" baseline="0">
            <a:solidFill>
              <a:srgbClr val="FF0000"/>
            </a:solidFill>
          </a:endParaRPr>
        </a:p>
        <a:p>
          <a:r>
            <a:rPr lang="en-US" sz="1100" b="0" baseline="0"/>
            <a:t>  </a:t>
          </a:r>
        </a:p>
        <a:p>
          <a:r>
            <a:rPr lang="en-US" sz="1100" b="0" baseline="0"/>
            <a:t>The basis for the Medical portion of the adjustment is third-party Consultants (Meridian Partners for Health Insurance and Willis Towers Watson for Post-Retirement Medical, as well as actual plan utilization. Cost levels for 2020 are used for the rate period expense, as this is the most current information available.) </a:t>
          </a:r>
        </a:p>
        <a:p>
          <a:endParaRPr lang="en-US" sz="1100" b="1" baseline="0"/>
        </a:p>
        <a:p>
          <a:r>
            <a:rPr lang="en-US" sz="1100" b="0" baseline="0"/>
            <a:t>The Retirement portion of the adjustment is based on information provided by third-party Consultants (Willis Towers Watson401(K)).  Cost levels for 2022 are used, as this amount is provided by the Consultant. </a:t>
          </a:r>
          <a:br>
            <a:rPr lang="en-US" sz="1100" b="0" baseline="0"/>
          </a:br>
          <a:r>
            <a:rPr lang="en-US" sz="1100" b="0" baseline="0"/>
            <a:t>The 401K expense is based on forecasted O&amp;M Expense increases.</a:t>
          </a:r>
        </a:p>
        <a:p>
          <a:endParaRPr lang="en-US" sz="1100" b="0" baseline="0"/>
        </a:p>
        <a:p>
          <a:r>
            <a:rPr lang="en-US" sz="1100" b="0" baseline="0"/>
            <a:t>The labor expense spread is based on 12-months-ending 12.31.2019 actual labor expense by service and jurisdiction.</a:t>
          </a:r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56284</xdr:colOff>
      <xdr:row>16</xdr:row>
      <xdr:rowOff>103909</xdr:rowOff>
    </xdr:from>
    <xdr:to>
      <xdr:col>4</xdr:col>
      <xdr:colOff>393989</xdr:colOff>
      <xdr:row>17</xdr:row>
      <xdr:rowOff>164523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566372" y="2799484"/>
          <a:ext cx="337705" cy="2320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30307</xdr:colOff>
      <xdr:row>18</xdr:row>
      <xdr:rowOff>17318</xdr:rowOff>
    </xdr:from>
    <xdr:to>
      <xdr:col>4</xdr:col>
      <xdr:colOff>393989</xdr:colOff>
      <xdr:row>19</xdr:row>
      <xdr:rowOff>134216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4540395" y="3112943"/>
          <a:ext cx="363682" cy="2835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337705</xdr:colOff>
      <xdr:row>32</xdr:row>
      <xdr:rowOff>60614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4510088" y="5305425"/>
          <a:ext cx="337705" cy="2320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32</xdr:row>
      <xdr:rowOff>160194</xdr:rowOff>
    </xdr:from>
    <xdr:to>
      <xdr:col>4</xdr:col>
      <xdr:colOff>363682</xdr:colOff>
      <xdr:row>34</xdr:row>
      <xdr:rowOff>103909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4510088" y="5637069"/>
          <a:ext cx="363682" cy="3485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ults%20of%20Operations/2019/2019.11/1A-2019.11_Avista%20Electric%20Pul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</v>
          </cell>
        </row>
        <row r="3">
          <cell r="H3" t="str">
            <v>A</v>
          </cell>
        </row>
        <row r="4">
          <cell r="H4" t="str">
            <v>For Month Ended November 30, 2019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>
        <row r="110">
          <cell r="L110">
            <v>3100395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4">
          <cell r="I64">
            <v>-5258296</v>
          </cell>
        </row>
      </sheetData>
      <sheetData sheetId="13"/>
      <sheetData sheetId="14"/>
      <sheetData sheetId="15">
        <row r="84">
          <cell r="K84">
            <v>1849368369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zoomScaleNormal="100" zoomScaleSheetLayoutView="100" workbookViewId="0">
      <selection activeCell="K16" sqref="K16"/>
    </sheetView>
    <sheetView tabSelected="1" topLeftCell="A13" workbookViewId="1">
      <selection activeCell="C35" sqref="C35:C39"/>
    </sheetView>
  </sheetViews>
  <sheetFormatPr defaultColWidth="9.35546875" defaultRowHeight="14.25"/>
  <cols>
    <col min="1" max="1" width="47" style="23" customWidth="1"/>
    <col min="2" max="2" width="14.85546875" style="23" customWidth="1"/>
    <col min="3" max="3" width="20.640625" style="23" customWidth="1"/>
    <col min="4" max="4" width="15.5" style="23" customWidth="1"/>
    <col min="5" max="5" width="18" style="23" customWidth="1"/>
    <col min="6" max="6" width="20.640625" style="23" customWidth="1"/>
    <col min="7" max="7" width="3" style="23" customWidth="1"/>
    <col min="8" max="8" width="5.5" style="23" bestFit="1" customWidth="1"/>
    <col min="9" max="10" width="9.35546875" style="23" hidden="1" customWidth="1"/>
    <col min="11" max="11" width="25.140625" style="23" customWidth="1"/>
    <col min="12" max="12" width="9.35546875" style="23"/>
    <col min="13" max="13" width="18.5" style="23" customWidth="1"/>
    <col min="14" max="16384" width="9.35546875" style="23"/>
  </cols>
  <sheetData>
    <row r="1" spans="1:6" ht="15.75">
      <c r="A1" s="159" t="s">
        <v>53</v>
      </c>
      <c r="B1" s="159"/>
      <c r="C1" s="159"/>
      <c r="D1" s="159"/>
      <c r="E1" s="159"/>
      <c r="F1" s="159"/>
    </row>
    <row r="2" spans="1:6" ht="15.75">
      <c r="A2" s="159" t="s">
        <v>69</v>
      </c>
      <c r="B2" s="159"/>
      <c r="C2" s="159"/>
      <c r="D2" s="159"/>
      <c r="E2" s="159"/>
      <c r="F2" s="159"/>
    </row>
    <row r="3" spans="1:6" ht="15.75">
      <c r="A3" s="159" t="s">
        <v>41</v>
      </c>
      <c r="B3" s="159"/>
      <c r="C3" s="159"/>
      <c r="D3" s="159"/>
      <c r="E3" s="159"/>
      <c r="F3" s="159"/>
    </row>
    <row r="4" spans="1:6">
      <c r="A4" s="55"/>
      <c r="B4" s="55"/>
    </row>
    <row r="5" spans="1:6">
      <c r="A5" s="55"/>
      <c r="B5" s="55"/>
    </row>
    <row r="6" spans="1:6">
      <c r="A6" s="55"/>
      <c r="B6" s="55"/>
    </row>
    <row r="7" spans="1:6">
      <c r="A7" s="55"/>
      <c r="B7" s="55"/>
    </row>
    <row r="8" spans="1:6">
      <c r="A8" s="55"/>
      <c r="B8" s="55"/>
    </row>
    <row r="9" spans="1:6">
      <c r="A9" s="55"/>
      <c r="B9" s="55"/>
    </row>
    <row r="10" spans="1:6" ht="39" customHeight="1">
      <c r="A10" s="55"/>
      <c r="B10" s="55"/>
    </row>
    <row r="17" spans="1:14">
      <c r="A17" s="24"/>
      <c r="B17" s="24"/>
      <c r="C17" s="24"/>
      <c r="G17" s="24"/>
    </row>
    <row r="18" spans="1:14">
      <c r="A18" s="24"/>
      <c r="B18" s="24"/>
      <c r="C18" s="24"/>
      <c r="D18" s="26" t="s">
        <v>14</v>
      </c>
      <c r="E18" s="26" t="s">
        <v>26</v>
      </c>
      <c r="F18" s="26"/>
      <c r="G18" s="25"/>
    </row>
    <row r="19" spans="1:14">
      <c r="A19" s="26" t="s">
        <v>16</v>
      </c>
      <c r="B19" s="26" t="s">
        <v>54</v>
      </c>
      <c r="C19" s="26" t="s">
        <v>15</v>
      </c>
      <c r="D19" s="65" t="s">
        <v>64</v>
      </c>
      <c r="E19" s="65" t="s">
        <v>115</v>
      </c>
      <c r="F19" s="26" t="s">
        <v>1</v>
      </c>
      <c r="G19" s="24"/>
    </row>
    <row r="20" spans="1:14">
      <c r="A20" s="27"/>
      <c r="B20" s="27"/>
      <c r="C20" s="27"/>
      <c r="D20" s="28"/>
      <c r="E20" s="28"/>
      <c r="F20" s="28"/>
      <c r="G20" s="28"/>
    </row>
    <row r="21" spans="1:14">
      <c r="A21" s="27" t="s">
        <v>29</v>
      </c>
      <c r="B21" s="64" t="s">
        <v>118</v>
      </c>
      <c r="C21" s="66" t="s">
        <v>17</v>
      </c>
      <c r="D21" s="28">
        <f>'BEN-02 (Data)'!D11</f>
        <v>21829251</v>
      </c>
      <c r="E21" s="28">
        <f>'BEN-02 (Data)'!E11</f>
        <v>23540000</v>
      </c>
      <c r="F21" s="28">
        <f t="shared" ref="F21:F22" si="0">E21-D21</f>
        <v>1710749</v>
      </c>
      <c r="G21" s="28"/>
    </row>
    <row r="22" spans="1:14">
      <c r="A22" s="27" t="s">
        <v>40</v>
      </c>
      <c r="B22" s="64" t="s">
        <v>118</v>
      </c>
      <c r="C22" s="66">
        <v>926221</v>
      </c>
      <c r="D22" s="28">
        <f>'BEN-02 (Data)'!D12</f>
        <v>1624667</v>
      </c>
      <c r="E22" s="28">
        <f>'BEN-02 (Data)'!E12</f>
        <v>1570000</v>
      </c>
      <c r="F22" s="28">
        <f t="shared" si="0"/>
        <v>-54667</v>
      </c>
      <c r="G22" s="28"/>
    </row>
    <row r="23" spans="1:14">
      <c r="A23" s="27" t="s">
        <v>55</v>
      </c>
      <c r="B23" s="64" t="s">
        <v>118</v>
      </c>
      <c r="C23" s="66" t="s">
        <v>24</v>
      </c>
      <c r="D23" s="29">
        <f>'BEN-02 (Data)'!D13</f>
        <v>8745377</v>
      </c>
      <c r="E23" s="29">
        <f>'BEN-02 (Data)'!E13</f>
        <v>11800000</v>
      </c>
      <c r="F23" s="29">
        <f>E23-D23</f>
        <v>3054623</v>
      </c>
      <c r="G23" s="28"/>
    </row>
    <row r="24" spans="1:14">
      <c r="A24" s="30" t="s">
        <v>27</v>
      </c>
      <c r="B24" s="64"/>
      <c r="C24" s="26"/>
      <c r="D24" s="31">
        <f>SUM(D21:D23)</f>
        <v>32199295</v>
      </c>
      <c r="E24" s="31">
        <f>SUM(E21:E23)</f>
        <v>36910000</v>
      </c>
      <c r="F24" s="31">
        <f>E24-D24</f>
        <v>4710705</v>
      </c>
      <c r="G24" s="31"/>
      <c r="K24" s="33">
        <f>F24*F32</f>
        <v>2691226</v>
      </c>
    </row>
    <row r="25" spans="1:14">
      <c r="C25" s="67"/>
    </row>
    <row r="26" spans="1:14">
      <c r="A26" s="27" t="s">
        <v>19</v>
      </c>
      <c r="B26" s="64" t="s">
        <v>118</v>
      </c>
      <c r="C26" s="66" t="s">
        <v>18</v>
      </c>
      <c r="D26" s="28">
        <f>'BEN-02 (Data)'!D14</f>
        <v>9270825</v>
      </c>
      <c r="E26" s="28">
        <f>'BEN-02 (Data)'!E14</f>
        <v>9827075</v>
      </c>
      <c r="F26" s="28">
        <f>E26-D26</f>
        <v>556250</v>
      </c>
      <c r="G26" s="28"/>
    </row>
    <row r="27" spans="1:14">
      <c r="A27" s="27" t="s">
        <v>21</v>
      </c>
      <c r="B27" s="64" t="s">
        <v>118</v>
      </c>
      <c r="C27" s="66" t="s">
        <v>20</v>
      </c>
      <c r="D27" s="28">
        <f>'BEN-02 (Data)'!D15</f>
        <v>1090687</v>
      </c>
      <c r="E27" s="28">
        <f>'BEN-02 (Data)'!E15</f>
        <v>1156128</v>
      </c>
      <c r="F27" s="28">
        <f>E27-D27</f>
        <v>65441</v>
      </c>
      <c r="G27" s="28"/>
      <c r="K27" s="33">
        <f>(F26+F27)*F32</f>
        <v>355172.06829999998</v>
      </c>
      <c r="N27" s="83"/>
    </row>
    <row r="28" spans="1:14">
      <c r="A28" s="27" t="s">
        <v>52</v>
      </c>
      <c r="B28" s="64" t="s">
        <v>118</v>
      </c>
      <c r="C28" s="66" t="s">
        <v>22</v>
      </c>
      <c r="D28" s="29">
        <f>'BEN-02 (Data)'!D16</f>
        <v>24817445</v>
      </c>
      <c r="E28" s="29">
        <f>'BEN-02 (Data)'!E16</f>
        <v>23500000</v>
      </c>
      <c r="F28" s="29">
        <f>E28-D28</f>
        <v>-1317445</v>
      </c>
      <c r="G28" s="28"/>
      <c r="K28" s="33">
        <f>F28*F32</f>
        <v>-752656</v>
      </c>
    </row>
    <row r="29" spans="1:14">
      <c r="A29" s="30" t="s">
        <v>28</v>
      </c>
      <c r="B29" s="64"/>
      <c r="C29" s="26"/>
      <c r="D29" s="31">
        <f>SUM(D26:D28)</f>
        <v>35178957</v>
      </c>
      <c r="E29" s="31">
        <f>SUM(E26:E28)</f>
        <v>34483203</v>
      </c>
      <c r="F29" s="31">
        <f>E29-D29</f>
        <v>-695754</v>
      </c>
      <c r="G29" s="31"/>
    </row>
    <row r="30" spans="1:14">
      <c r="A30" s="30"/>
      <c r="B30" s="30"/>
      <c r="C30" s="30"/>
      <c r="D30" s="31"/>
      <c r="E30" s="31"/>
      <c r="F30" s="31"/>
      <c r="G30" s="31"/>
    </row>
    <row r="31" spans="1:14">
      <c r="A31" s="30"/>
      <c r="B31" s="30"/>
      <c r="C31" s="30" t="s">
        <v>0</v>
      </c>
      <c r="D31" s="31">
        <f>D29+D24</f>
        <v>67378252</v>
      </c>
      <c r="E31" s="31">
        <f>E29+E24</f>
        <v>71393203</v>
      </c>
      <c r="F31" s="31">
        <f>E31-D31</f>
        <v>4014951</v>
      </c>
      <c r="G31" s="31"/>
    </row>
    <row r="32" spans="1:14">
      <c r="B32" s="64" t="s">
        <v>119</v>
      </c>
      <c r="C32" s="23" t="s">
        <v>30</v>
      </c>
      <c r="D32" s="32">
        <f>'BEN-03 (% Util-Non-Util)'!E9</f>
        <v>0.57130000000000003</v>
      </c>
      <c r="E32" s="141">
        <f>D32</f>
        <v>0.57130000000000003</v>
      </c>
      <c r="F32" s="136">
        <f>E32</f>
        <v>0.57130000000000003</v>
      </c>
    </row>
    <row r="33" spans="1:13">
      <c r="C33" s="23" t="s">
        <v>31</v>
      </c>
      <c r="D33" s="33">
        <f>D31*D32</f>
        <v>38493195</v>
      </c>
      <c r="E33" s="33">
        <f>E31*E32</f>
        <v>40786937</v>
      </c>
      <c r="F33" s="137">
        <f>F31*F32</f>
        <v>2293742</v>
      </c>
      <c r="K33" s="23" t="s">
        <v>81</v>
      </c>
      <c r="M33" s="23" t="s">
        <v>70</v>
      </c>
    </row>
    <row r="34" spans="1:13">
      <c r="D34" s="33"/>
      <c r="K34" s="23" t="s">
        <v>78</v>
      </c>
      <c r="L34" s="94">
        <v>0.35</v>
      </c>
      <c r="M34" s="142">
        <f>$F$39*L34</f>
        <v>391979</v>
      </c>
    </row>
    <row r="35" spans="1:13">
      <c r="K35" s="23" t="s">
        <v>79</v>
      </c>
      <c r="L35" s="94">
        <v>0.22</v>
      </c>
      <c r="M35" s="142">
        <f t="shared" ref="M35:M38" si="1">$F$39*L35</f>
        <v>246387</v>
      </c>
    </row>
    <row r="36" spans="1:13">
      <c r="A36" s="23" t="s">
        <v>63</v>
      </c>
      <c r="K36" s="23" t="s">
        <v>74</v>
      </c>
      <c r="L36" s="94">
        <v>0.1</v>
      </c>
      <c r="M36" s="142">
        <f t="shared" si="1"/>
        <v>111994</v>
      </c>
    </row>
    <row r="37" spans="1:13">
      <c r="A37" s="87" t="s">
        <v>65</v>
      </c>
      <c r="B37" s="88"/>
      <c r="C37" s="89"/>
      <c r="D37" s="89"/>
      <c r="E37" s="88"/>
      <c r="K37" s="23" t="s">
        <v>80</v>
      </c>
      <c r="L37" s="94">
        <v>0.01</v>
      </c>
      <c r="M37" s="142">
        <f t="shared" si="1"/>
        <v>11199</v>
      </c>
    </row>
    <row r="38" spans="1:13" ht="14.65" thickBot="1">
      <c r="A38" s="90">
        <v>0.70577999999999996</v>
      </c>
      <c r="B38" s="89" t="s">
        <v>66</v>
      </c>
      <c r="C38" s="88"/>
      <c r="D38" s="88"/>
      <c r="E38" s="88"/>
      <c r="F38" s="89"/>
      <c r="H38" s="34"/>
      <c r="K38" s="23" t="s">
        <v>76</v>
      </c>
      <c r="L38" s="94">
        <v>0.32</v>
      </c>
      <c r="M38" s="142">
        <f t="shared" si="1"/>
        <v>358380</v>
      </c>
    </row>
    <row r="39" spans="1:13" ht="15" thickTop="1" thickBot="1">
      <c r="A39" s="91">
        <v>0.69179999999999997</v>
      </c>
      <c r="B39" s="89" t="s">
        <v>67</v>
      </c>
      <c r="C39" s="88"/>
      <c r="D39" s="88"/>
      <c r="E39" s="88"/>
      <c r="F39" s="138">
        <f>F33*A38*A39</f>
        <v>1119939</v>
      </c>
      <c r="H39" s="139" t="s">
        <v>123</v>
      </c>
      <c r="M39" s="144">
        <f>SUM(M34:M38)</f>
        <v>1119939</v>
      </c>
    </row>
    <row r="40" spans="1:13" ht="14.65" thickTop="1">
      <c r="A40" s="89"/>
      <c r="B40" s="89"/>
      <c r="C40" s="88"/>
      <c r="D40" s="88"/>
      <c r="E40" s="88"/>
      <c r="F40" s="92"/>
    </row>
    <row r="41" spans="1:13">
      <c r="A41" s="87" t="s">
        <v>68</v>
      </c>
      <c r="B41" s="89"/>
      <c r="C41" s="88"/>
      <c r="D41" s="88"/>
      <c r="E41" s="88"/>
      <c r="F41" s="92"/>
    </row>
    <row r="42" spans="1:13" ht="14.65" thickBot="1">
      <c r="A42" s="90">
        <v>0.20513000000000001</v>
      </c>
      <c r="B42" s="89" t="s">
        <v>66</v>
      </c>
      <c r="C42" s="88"/>
      <c r="D42" s="88"/>
      <c r="E42" s="88"/>
      <c r="F42" s="92"/>
      <c r="K42" s="23" t="s">
        <v>81</v>
      </c>
      <c r="M42" s="23" t="s">
        <v>77</v>
      </c>
    </row>
    <row r="43" spans="1:13" ht="15" thickTop="1" thickBot="1">
      <c r="A43" s="91">
        <v>0.72592999999999996</v>
      </c>
      <c r="B43" s="89" t="s">
        <v>67</v>
      </c>
      <c r="C43" s="88"/>
      <c r="D43" s="88"/>
      <c r="E43" s="88"/>
      <c r="F43" s="138">
        <f>F33*A42*A43</f>
        <v>341561</v>
      </c>
      <c r="H43" s="139" t="s">
        <v>123</v>
      </c>
      <c r="K43" s="93" t="s">
        <v>71</v>
      </c>
      <c r="L43" s="94">
        <v>0.03</v>
      </c>
      <c r="M43" s="142">
        <f>$F$43*L43</f>
        <v>10247</v>
      </c>
    </row>
    <row r="44" spans="1:13" ht="14.65" thickTop="1">
      <c r="K44" s="93" t="s">
        <v>72</v>
      </c>
      <c r="L44" s="94">
        <v>0</v>
      </c>
      <c r="M44" s="142">
        <f t="shared" ref="M44:M48" si="2">$F$43*L44</f>
        <v>0</v>
      </c>
    </row>
    <row r="45" spans="1:13">
      <c r="K45" s="93" t="s">
        <v>73</v>
      </c>
      <c r="L45" s="94">
        <v>0.45</v>
      </c>
      <c r="M45" s="142">
        <f t="shared" si="2"/>
        <v>153702</v>
      </c>
    </row>
    <row r="46" spans="1:13">
      <c r="K46" s="93" t="s">
        <v>74</v>
      </c>
      <c r="L46" s="94">
        <v>0.21</v>
      </c>
      <c r="M46" s="142">
        <f t="shared" si="2"/>
        <v>71728</v>
      </c>
    </row>
    <row r="47" spans="1:13">
      <c r="C47" s="54"/>
      <c r="K47" s="93" t="s">
        <v>75</v>
      </c>
      <c r="L47" s="94">
        <v>0.02</v>
      </c>
      <c r="M47" s="142">
        <f t="shared" si="2"/>
        <v>6831</v>
      </c>
    </row>
    <row r="48" spans="1:13">
      <c r="K48" s="93" t="s">
        <v>76</v>
      </c>
      <c r="L48" s="94">
        <v>0.28999999999999998</v>
      </c>
      <c r="M48" s="143">
        <f t="shared" si="2"/>
        <v>99053</v>
      </c>
    </row>
    <row r="49" spans="13:13">
      <c r="M49" s="144">
        <f>SUM(M43:M48)</f>
        <v>341561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9" orientation="landscape" r:id="rId1"/>
  <headerFooter>
    <oddHeader>&amp;RAdjustment No. &amp;U3.06 Pro-Forma Employee Benefits&amp;U
Workpaper Ref. &amp;U&amp;A</oddHeader>
    <oddFooter>&amp;L&amp;F&amp;RPrep by:   &amp;UAMB&amp;U
          Date:  &amp;U&amp;D&amp;U           Mgr. Review:__________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="60" zoomScaleNormal="100" workbookViewId="0">
      <selection activeCell="K16" sqref="K16"/>
    </sheetView>
    <sheetView tabSelected="1" workbookViewId="1">
      <selection activeCell="C35" sqref="C35:C39"/>
    </sheetView>
  </sheetViews>
  <sheetFormatPr defaultRowHeight="13.15"/>
  <cols>
    <col min="1" max="1" width="18.5" customWidth="1"/>
    <col min="2" max="2" width="28.5" customWidth="1"/>
    <col min="3" max="3" width="19.140625" customWidth="1"/>
    <col min="4" max="5" width="16" customWidth="1"/>
    <col min="6" max="6" width="13.140625" customWidth="1"/>
    <col min="7" max="7" width="0.35546875" customWidth="1"/>
    <col min="8" max="8" width="6.85546875" hidden="1" customWidth="1"/>
    <col min="9" max="9" width="30" hidden="1" customWidth="1"/>
    <col min="10" max="11" width="16.35546875" hidden="1" customWidth="1"/>
    <col min="12" max="12" width="14.35546875" hidden="1" customWidth="1"/>
    <col min="13" max="13" width="9.35546875" hidden="1" customWidth="1"/>
  </cols>
  <sheetData>
    <row r="1" spans="1:12" ht="14.25">
      <c r="A1" s="56" t="s">
        <v>42</v>
      </c>
      <c r="B1" s="57"/>
      <c r="C1" s="57"/>
      <c r="D1" s="57"/>
    </row>
    <row r="2" spans="1:12" ht="14.25">
      <c r="A2" s="57"/>
      <c r="B2" s="57"/>
      <c r="C2" s="57"/>
      <c r="D2" s="57"/>
    </row>
    <row r="3" spans="1:12" ht="14.25">
      <c r="A3" s="57" t="s">
        <v>43</v>
      </c>
      <c r="B3" s="57"/>
      <c r="C3" s="57"/>
      <c r="D3" s="57"/>
    </row>
    <row r="4" spans="1:12" ht="14.25">
      <c r="A4" s="57" t="s">
        <v>44</v>
      </c>
      <c r="B4" s="57"/>
      <c r="C4" s="57"/>
      <c r="D4" s="57"/>
    </row>
    <row r="5" spans="1:12" ht="14.25">
      <c r="A5" s="75" t="s">
        <v>58</v>
      </c>
      <c r="B5" s="57"/>
      <c r="C5" s="57"/>
      <c r="D5" s="57"/>
    </row>
    <row r="6" spans="1:12" ht="14.25">
      <c r="A6" s="57"/>
      <c r="B6" s="57"/>
      <c r="C6" s="57"/>
      <c r="D6" s="57"/>
    </row>
    <row r="7" spans="1:12" ht="14.25">
      <c r="A7" s="58" t="s">
        <v>45</v>
      </c>
      <c r="B7" s="59" t="s">
        <v>46</v>
      </c>
      <c r="C7" s="59"/>
      <c r="D7" s="57"/>
    </row>
    <row r="8" spans="1:12" ht="14.25">
      <c r="A8" s="58"/>
      <c r="B8" s="59"/>
      <c r="C8" s="59"/>
      <c r="D8" s="57"/>
    </row>
    <row r="9" spans="1:12" ht="32.25" customHeight="1" thickBot="1">
      <c r="A9" s="57"/>
      <c r="B9" s="57"/>
      <c r="C9" s="57"/>
      <c r="D9" s="59" t="s">
        <v>56</v>
      </c>
      <c r="E9" s="79" t="s">
        <v>120</v>
      </c>
    </row>
    <row r="10" spans="1:12" ht="42.75">
      <c r="A10" s="62" t="s">
        <v>15</v>
      </c>
      <c r="B10" s="62" t="s">
        <v>16</v>
      </c>
      <c r="C10" s="62"/>
      <c r="D10" s="68" t="s">
        <v>47</v>
      </c>
      <c r="E10" s="68" t="s">
        <v>121</v>
      </c>
      <c r="I10" s="125" t="s">
        <v>61</v>
      </c>
      <c r="J10" s="126" t="s">
        <v>37</v>
      </c>
      <c r="K10" s="127" t="s">
        <v>32</v>
      </c>
      <c r="L10" s="73" t="s">
        <v>57</v>
      </c>
    </row>
    <row r="11" spans="1:12" ht="14.25">
      <c r="A11" s="60" t="s">
        <v>17</v>
      </c>
      <c r="B11" s="60" t="s">
        <v>48</v>
      </c>
      <c r="C11" s="70" t="s">
        <v>117</v>
      </c>
      <c r="D11" s="77">
        <v>21829251</v>
      </c>
      <c r="E11" s="82">
        <v>23540000</v>
      </c>
      <c r="F11" s="80" t="s">
        <v>116</v>
      </c>
      <c r="I11" s="128" t="s">
        <v>36</v>
      </c>
      <c r="J11" s="34">
        <v>6522389</v>
      </c>
      <c r="K11" s="129">
        <v>3672757</v>
      </c>
      <c r="L11" s="71">
        <v>316224</v>
      </c>
    </row>
    <row r="12" spans="1:12" ht="14.25">
      <c r="A12" s="61" t="s">
        <v>49</v>
      </c>
      <c r="B12" s="61" t="s">
        <v>50</v>
      </c>
      <c r="C12" s="70" t="s">
        <v>117</v>
      </c>
      <c r="D12" s="78">
        <v>1624667</v>
      </c>
      <c r="E12" s="82">
        <v>1570000</v>
      </c>
      <c r="F12" s="80" t="s">
        <v>116</v>
      </c>
      <c r="I12" s="128" t="s">
        <v>4</v>
      </c>
      <c r="J12" s="42">
        <v>3232006</v>
      </c>
      <c r="K12" s="130">
        <v>1819943</v>
      </c>
      <c r="L12" s="72">
        <v>156697</v>
      </c>
    </row>
    <row r="13" spans="1:12" ht="14.65" thickBot="1">
      <c r="A13" s="61" t="s">
        <v>24</v>
      </c>
      <c r="B13" s="76" t="s">
        <v>59</v>
      </c>
      <c r="C13" s="70" t="s">
        <v>117</v>
      </c>
      <c r="D13" s="78">
        <f>2698979+6046398</f>
        <v>8745377</v>
      </c>
      <c r="E13" s="82">
        <v>11800000</v>
      </c>
      <c r="F13" s="80" t="s">
        <v>116</v>
      </c>
      <c r="I13" s="131"/>
      <c r="J13" s="132">
        <f>SUM(J11:J12)</f>
        <v>9754395</v>
      </c>
      <c r="K13" s="133">
        <f>SUM(K11:K12)</f>
        <v>5492700</v>
      </c>
      <c r="L13" s="72">
        <f>SUM(L11:L12)</f>
        <v>472921</v>
      </c>
    </row>
    <row r="14" spans="1:12" ht="14.25">
      <c r="A14" s="61" t="s">
        <v>18</v>
      </c>
      <c r="B14" s="61" t="s">
        <v>19</v>
      </c>
      <c r="C14" s="70" t="s">
        <v>117</v>
      </c>
      <c r="D14" s="78">
        <v>9270825</v>
      </c>
      <c r="E14" s="82">
        <f>D14*1.06</f>
        <v>9827075</v>
      </c>
      <c r="F14" s="80" t="s">
        <v>116</v>
      </c>
      <c r="K14" s="134"/>
    </row>
    <row r="15" spans="1:12" ht="14.25">
      <c r="A15" s="61" t="s">
        <v>20</v>
      </c>
      <c r="B15" s="61" t="s">
        <v>21</v>
      </c>
      <c r="C15" s="70" t="s">
        <v>117</v>
      </c>
      <c r="D15" s="78">
        <v>1090687</v>
      </c>
      <c r="E15" s="82">
        <f>D15*1.06</f>
        <v>1156128</v>
      </c>
      <c r="F15" s="80" t="s">
        <v>116</v>
      </c>
    </row>
    <row r="16" spans="1:12" ht="14.25">
      <c r="A16" s="61" t="s">
        <v>22</v>
      </c>
      <c r="B16" s="76" t="s">
        <v>60</v>
      </c>
      <c r="C16" s="70" t="s">
        <v>117</v>
      </c>
      <c r="D16" s="81">
        <f>5167744+19649701</f>
        <v>24817445</v>
      </c>
      <c r="E16" s="82">
        <v>23500000</v>
      </c>
      <c r="F16" s="80" t="s">
        <v>116</v>
      </c>
      <c r="I16" s="20"/>
      <c r="J16" s="20"/>
      <c r="K16" s="20"/>
      <c r="L16" s="20"/>
    </row>
    <row r="17" spans="1:12" ht="14.25">
      <c r="A17" s="58" t="s">
        <v>51</v>
      </c>
      <c r="B17" s="58"/>
      <c r="C17" s="58"/>
      <c r="D17" s="63">
        <f>SUM(D11:D16)</f>
        <v>67378252</v>
      </c>
      <c r="E17" s="63">
        <f>SUM(E11:E16)</f>
        <v>71393203</v>
      </c>
      <c r="F17" s="74"/>
      <c r="I17" s="20"/>
      <c r="J17" s="20"/>
      <c r="K17" s="20"/>
      <c r="L17" s="20"/>
    </row>
    <row r="18" spans="1:12" ht="14.25">
      <c r="A18" s="20"/>
      <c r="B18" s="20"/>
      <c r="C18" s="20"/>
      <c r="D18" s="84"/>
      <c r="E18" s="84"/>
      <c r="F18" s="74"/>
      <c r="I18" s="20"/>
      <c r="J18" s="20"/>
      <c r="K18" s="20"/>
      <c r="L18" s="20"/>
    </row>
    <row r="19" spans="1:12" ht="51" customHeight="1">
      <c r="A19" s="160" t="s">
        <v>122</v>
      </c>
      <c r="B19" s="160"/>
      <c r="C19" s="160"/>
      <c r="D19" s="160"/>
      <c r="E19" s="160"/>
      <c r="F19" s="74"/>
      <c r="I19" s="20"/>
      <c r="J19" s="20"/>
      <c r="K19" s="20"/>
      <c r="L19" s="20"/>
    </row>
    <row r="20" spans="1:12" ht="12.75" customHeight="1">
      <c r="A20" s="135"/>
      <c r="B20" s="135"/>
      <c r="C20" s="135"/>
      <c r="D20" s="135"/>
      <c r="E20" s="135"/>
      <c r="I20" s="20"/>
      <c r="J20" s="20"/>
      <c r="K20" s="20"/>
      <c r="L20" s="20"/>
    </row>
    <row r="21" spans="1:12" s="20" customFormat="1" ht="14.25">
      <c r="D21" s="85"/>
      <c r="E21" s="86"/>
    </row>
    <row r="22" spans="1:12" s="20" customFormat="1" ht="14.25">
      <c r="D22" s="85"/>
      <c r="E22" s="84"/>
    </row>
    <row r="23" spans="1:12" s="20" customFormat="1" ht="37.5" customHeight="1"/>
    <row r="24" spans="1:12" s="20" customFormat="1" ht="14.25"/>
    <row r="25" spans="1:12" s="20" customFormat="1" ht="14.25"/>
    <row r="26" spans="1:12" s="20" customFormat="1" ht="14.25"/>
    <row r="27" spans="1:12" s="20" customFormat="1" ht="14.25"/>
    <row r="28" spans="1:12" s="20" customFormat="1" ht="14.25"/>
    <row r="29" spans="1:12" s="20" customFormat="1" ht="14.25"/>
    <row r="30" spans="1:12" s="20" customFormat="1" ht="14.25"/>
    <row r="31" spans="1:12" s="20" customFormat="1" ht="14.25"/>
    <row r="32" spans="1:12" s="20" customFormat="1" ht="14.25"/>
    <row r="33" spans="1:12" s="20" customFormat="1" ht="14.25"/>
    <row r="34" spans="1:12" s="20" customFormat="1" ht="14.25"/>
    <row r="35" spans="1:12" s="20" customFormat="1" ht="14.25"/>
    <row r="36" spans="1:12" s="20" customFormat="1" ht="14.25">
      <c r="I36"/>
      <c r="J36"/>
      <c r="K36"/>
      <c r="L36"/>
    </row>
    <row r="37" spans="1:12" s="20" customFormat="1" ht="14.25">
      <c r="I37"/>
      <c r="J37"/>
      <c r="K37"/>
      <c r="L37"/>
    </row>
    <row r="38" spans="1:12" s="20" customFormat="1" ht="14.25">
      <c r="A38"/>
      <c r="B38"/>
      <c r="C38"/>
      <c r="D38"/>
      <c r="E38"/>
      <c r="I38"/>
      <c r="J38"/>
      <c r="K38"/>
      <c r="L38"/>
    </row>
    <row r="39" spans="1:12" s="20" customFormat="1" ht="14.25">
      <c r="A39"/>
      <c r="B39"/>
      <c r="C39"/>
      <c r="D39"/>
      <c r="E39"/>
      <c r="I39"/>
      <c r="J39"/>
      <c r="K39"/>
      <c r="L39"/>
    </row>
  </sheetData>
  <mergeCells count="1">
    <mergeCell ref="A19:E19"/>
  </mergeCells>
  <phoneticPr fontId="6" type="noConversion"/>
  <pageMargins left="0.7" right="0.7" top="0.75" bottom="0.75" header="0.3" footer="0.3"/>
  <pageSetup scale="87" orientation="portrait" r:id="rId1"/>
  <headerFooter>
    <oddHeader>&amp;RAdjustment No. &amp;U2.02 Pro-Forma Employee Benefits&amp;U
Workpaper Ref. &amp;U&amp;A</oddHeader>
    <oddFooter>&amp;L&amp;F&amp;RPrep by:   &amp;UAMB&amp;U
          Date:  &amp;U&amp;D&amp;U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0"/>
  <sheetViews>
    <sheetView tabSelected="1" view="pageBreakPreview" zoomScale="60" zoomScaleNormal="100" workbookViewId="0">
      <selection activeCell="K16" sqref="K16"/>
    </sheetView>
    <sheetView tabSelected="1" workbookViewId="1">
      <selection activeCell="C35" sqref="C35:C39"/>
    </sheetView>
  </sheetViews>
  <sheetFormatPr defaultColWidth="9.35546875" defaultRowHeight="13.9"/>
  <cols>
    <col min="1" max="1" width="28.5" style="1" customWidth="1"/>
    <col min="2" max="2" width="13.85546875" style="1" customWidth="1"/>
    <col min="3" max="4" width="15.5" style="1" customWidth="1"/>
    <col min="5" max="5" width="11.640625" style="1" customWidth="1"/>
    <col min="6" max="7" width="12.140625" style="1" customWidth="1"/>
    <col min="8" max="8" width="47.85546875" style="1" bestFit="1" customWidth="1"/>
    <col min="9" max="10" width="9.35546875" style="1"/>
    <col min="11" max="11" width="9.85546875" style="1" bestFit="1" customWidth="1"/>
    <col min="12" max="16384" width="9.35546875" style="1"/>
  </cols>
  <sheetData>
    <row r="1" spans="1:7" ht="25.5" customHeight="1">
      <c r="A1" s="161" t="s">
        <v>62</v>
      </c>
      <c r="B1" s="161"/>
      <c r="C1" s="161"/>
      <c r="D1" s="161"/>
      <c r="E1" s="161"/>
      <c r="F1" s="161"/>
      <c r="G1" s="161"/>
    </row>
    <row r="2" spans="1:7">
      <c r="A2" s="2"/>
      <c r="B2" s="2"/>
      <c r="C2" s="2"/>
    </row>
    <row r="3" spans="1:7" ht="14.25">
      <c r="A3" s="4" t="s">
        <v>5</v>
      </c>
      <c r="B3" s="3"/>
      <c r="C3" s="3"/>
      <c r="D3" s="3"/>
      <c r="E3" s="3"/>
      <c r="F3" s="3"/>
      <c r="G3" s="3"/>
    </row>
    <row r="5" spans="1:7" ht="14.25">
      <c r="A5" s="6"/>
      <c r="B5" s="7"/>
      <c r="C5" s="162" t="s">
        <v>6</v>
      </c>
      <c r="D5" s="163"/>
      <c r="E5" s="163"/>
      <c r="F5" s="163"/>
      <c r="G5" s="164"/>
    </row>
    <row r="6" spans="1:7" ht="14.25">
      <c r="A6" s="13" t="s">
        <v>3</v>
      </c>
      <c r="B6" s="13" t="s">
        <v>11</v>
      </c>
      <c r="C6" s="11" t="s">
        <v>7</v>
      </c>
      <c r="D6" s="11" t="s">
        <v>8</v>
      </c>
      <c r="E6" s="11" t="s">
        <v>9</v>
      </c>
      <c r="F6" s="11" t="s">
        <v>10</v>
      </c>
      <c r="G6" s="12" t="s">
        <v>0</v>
      </c>
    </row>
    <row r="7" spans="1:7" ht="14.25">
      <c r="A7" s="5" t="s">
        <v>2</v>
      </c>
      <c r="B7" s="5" t="s">
        <v>12</v>
      </c>
      <c r="C7" s="8">
        <v>18588122</v>
      </c>
      <c r="D7" s="8">
        <v>698891.93</v>
      </c>
      <c r="E7" s="8">
        <v>34561715</v>
      </c>
      <c r="F7" s="8">
        <v>6643879</v>
      </c>
      <c r="G7" s="8">
        <f>SUM(C7:F7)</f>
        <v>60492608</v>
      </c>
    </row>
    <row r="8" spans="1:7" ht="14.65" thickBot="1">
      <c r="A8" s="14" t="s">
        <v>0</v>
      </c>
      <c r="B8" s="15"/>
      <c r="C8" s="16">
        <f>SUM(C7)</f>
        <v>18588122</v>
      </c>
      <c r="D8" s="16">
        <f t="shared" ref="D8:G8" si="0">SUM(D7)</f>
        <v>698892</v>
      </c>
      <c r="E8" s="16">
        <f t="shared" si="0"/>
        <v>34561715</v>
      </c>
      <c r="F8" s="16">
        <f t="shared" si="0"/>
        <v>6643879</v>
      </c>
      <c r="G8" s="16">
        <f t="shared" si="0"/>
        <v>60492608</v>
      </c>
    </row>
    <row r="9" spans="1:7" ht="14.65" thickBot="1">
      <c r="A9" s="9"/>
      <c r="B9" s="10" t="s">
        <v>13</v>
      </c>
      <c r="C9" s="17">
        <f>C8/$G$8</f>
        <v>0.30730000000000002</v>
      </c>
      <c r="D9" s="18">
        <f t="shared" ref="D9:G9" si="1">D8/$G$8</f>
        <v>1.1599999999999999E-2</v>
      </c>
      <c r="E9" s="140">
        <f t="shared" si="1"/>
        <v>0.57130000000000003</v>
      </c>
      <c r="F9" s="19">
        <f t="shared" si="1"/>
        <v>0.10979999999999999</v>
      </c>
      <c r="G9" s="17">
        <f t="shared" si="1"/>
        <v>1</v>
      </c>
    </row>
    <row r="10" spans="1:7">
      <c r="E10" s="69" t="s">
        <v>117</v>
      </c>
    </row>
  </sheetData>
  <mergeCells count="2">
    <mergeCell ref="A1:G1"/>
    <mergeCell ref="C5:G5"/>
  </mergeCells>
  <phoneticPr fontId="6" type="noConversion"/>
  <pageMargins left="0.7" right="0.7" top="0.75" bottom="0.75" header="0.3" footer="0.3"/>
  <pageSetup scale="87" orientation="portrait" r:id="rId1"/>
  <headerFooter>
    <oddHeader>&amp;RAdjustment No. &amp;U2.02 Pro-Forma Employee Benefits&amp;U
Workpaper Ref. &amp;U&amp;A</oddHeader>
    <oddFooter>&amp;L&amp;F&amp;RPrep by:   &amp;UAMB&amp;U
          Date:  &amp;U&amp;D&amp;U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="60" zoomScaleNormal="110" workbookViewId="0">
      <selection activeCell="K16" sqref="K16"/>
    </sheetView>
    <sheetView tabSelected="1" workbookViewId="1">
      <selection activeCell="C35" sqref="C35:C39"/>
    </sheetView>
  </sheetViews>
  <sheetFormatPr defaultColWidth="13.35546875" defaultRowHeight="13.15"/>
  <cols>
    <col min="1" max="1" width="13.35546875" style="96" customWidth="1"/>
    <col min="2" max="2" width="18" style="96" customWidth="1"/>
    <col min="3" max="3" width="23.140625" style="96" customWidth="1"/>
    <col min="4" max="7" width="13.35546875" style="96"/>
    <col min="8" max="8" width="14.5" style="96" bestFit="1" customWidth="1"/>
    <col min="9" max="9" width="16" style="96" customWidth="1"/>
    <col min="10" max="16384" width="13.35546875" style="96"/>
  </cols>
  <sheetData>
    <row r="1" spans="1:9">
      <c r="A1" s="95" t="s">
        <v>82</v>
      </c>
    </row>
    <row r="2" spans="1:9">
      <c r="A2" s="96" t="s">
        <v>83</v>
      </c>
    </row>
    <row r="3" spans="1:9">
      <c r="A3" s="97"/>
    </row>
    <row r="4" spans="1:9">
      <c r="A4" s="97" t="s">
        <v>84</v>
      </c>
    </row>
    <row r="5" spans="1:9">
      <c r="A5" s="97" t="s">
        <v>85</v>
      </c>
    </row>
    <row r="6" spans="1:9">
      <c r="A6" s="97" t="s">
        <v>86</v>
      </c>
    </row>
    <row r="8" spans="1:9">
      <c r="A8" s="98" t="s">
        <v>87</v>
      </c>
      <c r="D8" s="99"/>
      <c r="E8" s="99"/>
      <c r="F8" s="96" t="s">
        <v>88</v>
      </c>
      <c r="H8" s="100"/>
      <c r="I8" s="100"/>
    </row>
    <row r="9" spans="1:9">
      <c r="A9" s="95"/>
    </row>
    <row r="10" spans="1:9">
      <c r="A10" s="101" t="s">
        <v>89</v>
      </c>
      <c r="D10" s="102">
        <v>0.03</v>
      </c>
      <c r="H10" s="103"/>
      <c r="I10" s="103"/>
    </row>
    <row r="11" spans="1:9">
      <c r="A11" s="101" t="s">
        <v>90</v>
      </c>
      <c r="B11" s="101"/>
      <c r="C11" s="101"/>
      <c r="H11" s="103"/>
      <c r="I11" s="103"/>
    </row>
    <row r="12" spans="1:9">
      <c r="A12" s="101"/>
      <c r="B12" s="101"/>
      <c r="C12" s="104" t="str">
        <f xml:space="preserve"> "87/365 ="</f>
        <v>87/365 =</v>
      </c>
      <c r="D12" s="105">
        <f>ROUND(87/365,3)</f>
        <v>0.23799999999999999</v>
      </c>
      <c r="G12" s="106"/>
      <c r="H12" s="103"/>
      <c r="I12" s="103"/>
    </row>
    <row r="13" spans="1:9" ht="13.5" thickBot="1">
      <c r="A13" s="107" t="s">
        <v>91</v>
      </c>
      <c r="B13" s="101"/>
      <c r="C13" s="101"/>
      <c r="D13" s="108">
        <f>ROUND(D10*D12,5)</f>
        <v>7.1399999999999996E-3</v>
      </c>
      <c r="F13" s="96" t="s">
        <v>92</v>
      </c>
      <c r="H13" s="103"/>
      <c r="I13" s="103"/>
    </row>
    <row r="14" spans="1:9" ht="13.5" thickTop="1">
      <c r="D14" s="109"/>
      <c r="H14" s="103"/>
      <c r="I14" s="103"/>
    </row>
    <row r="15" spans="1:9" ht="13.5" thickBot="1">
      <c r="A15" s="95" t="s">
        <v>93</v>
      </c>
      <c r="B15" s="110"/>
      <c r="D15" s="111">
        <v>0.03</v>
      </c>
      <c r="F15" s="96" t="s">
        <v>94</v>
      </c>
      <c r="H15" s="103"/>
      <c r="I15" s="103"/>
    </row>
    <row r="16" spans="1:9" ht="14.25" customHeight="1" thickTop="1">
      <c r="D16" s="112"/>
      <c r="H16" s="103"/>
      <c r="I16" s="103"/>
    </row>
    <row r="17" spans="1:13" ht="13.5" thickBot="1">
      <c r="A17" s="101" t="s">
        <v>95</v>
      </c>
      <c r="D17" s="111">
        <v>0.03</v>
      </c>
      <c r="E17" s="95"/>
      <c r="F17" s="96" t="s">
        <v>96</v>
      </c>
      <c r="G17" s="113"/>
    </row>
    <row r="18" spans="1:13" ht="18" customHeight="1" thickTop="1">
      <c r="A18" s="101" t="s">
        <v>97</v>
      </c>
      <c r="B18" s="101"/>
      <c r="C18" s="101"/>
      <c r="E18" s="114"/>
    </row>
    <row r="19" spans="1:13">
      <c r="A19" s="101"/>
      <c r="B19" s="101"/>
      <c r="C19" s="104" t="str">
        <f>"187/365="</f>
        <v>187/365=</v>
      </c>
      <c r="D19" s="105">
        <f>ROUND(187/365,3)</f>
        <v>0.51200000000000001</v>
      </c>
      <c r="E19" s="115">
        <f>D17+D20</f>
        <v>0.03</v>
      </c>
      <c r="K19" s="96" t="s">
        <v>98</v>
      </c>
      <c r="L19" s="96">
        <v>4</v>
      </c>
    </row>
    <row r="20" spans="1:13" ht="13.5" thickBot="1">
      <c r="A20" s="95" t="s">
        <v>99</v>
      </c>
      <c r="D20" s="145">
        <v>0</v>
      </c>
      <c r="E20" s="109"/>
      <c r="F20" s="96" t="s">
        <v>100</v>
      </c>
      <c r="H20" s="116"/>
      <c r="K20" s="96" t="s">
        <v>101</v>
      </c>
      <c r="L20" s="96">
        <v>30</v>
      </c>
    </row>
    <row r="21" spans="1:13" ht="13.5" thickTop="1">
      <c r="E21" s="109"/>
      <c r="H21" s="116"/>
      <c r="K21" s="96" t="s">
        <v>102</v>
      </c>
      <c r="L21" s="96">
        <v>31</v>
      </c>
    </row>
    <row r="22" spans="1:13">
      <c r="E22" s="109"/>
      <c r="K22" s="96" t="s">
        <v>103</v>
      </c>
      <c r="L22" s="96">
        <v>30</v>
      </c>
    </row>
    <row r="23" spans="1:13">
      <c r="A23" s="98" t="s">
        <v>104</v>
      </c>
      <c r="E23" s="109"/>
      <c r="K23" s="96" t="s">
        <v>105</v>
      </c>
      <c r="L23" s="96">
        <v>31</v>
      </c>
    </row>
    <row r="24" spans="1:13">
      <c r="A24" s="95"/>
      <c r="E24" s="109"/>
      <c r="K24" s="96" t="s">
        <v>106</v>
      </c>
      <c r="L24" s="96">
        <v>31</v>
      </c>
    </row>
    <row r="25" spans="1:13">
      <c r="A25" s="101" t="s">
        <v>107</v>
      </c>
      <c r="D25" s="102">
        <v>0.03</v>
      </c>
      <c r="E25" s="117"/>
      <c r="K25" s="96" t="s">
        <v>108</v>
      </c>
      <c r="L25" s="96">
        <v>30</v>
      </c>
    </row>
    <row r="26" spans="1:13" ht="14.25" customHeight="1">
      <c r="A26" s="101" t="s">
        <v>109</v>
      </c>
      <c r="B26" s="101"/>
      <c r="C26" s="101"/>
      <c r="E26" s="117"/>
      <c r="L26" s="96">
        <f>SUM(L19:L25)</f>
        <v>187</v>
      </c>
      <c r="M26" s="96" t="s">
        <v>110</v>
      </c>
    </row>
    <row r="27" spans="1:13">
      <c r="A27" s="101"/>
      <c r="B27" s="101"/>
      <c r="C27" s="104" t="str">
        <f>"63/365="</f>
        <v>63/365=</v>
      </c>
      <c r="D27" s="105">
        <f>ROUND(63/365,3)</f>
        <v>0.17299999999999999</v>
      </c>
      <c r="E27" s="118"/>
      <c r="L27" s="119">
        <f>187/365</f>
        <v>0.51</v>
      </c>
    </row>
    <row r="28" spans="1:13" ht="13.5" thickBot="1">
      <c r="A28" s="95" t="s">
        <v>91</v>
      </c>
      <c r="D28" s="108">
        <f>ROUND(D27*D25,6)</f>
        <v>5.1900000000000002E-3</v>
      </c>
      <c r="E28" s="120"/>
    </row>
    <row r="29" spans="1:13" ht="13.5" thickTop="1">
      <c r="D29" s="109"/>
      <c r="E29" s="118"/>
    </row>
    <row r="30" spans="1:13" ht="13.5" thickBot="1">
      <c r="A30" s="95" t="s">
        <v>93</v>
      </c>
      <c r="D30" s="111">
        <v>0.03</v>
      </c>
    </row>
    <row r="31" spans="1:13" ht="13.5" thickTop="1">
      <c r="D31" s="121"/>
    </row>
    <row r="32" spans="1:13" ht="13.5" thickBot="1">
      <c r="A32" s="101" t="s">
        <v>111</v>
      </c>
      <c r="D32" s="111">
        <v>0.03</v>
      </c>
    </row>
    <row r="33" spans="1:7" ht="18.75" customHeight="1" thickTop="1">
      <c r="A33" s="101" t="s">
        <v>112</v>
      </c>
      <c r="B33" s="101"/>
      <c r="C33" s="101"/>
      <c r="E33" s="115">
        <f>D32+D35</f>
        <v>0.03</v>
      </c>
    </row>
    <row r="34" spans="1:7">
      <c r="A34" s="101"/>
      <c r="B34" s="101"/>
      <c r="C34" s="104" t="str">
        <f>"183/365="</f>
        <v>183/365=</v>
      </c>
      <c r="D34" s="105"/>
      <c r="E34" s="114"/>
      <c r="G34" s="122"/>
    </row>
    <row r="35" spans="1:7" ht="13.5" thickBot="1">
      <c r="A35" s="95" t="s">
        <v>113</v>
      </c>
      <c r="D35" s="145">
        <f>ROUND(D34*D32,6)</f>
        <v>0</v>
      </c>
      <c r="F35" s="96" t="s">
        <v>114</v>
      </c>
      <c r="G35" s="113"/>
    </row>
    <row r="36" spans="1:7" ht="13.7" customHeight="1" thickTop="1"/>
    <row r="37" spans="1:7">
      <c r="G37" s="123"/>
    </row>
    <row r="38" spans="1:7">
      <c r="A38" s="95"/>
      <c r="B38" s="124"/>
    </row>
  </sheetData>
  <pageMargins left="0.61" right="0.75" top="1" bottom="1" header="0.5" footer="0.5"/>
  <pageSetup scale="90" orientation="portrait" r:id="rId1"/>
  <headerFooter alignWithMargins="0">
    <oddHeader>&amp;RAdjustment No. 3.02 Pro-Forma Non-Exec
Workpaper Ref. &amp;A</oddHeader>
    <oddFooter>&amp;L&amp;F&amp;RPrep by:  AMB
          Date:  &amp;D           Mgr. Review:__________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J9"/>
  <sheetViews>
    <sheetView workbookViewId="0">
      <selection activeCell="I22" sqref="I22"/>
    </sheetView>
    <sheetView workbookViewId="1"/>
  </sheetViews>
  <sheetFormatPr defaultColWidth="9.35546875" defaultRowHeight="15.4"/>
  <cols>
    <col min="1" max="4" width="9.35546875" style="146"/>
    <col min="5" max="5" width="20" style="146" customWidth="1"/>
    <col min="6" max="6" width="8.85546875" style="146" customWidth="1"/>
    <col min="7" max="7" width="16.35546875" style="146" bestFit="1" customWidth="1"/>
    <col min="8" max="8" width="15" style="146" customWidth="1"/>
    <col min="9" max="9" width="15.35546875" style="146" customWidth="1"/>
    <col min="10" max="10" width="19.35546875" style="146" customWidth="1"/>
    <col min="11" max="11" width="11.140625" style="146" customWidth="1"/>
    <col min="12" max="16384" width="9.35546875" style="146"/>
  </cols>
  <sheetData>
    <row r="5" spans="5:10" ht="15.75" thickBot="1"/>
    <row r="6" spans="5:10">
      <c r="E6" s="165" t="s">
        <v>124</v>
      </c>
      <c r="F6" s="166"/>
      <c r="G6" s="150" t="s">
        <v>37</v>
      </c>
      <c r="H6" s="150" t="s">
        <v>32</v>
      </c>
      <c r="I6" s="150" t="s">
        <v>125</v>
      </c>
      <c r="J6" s="151" t="s">
        <v>126</v>
      </c>
    </row>
    <row r="7" spans="5:10">
      <c r="E7" s="152" t="s">
        <v>36</v>
      </c>
      <c r="F7" s="147"/>
      <c r="G7" s="148">
        <v>4710705</v>
      </c>
      <c r="H7" s="148">
        <f>G7*0.5713</f>
        <v>2691226</v>
      </c>
      <c r="I7" s="148">
        <f>H7*'WA GRC BEN-01'!A38*'WA GRC BEN-01'!A39</f>
        <v>1314014</v>
      </c>
      <c r="J7" s="153">
        <f>H7*'WA GRC BEN-01'!A42*'WA GRC BEN-01'!A43</f>
        <v>400751</v>
      </c>
    </row>
    <row r="8" spans="5:10">
      <c r="E8" s="152" t="s">
        <v>4</v>
      </c>
      <c r="F8" s="147"/>
      <c r="G8" s="149">
        <v>-695754</v>
      </c>
      <c r="H8" s="149">
        <f>G8*0.5713</f>
        <v>-397484</v>
      </c>
      <c r="I8" s="149">
        <f>H8*'WA GRC BEN-01'!A38*'WA GRC BEN-01'!A39</f>
        <v>-194075</v>
      </c>
      <c r="J8" s="154">
        <f>H8*'WA GRC BEN-01'!A42*'WA GRC BEN-01'!A43</f>
        <v>-59189</v>
      </c>
    </row>
    <row r="9" spans="5:10" ht="15.75" thickBot="1">
      <c r="E9" s="155"/>
      <c r="F9" s="156" t="s">
        <v>0</v>
      </c>
      <c r="G9" s="157">
        <f>G7+G8</f>
        <v>4014951</v>
      </c>
      <c r="H9" s="157">
        <f t="shared" ref="H9:J9" si="0">H7+H8</f>
        <v>2293742</v>
      </c>
      <c r="I9" s="157">
        <f t="shared" si="0"/>
        <v>1119939</v>
      </c>
      <c r="J9" s="158">
        <f t="shared" si="0"/>
        <v>341562</v>
      </c>
    </row>
  </sheetData>
  <mergeCells count="1">
    <mergeCell ref="E6:F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18" sqref="I18:M21"/>
    </sheetView>
    <sheetView workbookViewId="1"/>
  </sheetViews>
  <sheetFormatPr defaultColWidth="9.35546875" defaultRowHeight="14.25"/>
  <cols>
    <col min="1" max="1" width="56.5" style="20" customWidth="1"/>
    <col min="2" max="2" width="9.35546875" style="20"/>
    <col min="3" max="3" width="19.85546875" style="20" customWidth="1"/>
    <col min="4" max="4" width="21.35546875" style="20" customWidth="1"/>
    <col min="5" max="5" width="17.35546875" style="20" customWidth="1"/>
    <col min="6" max="8" width="9.35546875" style="20"/>
    <col min="9" max="9" width="19.5" style="20" customWidth="1"/>
    <col min="10" max="13" width="14.35546875" style="20" customWidth="1"/>
    <col min="14" max="16384" width="9.35546875" style="20"/>
  </cols>
  <sheetData>
    <row r="1" spans="1:13" ht="28.5">
      <c r="C1" s="20">
        <v>2016</v>
      </c>
      <c r="D1" s="20">
        <v>2018</v>
      </c>
      <c r="E1" s="38" t="s">
        <v>35</v>
      </c>
      <c r="I1" s="20">
        <v>2016</v>
      </c>
      <c r="J1" s="40" t="s">
        <v>37</v>
      </c>
      <c r="K1" s="40" t="s">
        <v>32</v>
      </c>
      <c r="L1" s="40" t="s">
        <v>38</v>
      </c>
      <c r="M1" s="40" t="s">
        <v>39</v>
      </c>
    </row>
    <row r="2" spans="1:13">
      <c r="A2" s="27" t="s">
        <v>29</v>
      </c>
      <c r="B2" s="27" t="s">
        <v>17</v>
      </c>
      <c r="C2" s="28">
        <f>25697085+96132</f>
        <v>25793217</v>
      </c>
      <c r="D2" s="28" t="e">
        <f>#REF!</f>
        <v>#REF!</v>
      </c>
      <c r="I2" s="20" t="s">
        <v>36</v>
      </c>
      <c r="J2" s="36">
        <f>(C18)/1000</f>
        <v>33205</v>
      </c>
      <c r="K2" s="22" t="e">
        <f>(C20)/1000</f>
        <v>#REF!</v>
      </c>
      <c r="L2" s="22" t="e">
        <f>(C22)/1000</f>
        <v>#REF!</v>
      </c>
      <c r="M2" s="22" t="e">
        <f>(C24)/1000</f>
        <v>#REF!</v>
      </c>
    </row>
    <row r="3" spans="1:13">
      <c r="A3" s="27" t="s">
        <v>25</v>
      </c>
      <c r="B3" s="27" t="s">
        <v>24</v>
      </c>
      <c r="C3" s="29">
        <v>11411512</v>
      </c>
      <c r="D3" s="29" t="e">
        <f>#REF!</f>
        <v>#REF!</v>
      </c>
      <c r="I3" s="20" t="s">
        <v>4</v>
      </c>
      <c r="J3" s="41">
        <f>(C4)/1000</f>
        <v>37205</v>
      </c>
      <c r="K3" s="42" t="e">
        <f>(C6)/1000</f>
        <v>#REF!</v>
      </c>
      <c r="L3" s="42" t="e">
        <f>(C8)/1000</f>
        <v>#REF!</v>
      </c>
      <c r="M3" s="42" t="e">
        <f>(C10)/1000</f>
        <v>#REF!</v>
      </c>
    </row>
    <row r="4" spans="1:13">
      <c r="A4" s="30" t="s">
        <v>27</v>
      </c>
      <c r="B4" s="30"/>
      <c r="C4" s="31">
        <f>SUM(C2:C3)</f>
        <v>37204729</v>
      </c>
      <c r="D4" s="31" t="e">
        <f>SUM(D2:D3)</f>
        <v>#REF!</v>
      </c>
      <c r="E4" s="36" t="e">
        <f>D4-C4</f>
        <v>#REF!</v>
      </c>
      <c r="J4" s="36">
        <f>SUM(J2:J3)</f>
        <v>70410</v>
      </c>
      <c r="K4" s="36" t="e">
        <f t="shared" ref="K4:M4" si="0">SUM(K2:K3)</f>
        <v>#REF!</v>
      </c>
      <c r="L4" s="36" t="e">
        <f t="shared" si="0"/>
        <v>#REF!</v>
      </c>
      <c r="M4" s="36" t="e">
        <f t="shared" si="0"/>
        <v>#REF!</v>
      </c>
    </row>
    <row r="5" spans="1:13">
      <c r="B5" s="20" t="s">
        <v>32</v>
      </c>
      <c r="C5" s="32" t="e">
        <f>#REF!</f>
        <v>#REF!</v>
      </c>
      <c r="D5" s="32" t="e">
        <f>#REF!</f>
        <v>#REF!</v>
      </c>
    </row>
    <row r="6" spans="1:13">
      <c r="C6" s="21" t="e">
        <f>C4*C5</f>
        <v>#REF!</v>
      </c>
      <c r="D6" s="21" t="e">
        <f>D4*D5</f>
        <v>#REF!</v>
      </c>
      <c r="E6" s="22" t="e">
        <f>D6-C6</f>
        <v>#REF!</v>
      </c>
      <c r="I6" s="20">
        <v>2018</v>
      </c>
    </row>
    <row r="7" spans="1:13">
      <c r="I7" s="20" t="s">
        <v>36</v>
      </c>
      <c r="J7" s="36" t="e">
        <f>(D18)/1000</f>
        <v>#REF!</v>
      </c>
      <c r="K7" s="22" t="e">
        <f>(D20)/1000</f>
        <v>#REF!</v>
      </c>
      <c r="L7" s="22" t="e">
        <f>(D22)/1000</f>
        <v>#REF!</v>
      </c>
      <c r="M7" s="22" t="e">
        <f>(D24)/1000</f>
        <v>#REF!</v>
      </c>
    </row>
    <row r="8" spans="1:13">
      <c r="B8" s="20" t="s">
        <v>33</v>
      </c>
      <c r="C8" s="37" t="e">
        <f>C6*#REF!</f>
        <v>#REF!</v>
      </c>
      <c r="D8" s="37" t="e">
        <f>D6*#REF!</f>
        <v>#REF!</v>
      </c>
      <c r="E8" s="37" t="e">
        <f>D8-C8</f>
        <v>#REF!</v>
      </c>
      <c r="I8" s="20" t="s">
        <v>4</v>
      </c>
      <c r="J8" s="41" t="e">
        <f>(D4)/1000</f>
        <v>#REF!</v>
      </c>
      <c r="K8" s="42" t="e">
        <f>(D6)/1000</f>
        <v>#REF!</v>
      </c>
      <c r="L8" s="42" t="e">
        <f>(D8)/1000</f>
        <v>#REF!</v>
      </c>
      <c r="M8" s="42" t="e">
        <f>(D10)/1000</f>
        <v>#REF!</v>
      </c>
    </row>
    <row r="9" spans="1:13">
      <c r="C9" s="37"/>
      <c r="D9" s="37"/>
      <c r="E9" s="37"/>
      <c r="J9" s="36" t="e">
        <f>SUM(J7:J8)</f>
        <v>#REF!</v>
      </c>
      <c r="K9" s="36" t="e">
        <f t="shared" ref="K9:M9" si="1">SUM(K7:K8)</f>
        <v>#REF!</v>
      </c>
      <c r="L9" s="36" t="e">
        <f t="shared" si="1"/>
        <v>#REF!</v>
      </c>
      <c r="M9" s="36" t="e">
        <f t="shared" si="1"/>
        <v>#REF!</v>
      </c>
    </row>
    <row r="10" spans="1:13">
      <c r="B10" s="20" t="s">
        <v>34</v>
      </c>
      <c r="C10" s="37" t="e">
        <f>C6*#REF!</f>
        <v>#REF!</v>
      </c>
      <c r="D10" s="37" t="e">
        <f>D6*#REF!</f>
        <v>#REF!</v>
      </c>
      <c r="E10" s="37" t="e">
        <f>D10-C10</f>
        <v>#REF!</v>
      </c>
    </row>
    <row r="12" spans="1:13">
      <c r="I12" s="20" t="s">
        <v>1</v>
      </c>
    </row>
    <row r="13" spans="1:13">
      <c r="I13" s="20" t="s">
        <v>36</v>
      </c>
      <c r="J13" s="36" t="e">
        <f>J7-J2</f>
        <v>#REF!</v>
      </c>
      <c r="K13" s="36" t="e">
        <f t="shared" ref="K13:M13" si="2">K7-K2</f>
        <v>#REF!</v>
      </c>
      <c r="L13" s="36" t="e">
        <f t="shared" si="2"/>
        <v>#REF!</v>
      </c>
      <c r="M13" s="36" t="e">
        <f t="shared" si="2"/>
        <v>#REF!</v>
      </c>
    </row>
    <row r="14" spans="1:13">
      <c r="C14" s="20">
        <v>2016</v>
      </c>
      <c r="D14" s="20">
        <v>2018</v>
      </c>
      <c r="E14" s="38" t="s">
        <v>35</v>
      </c>
      <c r="I14" s="20" t="s">
        <v>4</v>
      </c>
      <c r="J14" s="36" t="e">
        <f>J8-J3</f>
        <v>#REF!</v>
      </c>
      <c r="K14" s="36" t="e">
        <f t="shared" ref="K14:M14" si="3">K8-K3</f>
        <v>#REF!</v>
      </c>
      <c r="L14" s="36" t="e">
        <f t="shared" si="3"/>
        <v>#REF!</v>
      </c>
      <c r="M14" s="36" t="e">
        <f t="shared" si="3"/>
        <v>#REF!</v>
      </c>
    </row>
    <row r="15" spans="1:13">
      <c r="A15" s="27" t="s">
        <v>19</v>
      </c>
      <c r="B15" s="27" t="s">
        <v>18</v>
      </c>
      <c r="C15" s="28">
        <v>8062842</v>
      </c>
      <c r="D15" s="28" t="e">
        <f>#REF!</f>
        <v>#REF!</v>
      </c>
      <c r="J15" s="36" t="e">
        <f>SUM(J13:J14)</f>
        <v>#REF!</v>
      </c>
      <c r="K15" s="36" t="e">
        <f t="shared" ref="K15" si="4">SUM(K13:K14)</f>
        <v>#REF!</v>
      </c>
      <c r="L15" s="36" t="e">
        <f t="shared" ref="L15" si="5">SUM(L13:L14)</f>
        <v>#REF!</v>
      </c>
      <c r="M15" s="36" t="e">
        <f t="shared" ref="M15" si="6">SUM(M13:M14)</f>
        <v>#REF!</v>
      </c>
    </row>
    <row r="16" spans="1:13">
      <c r="A16" s="27" t="s">
        <v>21</v>
      </c>
      <c r="B16" s="27" t="s">
        <v>20</v>
      </c>
      <c r="C16" s="28">
        <v>492612</v>
      </c>
      <c r="D16" s="28" t="e">
        <f>#REF!</f>
        <v>#REF!</v>
      </c>
    </row>
    <row r="17" spans="1:13">
      <c r="A17" s="27" t="s">
        <v>23</v>
      </c>
      <c r="B17" s="27" t="s">
        <v>22</v>
      </c>
      <c r="C17" s="29">
        <v>24649327</v>
      </c>
      <c r="D17" s="29" t="e">
        <f>#REF!</f>
        <v>#REF!</v>
      </c>
      <c r="E17" s="36"/>
    </row>
    <row r="18" spans="1:13" ht="27.75">
      <c r="A18" s="30" t="s">
        <v>28</v>
      </c>
      <c r="B18" s="30"/>
      <c r="C18" s="31">
        <f>SUM(C15:C17)</f>
        <v>33204781</v>
      </c>
      <c r="D18" s="31" t="e">
        <f>SUM(D14:D17)</f>
        <v>#REF!</v>
      </c>
      <c r="E18" s="36" t="e">
        <f>D18-C18</f>
        <v>#REF!</v>
      </c>
      <c r="I18" s="51" t="s">
        <v>1</v>
      </c>
      <c r="J18" s="52" t="s">
        <v>37</v>
      </c>
      <c r="K18" s="52" t="s">
        <v>32</v>
      </c>
      <c r="L18" s="52" t="s">
        <v>38</v>
      </c>
      <c r="M18" s="53" t="s">
        <v>39</v>
      </c>
    </row>
    <row r="19" spans="1:13">
      <c r="B19" s="20" t="s">
        <v>32</v>
      </c>
      <c r="C19" s="39" t="e">
        <f>C5</f>
        <v>#REF!</v>
      </c>
      <c r="D19" s="39" t="e">
        <f>C19</f>
        <v>#REF!</v>
      </c>
      <c r="E19" s="22"/>
      <c r="I19" s="43" t="s">
        <v>36</v>
      </c>
      <c r="J19" s="44" t="e">
        <f>J13*1000</f>
        <v>#REF!</v>
      </c>
      <c r="K19" s="44" t="e">
        <f t="shared" ref="K19:M20" si="7">K13*1000</f>
        <v>#REF!</v>
      </c>
      <c r="L19" s="44" t="e">
        <f t="shared" si="7"/>
        <v>#REF!</v>
      </c>
      <c r="M19" s="45" t="e">
        <f t="shared" si="7"/>
        <v>#REF!</v>
      </c>
    </row>
    <row r="20" spans="1:13">
      <c r="C20" s="21" t="e">
        <f>C18*C19</f>
        <v>#REF!</v>
      </c>
      <c r="D20" s="21" t="e">
        <f>D18*D19</f>
        <v>#REF!</v>
      </c>
      <c r="E20" s="22" t="e">
        <f>D20-C20</f>
        <v>#REF!</v>
      </c>
      <c r="I20" s="43" t="s">
        <v>4</v>
      </c>
      <c r="J20" s="48" t="e">
        <f>J14*1000</f>
        <v>#REF!</v>
      </c>
      <c r="K20" s="48" t="e">
        <f t="shared" si="7"/>
        <v>#REF!</v>
      </c>
      <c r="L20" s="48" t="e">
        <f t="shared" si="7"/>
        <v>#REF!</v>
      </c>
      <c r="M20" s="49" t="e">
        <f t="shared" si="7"/>
        <v>#REF!</v>
      </c>
    </row>
    <row r="21" spans="1:13">
      <c r="I21" s="50" t="s">
        <v>0</v>
      </c>
      <c r="J21" s="46" t="e">
        <f>SUM(J19:J20)</f>
        <v>#REF!</v>
      </c>
      <c r="K21" s="46" t="e">
        <f t="shared" ref="K21" si="8">SUM(K19:K20)</f>
        <v>#REF!</v>
      </c>
      <c r="L21" s="46" t="e">
        <f t="shared" ref="L21" si="9">SUM(L19:L20)</f>
        <v>#REF!</v>
      </c>
      <c r="M21" s="47" t="e">
        <f t="shared" ref="M21" si="10">SUM(M19:M20)</f>
        <v>#REF!</v>
      </c>
    </row>
    <row r="22" spans="1:13">
      <c r="B22" s="20" t="s">
        <v>33</v>
      </c>
      <c r="C22" s="37" t="e">
        <f>C20*#REF!</f>
        <v>#REF!</v>
      </c>
      <c r="D22" s="37" t="e">
        <f>D20*#REF!</f>
        <v>#REF!</v>
      </c>
      <c r="E22" s="22" t="e">
        <f>D22-C22</f>
        <v>#REF!</v>
      </c>
      <c r="I22" s="1"/>
      <c r="J22" s="1"/>
      <c r="K22" s="1"/>
      <c r="L22" s="1"/>
      <c r="M22" s="1"/>
    </row>
    <row r="23" spans="1:13">
      <c r="C23" s="37"/>
      <c r="D23" s="37"/>
      <c r="E23" s="22"/>
    </row>
    <row r="24" spans="1:13">
      <c r="B24" s="20" t="s">
        <v>34</v>
      </c>
      <c r="C24" s="37" t="e">
        <f>C20*#REF!</f>
        <v>#REF!</v>
      </c>
      <c r="D24" s="37" t="e">
        <f>D20*#REF!</f>
        <v>#REF!</v>
      </c>
      <c r="E24" s="22" t="e">
        <f>D24-C24</f>
        <v>#REF!</v>
      </c>
    </row>
    <row r="28" spans="1:13">
      <c r="B28" s="20" t="s">
        <v>0</v>
      </c>
    </row>
    <row r="29" spans="1:13">
      <c r="B29" s="20" t="s">
        <v>33</v>
      </c>
      <c r="E29" s="35" t="e">
        <f>E22+E8</f>
        <v>#REF!</v>
      </c>
    </row>
    <row r="30" spans="1:13">
      <c r="B30" s="20" t="s">
        <v>34</v>
      </c>
      <c r="E30" s="35" t="e">
        <f>E24+E10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0629EB-06C3-41F7-BFAA-0F5902800B0B}"/>
</file>

<file path=customXml/itemProps2.xml><?xml version="1.0" encoding="utf-8"?>
<ds:datastoreItem xmlns:ds="http://schemas.openxmlformats.org/officeDocument/2006/customXml" ds:itemID="{F4AF684E-B312-4CF1-82A6-95E0C52145E8}"/>
</file>

<file path=customXml/itemProps3.xml><?xml version="1.0" encoding="utf-8"?>
<ds:datastoreItem xmlns:ds="http://schemas.openxmlformats.org/officeDocument/2006/customXml" ds:itemID="{5FDE69E4-D7A0-4B84-9E8E-8C2D9B858E59}"/>
</file>

<file path=customXml/itemProps4.xml><?xml version="1.0" encoding="utf-8"?>
<ds:datastoreItem xmlns:ds="http://schemas.openxmlformats.org/officeDocument/2006/customXml" ds:itemID="{DCD632DA-D7E3-448B-9C51-F1C1A00EE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WA GRC BEN-01</vt:lpstr>
      <vt:lpstr>BEN-02 (Data)</vt:lpstr>
      <vt:lpstr>BEN-03 (% Util-Non-Util)</vt:lpstr>
      <vt:lpstr>Pro-Forma Increases</vt:lpstr>
      <vt:lpstr>table</vt:lpstr>
      <vt:lpstr>for Testimony</vt:lpstr>
      <vt:lpstr>'BEN-03 (% Util-Non-Util)'!Print_Area</vt:lpstr>
      <vt:lpstr>'Pro-Forma Increases'!Print_Area</vt:lpstr>
      <vt:lpstr>'WA GRC BEN-01'!Print_Area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Brandon, Annette</cp:lastModifiedBy>
  <cp:lastPrinted>2020-09-22T00:30:19Z</cp:lastPrinted>
  <dcterms:created xsi:type="dcterms:W3CDTF">1998-07-15T16:25:24Z</dcterms:created>
  <dcterms:modified xsi:type="dcterms:W3CDTF">2020-10-26T16:13:21Z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