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255" windowWidth="19320" windowHeight="6315"/>
  </bookViews>
  <sheets>
    <sheet name="Kroger Exhibit No. KCH-4" sheetId="1" r:id="rId1"/>
    <sheet name="Kroger Exhibit No. KCH-5" sheetId="3" r:id="rId2"/>
  </sheets>
  <definedNames>
    <definedName name="_xlnm.Print_Area" localSheetId="1">'Kroger Exhibit No. KCH-5'!$A$1:$J$47</definedName>
  </definedNames>
  <calcPr calcId="125725"/>
</workbook>
</file>

<file path=xl/calcChain.xml><?xml version="1.0" encoding="utf-8"?>
<calcChain xmlns="http://schemas.openxmlformats.org/spreadsheetml/2006/main">
  <c r="A40" i="3"/>
  <c r="A41"/>
  <c r="A42" s="1"/>
  <c r="A43" s="1"/>
  <c r="A44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H40"/>
  <c r="J35"/>
  <c r="H35"/>
  <c r="H33" s="1"/>
  <c r="J23"/>
  <c r="H23"/>
  <c r="E21"/>
  <c r="D21"/>
  <c r="D31" s="1"/>
  <c r="D37" s="1"/>
  <c r="G19"/>
  <c r="E15"/>
  <c r="D15"/>
  <c r="G14"/>
  <c r="H34" l="1"/>
  <c r="E31"/>
  <c r="E37" l="1"/>
  <c r="H37" l="1"/>
  <c r="F18"/>
  <c r="H41"/>
  <c r="F29"/>
  <c r="F27"/>
  <c r="F25"/>
  <c r="F12"/>
  <c r="F8"/>
  <c r="H42"/>
  <c r="F20"/>
  <c r="F11"/>
  <c r="F13"/>
  <c r="F37" l="1"/>
  <c r="H43"/>
  <c r="H44" s="1"/>
  <c r="I21" i="1"/>
  <c r="I10" s="1"/>
  <c r="I23" l="1"/>
  <c r="I25" s="1"/>
  <c r="H20" i="3"/>
  <c r="I20" s="1"/>
  <c r="J20" s="1"/>
  <c r="H14"/>
  <c r="H19"/>
  <c r="H18"/>
  <c r="I18" s="1"/>
  <c r="H13"/>
  <c r="I13" s="1"/>
  <c r="J13" s="1"/>
  <c r="H29"/>
  <c r="I29" s="1"/>
  <c r="H27"/>
  <c r="I27" s="1"/>
  <c r="J27" s="1"/>
  <c r="H25"/>
  <c r="I25" s="1"/>
  <c r="J25" s="1"/>
  <c r="H12"/>
  <c r="I12" s="1"/>
  <c r="J12" s="1"/>
  <c r="H8"/>
  <c r="I8" s="1"/>
  <c r="J8" s="1"/>
  <c r="H11"/>
  <c r="I11" s="1"/>
  <c r="I30" i="1"/>
  <c r="I28"/>
  <c r="I21" i="3" l="1"/>
  <c r="H21" s="1"/>
  <c r="J18"/>
  <c r="J21" s="1"/>
  <c r="J29"/>
  <c r="J11"/>
  <c r="I15"/>
  <c r="H15" s="1"/>
  <c r="I31" l="1"/>
  <c r="H31" s="1"/>
  <c r="J15"/>
  <c r="I37" l="1"/>
  <c r="J31"/>
  <c r="J37" l="1"/>
</calcChain>
</file>

<file path=xl/sharedStrings.xml><?xml version="1.0" encoding="utf-8"?>
<sst xmlns="http://schemas.openxmlformats.org/spreadsheetml/2006/main" count="94" uniqueCount="91">
  <si>
    <t>Kroger Recommended Approach to Reflect</t>
  </si>
  <si>
    <t xml:space="preserve"> Pro Forma REC Revenues in PSE's Rate Year</t>
  </si>
  <si>
    <t>(Amounts shown are for Illustrative Purposes Only)</t>
  </si>
  <si>
    <t>Line</t>
  </si>
  <si>
    <t>FERC</t>
  </si>
  <si>
    <t>Pro Forma</t>
  </si>
  <si>
    <t>No.</t>
  </si>
  <si>
    <t>Acct</t>
  </si>
  <si>
    <t>Adjustment</t>
  </si>
  <si>
    <t>Source</t>
  </si>
  <si>
    <t>Adjustment to Revenues:</t>
  </si>
  <si>
    <t>Other Electric Revenues</t>
  </si>
  <si>
    <t>= Ln. 5</t>
  </si>
  <si>
    <t>Derivation of Pro Forma REC Revenues</t>
  </si>
  <si>
    <t>Amount</t>
  </si>
  <si>
    <t>Annual REC Revenues Collected ($)</t>
  </si>
  <si>
    <t>Recommended REC Amortization Period (Yrs)</t>
  </si>
  <si>
    <t>Kroger Recommendation</t>
  </si>
  <si>
    <t>Test Year REC Pro Forma REC Revenues ($)</t>
  </si>
  <si>
    <t>Federal Income Tax Expense @ 35%</t>
  </si>
  <si>
    <t>= 35% x Ln. 5</t>
  </si>
  <si>
    <t>Net Operating Income Change</t>
  </si>
  <si>
    <t>= Ln. 5 - Ln. 6</t>
  </si>
  <si>
    <t>Estimated Revenue Requirement Impact</t>
  </si>
  <si>
    <t>= Ln. 7</t>
  </si>
  <si>
    <t>PSE Conversion Factor</t>
  </si>
  <si>
    <t>PSE Exhibit No. ___ (JHS-7), p. 3 of 3.</t>
  </si>
  <si>
    <t>Estimated Income Statement Revenue Requirement Impact</t>
  </si>
  <si>
    <t>rate base nor the associated rate base revenue requirement impact.</t>
  </si>
  <si>
    <t>= Ln. 3 ÷ Ln. 4</t>
  </si>
  <si>
    <t>= Ln. 8 ÷ Ln. 9</t>
  </si>
  <si>
    <r>
      <t xml:space="preserve">Note:  This illustrative approach does not include the </t>
    </r>
    <r>
      <rPr>
        <i/>
        <u/>
        <sz val="10"/>
        <rFont val="Times New Roman"/>
        <family val="1"/>
      </rPr>
      <t>net</t>
    </r>
    <r>
      <rPr>
        <sz val="10"/>
        <rFont val="Times New Roman"/>
        <family val="1"/>
      </rPr>
      <t xml:space="preserve"> regulatory liability that would be included in PSE's allowed</t>
    </r>
  </si>
  <si>
    <t>Twelve Months ended December 2010</t>
  </si>
  <si>
    <t>Twelve Months ended December 2008</t>
  </si>
  <si>
    <t>Line No.</t>
  </si>
  <si>
    <t>Voltage Level</t>
  </si>
  <si>
    <t>Schedule</t>
  </si>
  <si>
    <t>kWh</t>
  </si>
  <si>
    <t>Proforma
Revenue</t>
  </si>
  <si>
    <t>Percent of Total w/o Schedule 40, Firm Resale &amp; Special Contract</t>
  </si>
  <si>
    <t>Percent of Uniform Increase</t>
  </si>
  <si>
    <t>Proposed Revenue Increase (%)</t>
  </si>
  <si>
    <t>Proposed
Revenue</t>
  </si>
  <si>
    <t>A</t>
  </si>
  <si>
    <t>B</t>
  </si>
  <si>
    <t>D</t>
  </si>
  <si>
    <t>E</t>
  </si>
  <si>
    <t>F</t>
  </si>
  <si>
    <t>G  = B x F</t>
  </si>
  <si>
    <t>H = B + G</t>
  </si>
  <si>
    <t>Residential</t>
  </si>
  <si>
    <t>Secondary Voltage</t>
  </si>
  <si>
    <t>Demand &lt;= 50 kW</t>
  </si>
  <si>
    <t>Demand &gt; 50 kW but &lt;= 350 kW</t>
  </si>
  <si>
    <t>25 / 29</t>
  </si>
  <si>
    <t>Demand &gt; 350 kW</t>
  </si>
  <si>
    <t>26 / 26P</t>
  </si>
  <si>
    <t>Seasonal Irrigation &amp; Drainage Pumping</t>
  </si>
  <si>
    <t>Included with Sch. 25</t>
  </si>
  <si>
    <t>Total Secondary Voltage</t>
  </si>
  <si>
    <t>25/25/26/29</t>
  </si>
  <si>
    <t>Primary Voltage</t>
  </si>
  <si>
    <t>General Service / Irrigation</t>
  </si>
  <si>
    <t>31 / 35</t>
  </si>
  <si>
    <t>Included with Sch. 35</t>
  </si>
  <si>
    <t>Interruptible Total Electric Schools</t>
  </si>
  <si>
    <t>Total Primary Voltage</t>
  </si>
  <si>
    <t>31/35/43</t>
  </si>
  <si>
    <t>Campus Rate</t>
  </si>
  <si>
    <t>Total High Voltage</t>
  </si>
  <si>
    <t>46 / 49</t>
  </si>
  <si>
    <t>Choice / Retail Wheeling</t>
  </si>
  <si>
    <t>448 / 449</t>
  </si>
  <si>
    <t>Lighting</t>
  </si>
  <si>
    <t>50-59</t>
  </si>
  <si>
    <t>Total Jurisdictional Retail Sales</t>
  </si>
  <si>
    <t>Small Firm Resale</t>
  </si>
  <si>
    <t>See Firm Resale/Special Contract</t>
  </si>
  <si>
    <t>Special Contract</t>
  </si>
  <si>
    <t>Firm Resale / Special Contract</t>
  </si>
  <si>
    <t>Total Sales</t>
  </si>
  <si>
    <t>Adjustment to Average Increase for Unequal Allocation of Increase</t>
  </si>
  <si>
    <t>Total Proposed Increase</t>
  </si>
  <si>
    <t>Proposed Revenue Increase  ($)</t>
  </si>
  <si>
    <t>Average Increase Excluding Schedule 40, Firm Resale + Special Contract</t>
  </si>
  <si>
    <t>Average Increase Including Schedule 40, Firm Resale + Special Contract</t>
  </si>
  <si>
    <t>Average Increase Excluding Schedule 40, Firm Resale + Special Contract adjusted for Unequal Allocation of Increase</t>
  </si>
  <si>
    <t>Kroger Recommended Spread at PSE's Revised Requested Revenue Increase</t>
  </si>
  <si>
    <r>
      <t>Illustrative Amount</t>
    </r>
    <r>
      <rPr>
        <vertAlign val="superscript"/>
        <sz val="10"/>
        <color theme="1"/>
        <rFont val="Times New Roman"/>
        <family val="1"/>
      </rPr>
      <t>1</t>
    </r>
  </si>
  <si>
    <t>Source: Piliaris Supplemental Exhibit JAP-23, p. 1, Rate Spread.</t>
  </si>
  <si>
    <t>1.  Data Source:  Illustrative amount derived from 2010 REC revenue information provided in UE-101581/UE-070725
     REC/PTC Offset Filing , Oct 2011 monthly update from Tom Deboer (filed November 30, 2011).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</si>
</sst>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0000_);\(0.0000000\)"/>
    <numFmt numFmtId="166" formatCode="_(&quot;$&quot;* #,##0_);_(&quot;$&quot;* \(#,##0\);_(&quot;$&quot;* &quot;-&quot;??_);_(@_)"/>
    <numFmt numFmtId="167" formatCode="0.0%"/>
    <numFmt numFmtId="168" formatCode="_(* #,##0_);_(* \(#,##0\);_(* &quot;-&quot;??_);_(@_)"/>
    <numFmt numFmtId="169" formatCode="0.000%"/>
  </numFmts>
  <fonts count="14"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u/>
      <sz val="10"/>
      <name val="Times New Roman"/>
      <family val="1"/>
    </font>
    <font>
      <sz val="10"/>
      <name val="Arial"/>
      <family val="2"/>
    </font>
    <font>
      <sz val="10"/>
      <color rgb="FF0F0FB1"/>
      <name val="Times New Roman"/>
      <family val="1"/>
    </font>
    <font>
      <b/>
      <u val="singleAccounting"/>
      <sz val="10"/>
      <name val="Times New Roman"/>
      <family val="1"/>
    </font>
    <font>
      <sz val="10"/>
      <color theme="1"/>
      <name val="Times New Roman"/>
      <family val="2"/>
    </font>
    <font>
      <vertAlign val="superscript"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5" fontId="4" fillId="0" borderId="0" xfId="0" applyNumberFormat="1" applyFont="1"/>
    <xf numFmtId="0" fontId="4" fillId="0" borderId="0" xfId="0" quotePrefix="1" applyFont="1"/>
    <xf numFmtId="0" fontId="7" fillId="0" borderId="0" xfId="0" applyFont="1"/>
    <xf numFmtId="164" fontId="4" fillId="0" borderId="1" xfId="0" applyNumberFormat="1" applyFont="1" applyBorder="1"/>
    <xf numFmtId="165" fontId="4" fillId="0" borderId="0" xfId="0" applyNumberFormat="1" applyFont="1"/>
    <xf numFmtId="5" fontId="4" fillId="0" borderId="2" xfId="0" applyNumberFormat="1" applyFont="1" applyBorder="1"/>
    <xf numFmtId="0" fontId="4" fillId="0" borderId="0" xfId="1" applyFont="1" applyFill="1"/>
    <xf numFmtId="168" fontId="10" fillId="0" borderId="3" xfId="5" applyNumberFormat="1" applyFont="1" applyFill="1" applyBorder="1"/>
    <xf numFmtId="166" fontId="10" fillId="0" borderId="3" xfId="3" applyNumberFormat="1" applyFont="1" applyFill="1" applyBorder="1"/>
    <xf numFmtId="10" fontId="4" fillId="0" borderId="3" xfId="5" applyNumberFormat="1" applyFont="1" applyFill="1" applyBorder="1" applyAlignment="1">
      <alignment horizontal="center"/>
    </xf>
    <xf numFmtId="9" fontId="10" fillId="0" borderId="3" xfId="4" applyFont="1" applyFill="1" applyBorder="1" applyAlignment="1">
      <alignment horizontal="center"/>
    </xf>
    <xf numFmtId="10" fontId="4" fillId="0" borderId="3" xfId="4" applyNumberFormat="1" applyFont="1" applyFill="1" applyBorder="1" applyAlignment="1">
      <alignment horizontal="center"/>
    </xf>
    <xf numFmtId="166" fontId="4" fillId="0" borderId="3" xfId="3" applyNumberFormat="1" applyFont="1" applyFill="1" applyBorder="1"/>
    <xf numFmtId="168" fontId="10" fillId="0" borderId="0" xfId="5" applyNumberFormat="1" applyFont="1" applyFill="1" applyBorder="1"/>
    <xf numFmtId="166" fontId="10" fillId="0" borderId="0" xfId="3" applyNumberFormat="1" applyFont="1" applyFill="1" applyBorder="1"/>
    <xf numFmtId="10" fontId="4" fillId="0" borderId="0" xfId="3" applyNumberFormat="1" applyFont="1" applyFill="1" applyBorder="1" applyAlignment="1">
      <alignment horizontal="center"/>
    </xf>
    <xf numFmtId="166" fontId="4" fillId="0" borderId="0" xfId="3" applyNumberFormat="1" applyFont="1" applyFill="1" applyBorder="1"/>
    <xf numFmtId="3" fontId="10" fillId="0" borderId="0" xfId="3" applyNumberFormat="1" applyFont="1" applyFill="1" applyBorder="1"/>
    <xf numFmtId="10" fontId="4" fillId="0" borderId="0" xfId="5" applyNumberFormat="1" applyFont="1" applyFill="1" applyBorder="1" applyAlignment="1">
      <alignment horizontal="center"/>
    </xf>
    <xf numFmtId="9" fontId="10" fillId="0" borderId="0" xfId="4" applyFont="1" applyFill="1" applyAlignment="1">
      <alignment horizontal="center"/>
    </xf>
    <xf numFmtId="10" fontId="4" fillId="0" borderId="0" xfId="4" applyNumberFormat="1" applyFont="1" applyFill="1" applyAlignment="1">
      <alignment horizontal="center"/>
    </xf>
    <xf numFmtId="3" fontId="4" fillId="0" borderId="3" xfId="5" applyNumberFormat="1" applyFont="1" applyFill="1" applyBorder="1"/>
    <xf numFmtId="10" fontId="4" fillId="0" borderId="3" xfId="3" applyNumberFormat="1" applyFont="1" applyFill="1" applyBorder="1" applyAlignment="1">
      <alignment horizontal="center"/>
    </xf>
    <xf numFmtId="3" fontId="4" fillId="0" borderId="0" xfId="5" applyNumberFormat="1" applyFont="1" applyFill="1" applyBorder="1"/>
    <xf numFmtId="3" fontId="4" fillId="0" borderId="0" xfId="5" applyNumberFormat="1" applyFont="1" applyFill="1"/>
    <xf numFmtId="166" fontId="4" fillId="0" borderId="0" xfId="3" applyNumberFormat="1" applyFont="1" applyFill="1"/>
    <xf numFmtId="10" fontId="4" fillId="0" borderId="0" xfId="3" applyNumberFormat="1" applyFont="1" applyFill="1" applyAlignment="1">
      <alignment horizontal="center"/>
    </xf>
    <xf numFmtId="3" fontId="10" fillId="0" borderId="3" xfId="3" applyNumberFormat="1" applyFont="1" applyFill="1" applyBorder="1"/>
    <xf numFmtId="166" fontId="10" fillId="2" borderId="3" xfId="3" applyNumberFormat="1" applyFont="1" applyFill="1" applyBorder="1"/>
    <xf numFmtId="168" fontId="4" fillId="0" borderId="0" xfId="5" applyNumberFormat="1" applyFont="1" applyFill="1"/>
    <xf numFmtId="166" fontId="4" fillId="0" borderId="0" xfId="3" applyNumberFormat="1" applyFont="1" applyFill="1" applyAlignment="1">
      <alignment horizontal="center"/>
    </xf>
    <xf numFmtId="168" fontId="4" fillId="0" borderId="4" xfId="5" applyNumberFormat="1" applyFont="1" applyFill="1" applyBorder="1"/>
    <xf numFmtId="166" fontId="4" fillId="0" borderId="4" xfId="3" applyNumberFormat="1" applyFont="1" applyFill="1" applyBorder="1"/>
    <xf numFmtId="10" fontId="4" fillId="0" borderId="4" xfId="4" applyNumberFormat="1" applyFont="1" applyFill="1" applyBorder="1" applyAlignment="1">
      <alignment horizontal="center"/>
    </xf>
    <xf numFmtId="9" fontId="4" fillId="0" borderId="3" xfId="4" applyFont="1" applyFill="1" applyBorder="1"/>
    <xf numFmtId="10" fontId="10" fillId="0" borderId="3" xfId="4" applyNumberFormat="1" applyFont="1" applyFill="1" applyBorder="1" applyAlignment="1">
      <alignment horizontal="center"/>
    </xf>
    <xf numFmtId="10" fontId="4" fillId="0" borderId="0" xfId="4" applyNumberFormat="1" applyFont="1" applyFill="1" applyBorder="1"/>
    <xf numFmtId="166" fontId="4" fillId="0" borderId="0" xfId="1" applyNumberFormat="1" applyFont="1" applyFill="1"/>
    <xf numFmtId="10" fontId="5" fillId="0" borderId="0" xfId="2" applyNumberFormat="1" applyFont="1" applyFill="1" applyBorder="1" applyAlignment="1">
      <alignment horizontal="center"/>
    </xf>
    <xf numFmtId="10" fontId="5" fillId="0" borderId="0" xfId="4" applyNumberFormat="1" applyFont="1" applyFill="1" applyBorder="1" applyAlignment="1">
      <alignment horizontal="center"/>
    </xf>
    <xf numFmtId="169" fontId="4" fillId="0" borderId="9" xfId="4" applyNumberFormat="1" applyFont="1" applyFill="1" applyBorder="1"/>
    <xf numFmtId="169" fontId="5" fillId="0" borderId="12" xfId="4" applyNumberFormat="1" applyFont="1" applyFill="1" applyBorder="1"/>
    <xf numFmtId="167" fontId="5" fillId="0" borderId="0" xfId="2" applyNumberFormat="1" applyFont="1" applyFill="1" applyBorder="1" applyAlignment="1">
      <alignment horizontal="center"/>
    </xf>
    <xf numFmtId="9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9" fontId="11" fillId="0" borderId="0" xfId="4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166" fontId="5" fillId="0" borderId="0" xfId="3" applyNumberFormat="1" applyFont="1" applyFill="1" applyBorder="1"/>
    <xf numFmtId="167" fontId="5" fillId="0" borderId="0" xfId="4" applyNumberFormat="1" applyFont="1" applyFill="1" applyBorder="1" applyAlignment="1">
      <alignment horizontal="center"/>
    </xf>
    <xf numFmtId="0" fontId="5" fillId="0" borderId="0" xfId="2" applyFont="1" applyFill="1" applyBorder="1"/>
    <xf numFmtId="167" fontId="5" fillId="0" borderId="0" xfId="2" applyNumberFormat="1" applyFont="1" applyFill="1" applyBorder="1"/>
    <xf numFmtId="42" fontId="5" fillId="0" borderId="0" xfId="2" applyNumberFormat="1" applyFont="1" applyFill="1" applyBorder="1"/>
    <xf numFmtId="9" fontId="5" fillId="0" borderId="0" xfId="4" applyNumberFormat="1" applyFont="1" applyFill="1" applyBorder="1" applyAlignment="1">
      <alignment horizontal="center"/>
    </xf>
    <xf numFmtId="166" fontId="5" fillId="0" borderId="0" xfId="2" applyNumberFormat="1" applyFont="1" applyFill="1" applyBorder="1"/>
    <xf numFmtId="42" fontId="5" fillId="0" borderId="0" xfId="2" applyNumberFormat="1" applyFont="1" applyFill="1" applyBorder="1" applyAlignment="1">
      <alignment horizontal="center"/>
    </xf>
    <xf numFmtId="10" fontId="4" fillId="0" borderId="3" xfId="6" applyNumberFormat="1" applyFont="1" applyFill="1" applyBorder="1" applyAlignment="1">
      <alignment horizontal="center"/>
    </xf>
    <xf numFmtId="0" fontId="4" fillId="0" borderId="0" xfId="7" applyFont="1" applyFill="1"/>
    <xf numFmtId="0" fontId="4" fillId="0" borderId="0" xfId="7" applyFont="1" applyFill="1" applyAlignment="1">
      <alignment horizontal="centerContinuous"/>
    </xf>
    <xf numFmtId="0" fontId="4" fillId="0" borderId="0" xfId="7" applyFont="1" applyFill="1" applyAlignment="1">
      <alignment horizontal="center" wrapText="1"/>
    </xf>
    <xf numFmtId="0" fontId="4" fillId="0" borderId="0" xfId="7" applyFont="1" applyFill="1" applyAlignment="1">
      <alignment horizontal="center" vertical="top" wrapText="1"/>
    </xf>
    <xf numFmtId="0" fontId="4" fillId="0" borderId="0" xfId="7" applyFont="1" applyFill="1" applyBorder="1" applyAlignment="1">
      <alignment horizontal="left" vertical="top" wrapText="1"/>
    </xf>
    <xf numFmtId="0" fontId="4" fillId="0" borderId="0" xfId="7" applyFont="1" applyFill="1" applyBorder="1" applyAlignment="1">
      <alignment horizontal="center" vertical="top" wrapText="1"/>
    </xf>
    <xf numFmtId="0" fontId="4" fillId="0" borderId="0" xfId="7" quotePrefix="1" applyFont="1" applyFill="1" applyAlignment="1">
      <alignment horizontal="center" vertical="top" wrapText="1"/>
    </xf>
    <xf numFmtId="0" fontId="4" fillId="0" borderId="0" xfId="7" applyFont="1" applyFill="1" applyAlignment="1">
      <alignment horizontal="left"/>
    </xf>
    <xf numFmtId="0" fontId="4" fillId="0" borderId="0" xfId="7" applyFont="1" applyFill="1" applyAlignment="1">
      <alignment horizontal="center"/>
    </xf>
    <xf numFmtId="0" fontId="10" fillId="0" borderId="0" xfId="7" applyFont="1" applyFill="1" applyAlignment="1">
      <alignment horizontal="center"/>
    </xf>
    <xf numFmtId="0" fontId="4" fillId="0" borderId="0" xfId="7" quotePrefix="1" applyFont="1" applyFill="1" applyAlignment="1">
      <alignment horizontal="left" indent="1"/>
    </xf>
    <xf numFmtId="0" fontId="4" fillId="0" borderId="0" xfId="7" applyFont="1" applyFill="1" applyAlignment="1">
      <alignment horizontal="left" indent="1"/>
    </xf>
    <xf numFmtId="0" fontId="4" fillId="0" borderId="0" xfId="7" quotePrefix="1" applyFont="1" applyFill="1" applyAlignment="1">
      <alignment horizontal="left"/>
    </xf>
    <xf numFmtId="0" fontId="10" fillId="0" borderId="3" xfId="7" applyFont="1" applyFill="1" applyBorder="1" applyAlignment="1">
      <alignment horizontal="center"/>
    </xf>
    <xf numFmtId="0" fontId="4" fillId="0" borderId="0" xfId="7" applyFont="1" applyFill="1" applyBorder="1"/>
    <xf numFmtId="0" fontId="4" fillId="0" borderId="0" xfId="7" quotePrefix="1" applyFont="1" applyFill="1" applyAlignment="1">
      <alignment horizontal="center"/>
    </xf>
    <xf numFmtId="0" fontId="4" fillId="0" borderId="4" xfId="7" applyFont="1" applyFill="1" applyBorder="1"/>
    <xf numFmtId="0" fontId="4" fillId="0" borderId="4" xfId="7" applyFont="1" applyFill="1" applyBorder="1" applyAlignment="1">
      <alignment horizontal="center"/>
    </xf>
    <xf numFmtId="10" fontId="4" fillId="0" borderId="0" xfId="7" applyNumberFormat="1" applyFont="1" applyFill="1" applyAlignment="1">
      <alignment horizontal="center"/>
    </xf>
    <xf numFmtId="168" fontId="4" fillId="0" borderId="0" xfId="5" applyNumberFormat="1" applyFont="1" applyFill="1" applyBorder="1"/>
    <xf numFmtId="166" fontId="4" fillId="0" borderId="0" xfId="7" applyNumberFormat="1" applyFont="1" applyFill="1"/>
    <xf numFmtId="0" fontId="4" fillId="0" borderId="6" xfId="7" applyFont="1" applyFill="1" applyBorder="1" applyAlignment="1">
      <alignment horizontal="center"/>
    </xf>
    <xf numFmtId="0" fontId="4" fillId="0" borderId="6" xfId="7" applyFont="1" applyFill="1" applyBorder="1"/>
    <xf numFmtId="0" fontId="4" fillId="0" borderId="8" xfId="7" quotePrefix="1" applyFont="1" applyFill="1" applyBorder="1" applyAlignment="1">
      <alignment horizontal="left"/>
    </xf>
    <xf numFmtId="0" fontId="4" fillId="0" borderId="0" xfId="7" applyFont="1" applyFill="1" applyBorder="1" applyAlignment="1">
      <alignment horizontal="center"/>
    </xf>
    <xf numFmtId="0" fontId="4" fillId="0" borderId="8" xfId="7" applyFont="1" applyFill="1" applyBorder="1" applyAlignment="1">
      <alignment horizontal="left"/>
    </xf>
    <xf numFmtId="0" fontId="4" fillId="0" borderId="9" xfId="7" applyFont="1" applyFill="1" applyBorder="1"/>
    <xf numFmtId="0" fontId="4" fillId="0" borderId="10" xfId="7" quotePrefix="1" applyFont="1" applyFill="1" applyBorder="1" applyAlignment="1">
      <alignment horizontal="left"/>
    </xf>
    <xf numFmtId="0" fontId="4" fillId="0" borderId="11" xfId="7" applyFont="1" applyFill="1" applyBorder="1" applyAlignment="1">
      <alignment horizontal="center"/>
    </xf>
    <xf numFmtId="0" fontId="4" fillId="0" borderId="11" xfId="7" applyFont="1" applyFill="1" applyBorder="1"/>
    <xf numFmtId="0" fontId="5" fillId="0" borderId="0" xfId="7" quotePrefix="1" applyFont="1" applyFill="1" applyAlignment="1">
      <alignment wrapText="1"/>
    </xf>
    <xf numFmtId="0" fontId="4" fillId="0" borderId="5" xfId="7" applyFont="1" applyFill="1" applyBorder="1"/>
    <xf numFmtId="9" fontId="5" fillId="0" borderId="0" xfId="4" applyFont="1" applyFill="1" applyBorder="1"/>
    <xf numFmtId="169" fontId="4" fillId="0" borderId="9" xfId="7" applyNumberFormat="1" applyFont="1" applyFill="1" applyBorder="1"/>
    <xf numFmtId="166" fontId="10" fillId="0" borderId="7" xfId="3" applyNumberFormat="1" applyFont="1" applyFill="1" applyBorder="1"/>
    <xf numFmtId="0" fontId="4" fillId="0" borderId="0" xfId="7" applyFont="1" applyFill="1" applyBorder="1" applyAlignment="1">
      <alignment horizontal="center" wrapText="1"/>
    </xf>
    <xf numFmtId="0" fontId="4" fillId="0" borderId="0" xfId="7" applyFont="1" applyFill="1" applyAlignment="1">
      <alignment horizontal="center" vertical="center" wrapText="1"/>
    </xf>
    <xf numFmtId="0" fontId="5" fillId="0" borderId="1" xfId="7" applyFont="1" applyFill="1" applyBorder="1" applyAlignment="1">
      <alignment horizontal="center" wrapText="1"/>
    </xf>
    <xf numFmtId="0" fontId="5" fillId="0" borderId="1" xfId="7" quotePrefix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wrapText="1"/>
    </xf>
    <xf numFmtId="3" fontId="10" fillId="0" borderId="1" xfId="5" applyNumberFormat="1" applyFont="1" applyFill="1" applyBorder="1" applyAlignment="1">
      <alignment horizontal="center"/>
    </xf>
    <xf numFmtId="0" fontId="3" fillId="0" borderId="0" xfId="7" applyFont="1" applyFill="1" applyAlignment="1">
      <alignment horizontal="center"/>
    </xf>
    <xf numFmtId="0" fontId="3" fillId="0" borderId="0" xfId="7" quotePrefix="1" applyFont="1" applyFill="1" applyAlignment="1">
      <alignment horizontal="center"/>
    </xf>
    <xf numFmtId="0" fontId="4" fillId="0" borderId="0" xfId="7" applyFont="1" applyFill="1" applyAlignment="1">
      <alignment horizontal="center"/>
    </xf>
    <xf numFmtId="3" fontId="10" fillId="0" borderId="1" xfId="3" applyNumberFormat="1" applyFont="1" applyFill="1" applyBorder="1" applyAlignment="1">
      <alignment horizontal="center"/>
    </xf>
    <xf numFmtId="3" fontId="10" fillId="0" borderId="0" xfId="3" applyNumberFormat="1" applyFont="1" applyFill="1" applyBorder="1" applyAlignment="1">
      <alignment horizontal="center"/>
    </xf>
    <xf numFmtId="3" fontId="10" fillId="0" borderId="0" xfId="5" applyNumberFormat="1" applyFont="1" applyFill="1" applyAlignment="1">
      <alignment horizontal="center"/>
    </xf>
  </cellXfs>
  <cellStyles count="8">
    <cellStyle name="Comma 2" xfId="5"/>
    <cellStyle name="Currency 2" xfId="3"/>
    <cellStyle name="Normal" xfId="0" builtinId="0"/>
    <cellStyle name="Normal 2" xfId="1"/>
    <cellStyle name="Normal 2 2" xfId="2"/>
    <cellStyle name="Normal 3" xfId="7"/>
    <cellStyle name="Percent" xfId="6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Normal="100" workbookViewId="0">
      <selection activeCell="K21" sqref="K21"/>
    </sheetView>
  </sheetViews>
  <sheetFormatPr defaultRowHeight="12.75"/>
  <cols>
    <col min="1" max="1" width="6.1640625" style="1" customWidth="1"/>
    <col min="2" max="2" width="1.83203125" style="1" customWidth="1"/>
    <col min="3" max="5" width="13.83203125" style="1" customWidth="1"/>
    <col min="6" max="6" width="1.83203125" style="1" customWidth="1"/>
    <col min="7" max="7" width="9.33203125" style="1"/>
    <col min="8" max="8" width="1.83203125" style="1" customWidth="1"/>
    <col min="9" max="9" width="12.5" style="1" bestFit="1" customWidth="1"/>
    <col min="10" max="10" width="1.83203125" style="1" customWidth="1"/>
    <col min="11" max="11" width="35.33203125" style="1" bestFit="1" customWidth="1"/>
    <col min="12" max="16384" width="9.33203125" style="1"/>
  </cols>
  <sheetData>
    <row r="1" spans="1:11" ht="18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8.7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>
      <c r="A4" s="2"/>
      <c r="D4" s="2"/>
      <c r="E4" s="2"/>
    </row>
    <row r="5" spans="1:11">
      <c r="A5" s="2"/>
      <c r="C5" s="3"/>
      <c r="D5" s="2"/>
      <c r="E5" s="2"/>
    </row>
    <row r="6" spans="1:11">
      <c r="A6" s="4" t="s">
        <v>3</v>
      </c>
      <c r="G6" s="4" t="s">
        <v>4</v>
      </c>
      <c r="H6" s="4"/>
      <c r="I6" s="4" t="s">
        <v>5</v>
      </c>
    </row>
    <row r="7" spans="1:11">
      <c r="A7" s="2" t="s">
        <v>6</v>
      </c>
      <c r="G7" s="2" t="s">
        <v>7</v>
      </c>
      <c r="H7" s="2"/>
      <c r="I7" s="2" t="s">
        <v>8</v>
      </c>
      <c r="K7" s="5" t="s">
        <v>9</v>
      </c>
    </row>
    <row r="8" spans="1:11">
      <c r="A8" s="4">
        <v>1</v>
      </c>
      <c r="C8" s="6" t="s">
        <v>10</v>
      </c>
    </row>
    <row r="9" spans="1:11">
      <c r="A9" s="4"/>
    </row>
    <row r="10" spans="1:11">
      <c r="A10" s="4">
        <v>2</v>
      </c>
      <c r="C10" s="1" t="s">
        <v>11</v>
      </c>
      <c r="G10" s="4">
        <v>456</v>
      </c>
      <c r="I10" s="7">
        <f>+I21</f>
        <v>26463319.555555556</v>
      </c>
      <c r="K10" s="8" t="s">
        <v>12</v>
      </c>
    </row>
    <row r="17" spans="1:11">
      <c r="C17" s="9" t="s">
        <v>13</v>
      </c>
    </row>
    <row r="18" spans="1:11">
      <c r="I18" s="2" t="s">
        <v>14</v>
      </c>
    </row>
    <row r="19" spans="1:11" ht="15.75">
      <c r="A19" s="4">
        <v>3</v>
      </c>
      <c r="C19" s="1" t="s">
        <v>15</v>
      </c>
      <c r="I19" s="7">
        <v>79389958.666666672</v>
      </c>
      <c r="K19" t="s">
        <v>88</v>
      </c>
    </row>
    <row r="20" spans="1:11">
      <c r="A20" s="4">
        <v>4</v>
      </c>
      <c r="C20" s="1" t="s">
        <v>16</v>
      </c>
      <c r="I20" s="10">
        <v>3</v>
      </c>
      <c r="K20" s="1" t="s">
        <v>17</v>
      </c>
    </row>
    <row r="21" spans="1:11">
      <c r="A21" s="4">
        <v>5</v>
      </c>
      <c r="C21" s="1" t="s">
        <v>18</v>
      </c>
      <c r="I21" s="7">
        <f>+I19/I20</f>
        <v>26463319.555555556</v>
      </c>
      <c r="K21" s="8" t="s">
        <v>29</v>
      </c>
    </row>
    <row r="23" spans="1:11">
      <c r="A23" s="4">
        <v>6</v>
      </c>
      <c r="C23" s="1" t="s">
        <v>19</v>
      </c>
      <c r="I23" s="7">
        <f>0.35*I21</f>
        <v>9262161.8444444444</v>
      </c>
      <c r="K23" s="8" t="s">
        <v>20</v>
      </c>
    </row>
    <row r="25" spans="1:11">
      <c r="A25" s="4">
        <v>7</v>
      </c>
      <c r="C25" s="1" t="s">
        <v>21</v>
      </c>
      <c r="I25" s="7">
        <f>+I21-I23</f>
        <v>17201157.711111113</v>
      </c>
      <c r="K25" s="8" t="s">
        <v>22</v>
      </c>
    </row>
    <row r="27" spans="1:11">
      <c r="C27" s="9" t="s">
        <v>23</v>
      </c>
    </row>
    <row r="28" spans="1:11">
      <c r="A28" s="4">
        <v>8</v>
      </c>
      <c r="C28" s="1" t="s">
        <v>21</v>
      </c>
      <c r="I28" s="7">
        <f>+I25</f>
        <v>17201157.711111113</v>
      </c>
      <c r="K28" s="8" t="s">
        <v>24</v>
      </c>
    </row>
    <row r="29" spans="1:11" ht="13.5" thickBot="1">
      <c r="A29" s="4">
        <v>9</v>
      </c>
      <c r="C29" s="1" t="s">
        <v>25</v>
      </c>
      <c r="I29" s="11">
        <v>0.620749</v>
      </c>
      <c r="K29" s="1" t="s">
        <v>26</v>
      </c>
    </row>
    <row r="30" spans="1:11" ht="13.5" thickBot="1">
      <c r="A30" s="4">
        <v>10</v>
      </c>
      <c r="C30" s="1" t="s">
        <v>27</v>
      </c>
      <c r="I30" s="12">
        <f>+I25/I29</f>
        <v>27710326.897201788</v>
      </c>
      <c r="K30" s="8" t="s">
        <v>30</v>
      </c>
    </row>
    <row r="32" spans="1:11" ht="25.5" customHeight="1">
      <c r="C32" s="105" t="s">
        <v>90</v>
      </c>
      <c r="D32" s="105"/>
      <c r="E32" s="105"/>
      <c r="F32" s="105"/>
      <c r="G32" s="105"/>
      <c r="H32" s="105"/>
      <c r="I32" s="105"/>
      <c r="J32" s="105"/>
      <c r="K32" s="105"/>
    </row>
    <row r="33" spans="3:11">
      <c r="C33"/>
      <c r="D33"/>
      <c r="E33"/>
      <c r="F33"/>
      <c r="G33"/>
      <c r="H33"/>
      <c r="I33"/>
      <c r="J33"/>
      <c r="K33"/>
    </row>
    <row r="34" spans="3:11">
      <c r="C34"/>
      <c r="D34"/>
      <c r="E34"/>
      <c r="F34"/>
      <c r="G34"/>
      <c r="H34"/>
      <c r="I34"/>
      <c r="J34"/>
      <c r="K34"/>
    </row>
    <row r="35" spans="3:11">
      <c r="C35" s="1" t="s">
        <v>31</v>
      </c>
    </row>
    <row r="36" spans="3:11">
      <c r="C36" s="1" t="s">
        <v>28</v>
      </c>
    </row>
  </sheetData>
  <mergeCells count="4">
    <mergeCell ref="A1:K1"/>
    <mergeCell ref="A2:K2"/>
    <mergeCell ref="A3:K3"/>
    <mergeCell ref="C32:K32"/>
  </mergeCells>
  <printOptions horizontalCentered="1"/>
  <pageMargins left="1" right="1" top="1" bottom="1" header="0.5" footer="0.3"/>
  <pageSetup scale="82" orientation="portrait" r:id="rId1"/>
  <headerFooter scaleWithDoc="0">
    <oddHeader>&amp;R&amp;"Times New Roman,Bold"&amp;8Exhibit No. ___ (KCH-4)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Normal="100" workbookViewId="0">
      <selection activeCell="D46" sqref="D46"/>
    </sheetView>
  </sheetViews>
  <sheetFormatPr defaultColWidth="10.33203125" defaultRowHeight="12.75"/>
  <cols>
    <col min="1" max="1" width="9.6640625" style="64" bestFit="1" customWidth="1"/>
    <col min="2" max="2" width="38.5" style="64" customWidth="1"/>
    <col min="3" max="3" width="11.1640625" style="64" customWidth="1"/>
    <col min="4" max="4" width="18.1640625" style="64" customWidth="1"/>
    <col min="5" max="5" width="18.6640625" style="64" bestFit="1" customWidth="1"/>
    <col min="6" max="6" width="15.33203125" style="64" customWidth="1"/>
    <col min="7" max="7" width="9.5" style="64" bestFit="1" customWidth="1"/>
    <col min="8" max="8" width="14.6640625" style="64" customWidth="1"/>
    <col min="9" max="9" width="16.33203125" style="64" customWidth="1"/>
    <col min="10" max="10" width="19.5" style="64" bestFit="1" customWidth="1"/>
    <col min="11" max="11" width="9.33203125" style="64" customWidth="1"/>
    <col min="12" max="13" width="9.1640625" style="64" customWidth="1"/>
    <col min="14" max="16" width="9.33203125" style="64" customWidth="1"/>
    <col min="17" max="17" width="10.33203125" style="64"/>
    <col min="18" max="19" width="9.33203125" style="64" customWidth="1"/>
    <col min="20" max="16384" width="10.33203125" style="64"/>
  </cols>
  <sheetData>
    <row r="1" spans="1:15" ht="18.75">
      <c r="A1" s="107" t="s">
        <v>87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5" ht="18.75">
      <c r="A2" s="108" t="s">
        <v>32</v>
      </c>
      <c r="B2" s="107" t="s">
        <v>33</v>
      </c>
      <c r="C2" s="107"/>
      <c r="D2" s="107"/>
      <c r="E2" s="107"/>
      <c r="F2" s="107"/>
      <c r="G2" s="107"/>
      <c r="H2" s="107"/>
      <c r="I2" s="107"/>
      <c r="J2" s="107"/>
    </row>
    <row r="3" spans="1:1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5">
      <c r="B4" s="65"/>
      <c r="C4" s="65"/>
      <c r="D4" s="65"/>
      <c r="E4" s="65"/>
      <c r="F4" s="65"/>
      <c r="G4" s="65"/>
      <c r="H4" s="65"/>
      <c r="I4" s="65"/>
      <c r="J4" s="65"/>
      <c r="L4" s="78"/>
      <c r="M4" s="78"/>
      <c r="N4" s="78"/>
      <c r="O4" s="78"/>
    </row>
    <row r="5" spans="1:15" s="66" customFormat="1" ht="76.5">
      <c r="A5" s="101" t="s">
        <v>34</v>
      </c>
      <c r="B5" s="101" t="s">
        <v>35</v>
      </c>
      <c r="C5" s="101" t="s">
        <v>36</v>
      </c>
      <c r="D5" s="101" t="s">
        <v>37</v>
      </c>
      <c r="E5" s="102" t="s">
        <v>38</v>
      </c>
      <c r="F5" s="102" t="s">
        <v>39</v>
      </c>
      <c r="G5" s="102" t="s">
        <v>40</v>
      </c>
      <c r="H5" s="102" t="s">
        <v>41</v>
      </c>
      <c r="I5" s="101" t="s">
        <v>83</v>
      </c>
      <c r="J5" s="102" t="s">
        <v>42</v>
      </c>
      <c r="L5" s="54"/>
      <c r="M5" s="54"/>
      <c r="N5" s="54"/>
      <c r="O5" s="99"/>
    </row>
    <row r="6" spans="1:15" s="67" customFormat="1">
      <c r="B6" s="68"/>
      <c r="C6" s="69"/>
      <c r="D6" s="69" t="s">
        <v>43</v>
      </c>
      <c r="E6" s="69" t="s">
        <v>44</v>
      </c>
      <c r="F6" s="69" t="s">
        <v>45</v>
      </c>
      <c r="G6" s="67" t="s">
        <v>46</v>
      </c>
      <c r="H6" s="67" t="s">
        <v>47</v>
      </c>
      <c r="I6" s="70" t="s">
        <v>48</v>
      </c>
      <c r="J6" s="70" t="s">
        <v>49</v>
      </c>
      <c r="L6" s="55"/>
      <c r="M6" s="49"/>
      <c r="N6" s="56"/>
      <c r="O6" s="69"/>
    </row>
    <row r="7" spans="1:15" s="67" customFormat="1">
      <c r="B7" s="68"/>
      <c r="C7" s="69"/>
      <c r="D7" s="69"/>
      <c r="E7" s="69"/>
      <c r="F7" s="69"/>
      <c r="L7" s="57"/>
      <c r="M7" s="49"/>
      <c r="N7" s="58"/>
      <c r="O7" s="69"/>
    </row>
    <row r="8" spans="1:15">
      <c r="A8" s="66">
        <v>1</v>
      </c>
      <c r="B8" s="71" t="s">
        <v>50</v>
      </c>
      <c r="C8" s="72">
        <v>7</v>
      </c>
      <c r="D8" s="14">
        <v>10732747750.487839</v>
      </c>
      <c r="E8" s="15">
        <v>1083315595.6361177</v>
      </c>
      <c r="F8" s="16">
        <f>E8/(E$37-E$23-E$35)</f>
        <v>0.56268740900480174</v>
      </c>
      <c r="G8" s="17">
        <v>1</v>
      </c>
      <c r="H8" s="18">
        <f>+$H$44*G8</f>
        <v>8.4792442033391549E-2</v>
      </c>
      <c r="I8" s="19">
        <f>+E8*H8</f>
        <v>91856974.846844554</v>
      </c>
      <c r="J8" s="19">
        <f>+E8+I8</f>
        <v>1175172570.4829621</v>
      </c>
      <c r="L8" s="59"/>
      <c r="M8" s="50"/>
      <c r="N8" s="60"/>
      <c r="O8" s="78"/>
    </row>
    <row r="9" spans="1:15">
      <c r="A9" s="66">
        <f>A8+1</f>
        <v>2</v>
      </c>
      <c r="C9" s="72"/>
      <c r="D9" s="20"/>
      <c r="E9" s="21"/>
      <c r="F9" s="22"/>
      <c r="G9" s="73"/>
      <c r="H9" s="72"/>
      <c r="I9" s="23"/>
      <c r="J9" s="23"/>
      <c r="L9" s="55"/>
      <c r="M9" s="49"/>
      <c r="N9" s="56"/>
      <c r="O9" s="78"/>
    </row>
    <row r="10" spans="1:15">
      <c r="A10" s="66">
        <f t="shared" ref="A10:A44" si="0">A9+1</f>
        <v>3</v>
      </c>
      <c r="B10" s="64" t="s">
        <v>51</v>
      </c>
      <c r="C10" s="72"/>
      <c r="D10" s="20"/>
      <c r="E10" s="21"/>
      <c r="F10" s="22"/>
      <c r="G10" s="73"/>
      <c r="H10" s="72"/>
      <c r="I10" s="23"/>
      <c r="J10" s="23"/>
      <c r="L10" s="61"/>
      <c r="M10" s="49"/>
      <c r="N10" s="56"/>
      <c r="O10" s="78"/>
    </row>
    <row r="11" spans="1:15">
      <c r="A11" s="66">
        <f t="shared" si="0"/>
        <v>4</v>
      </c>
      <c r="B11" s="74" t="s">
        <v>52</v>
      </c>
      <c r="C11" s="72">
        <v>24</v>
      </c>
      <c r="D11" s="24">
        <v>2594865425.6283207</v>
      </c>
      <c r="E11" s="21">
        <v>245723262.34999925</v>
      </c>
      <c r="F11" s="25">
        <f>E11/(E$37-E$23-E$35)</f>
        <v>0.12763167666088981</v>
      </c>
      <c r="G11" s="26">
        <v>1</v>
      </c>
      <c r="H11" s="27">
        <f t="shared" ref="H11:H14" si="1">+$H$44*G11</f>
        <v>8.4792442033391549E-2</v>
      </c>
      <c r="I11" s="23">
        <f>+E11*H11</f>
        <v>20835475.479068175</v>
      </c>
      <c r="J11" s="23">
        <f>+E11+I11</f>
        <v>266558737.82906741</v>
      </c>
      <c r="L11" s="61"/>
      <c r="M11" s="50"/>
      <c r="N11" s="60"/>
      <c r="O11" s="78"/>
    </row>
    <row r="12" spans="1:15">
      <c r="A12" s="66">
        <f t="shared" si="0"/>
        <v>5</v>
      </c>
      <c r="B12" s="74" t="s">
        <v>53</v>
      </c>
      <c r="C12" s="72" t="s">
        <v>54</v>
      </c>
      <c r="D12" s="24">
        <v>2932110480.8031054</v>
      </c>
      <c r="E12" s="21">
        <v>258565574.1484229</v>
      </c>
      <c r="F12" s="25">
        <f>E12/(E$37-E$23-E$35)</f>
        <v>0.13430213094087609</v>
      </c>
      <c r="G12" s="26">
        <v>0.5</v>
      </c>
      <c r="H12" s="27">
        <f t="shared" si="1"/>
        <v>4.2396221016695775E-2</v>
      </c>
      <c r="I12" s="23">
        <f>+E12*H12</f>
        <v>10962203.228905376</v>
      </c>
      <c r="J12" s="23">
        <f>+E12+I12</f>
        <v>269527777.37732828</v>
      </c>
      <c r="L12" s="62"/>
      <c r="M12" s="50"/>
      <c r="N12" s="60"/>
      <c r="O12" s="78"/>
    </row>
    <row r="13" spans="1:15">
      <c r="A13" s="66">
        <f t="shared" si="0"/>
        <v>6</v>
      </c>
      <c r="B13" s="74" t="s">
        <v>55</v>
      </c>
      <c r="C13" s="72" t="s">
        <v>56</v>
      </c>
      <c r="D13" s="24">
        <v>1991174729.334866</v>
      </c>
      <c r="E13" s="21">
        <v>159589468.42712274</v>
      </c>
      <c r="F13" s="25">
        <f>E13/(E$37-E$23-E$35)</f>
        <v>8.2892727525981744E-2</v>
      </c>
      <c r="G13" s="26">
        <v>0.75</v>
      </c>
      <c r="H13" s="27">
        <f t="shared" si="1"/>
        <v>6.3594331525043665E-2</v>
      </c>
      <c r="I13" s="23">
        <f>+E13*H13</f>
        <v>10148985.563059932</v>
      </c>
      <c r="J13" s="23">
        <f>+E13+I13</f>
        <v>169738453.99018267</v>
      </c>
      <c r="L13" s="55"/>
      <c r="M13" s="50"/>
      <c r="N13" s="60"/>
      <c r="O13" s="78"/>
    </row>
    <row r="14" spans="1:15">
      <c r="A14" s="66">
        <f t="shared" si="0"/>
        <v>7</v>
      </c>
      <c r="B14" s="75" t="s">
        <v>57</v>
      </c>
      <c r="C14" s="72">
        <v>29</v>
      </c>
      <c r="D14" s="110" t="s">
        <v>58</v>
      </c>
      <c r="E14" s="110"/>
      <c r="F14" s="25"/>
      <c r="G14" s="26">
        <f>+G12</f>
        <v>0.5</v>
      </c>
      <c r="H14" s="27">
        <f t="shared" si="1"/>
        <v>4.2396221016695775E-2</v>
      </c>
      <c r="I14" s="23">
        <v>0</v>
      </c>
      <c r="J14" s="23">
        <v>0</v>
      </c>
      <c r="L14" s="57"/>
      <c r="M14" s="51"/>
      <c r="N14" s="57"/>
      <c r="O14" s="78"/>
    </row>
    <row r="15" spans="1:15">
      <c r="A15" s="66">
        <f t="shared" si="0"/>
        <v>8</v>
      </c>
      <c r="B15" s="76" t="s">
        <v>59</v>
      </c>
      <c r="C15" s="72" t="s">
        <v>60</v>
      </c>
      <c r="D15" s="28">
        <f>SUM(D11:D13)</f>
        <v>7518150635.7662926</v>
      </c>
      <c r="E15" s="19">
        <f>SUM(E11:E13)</f>
        <v>663878304.92554486</v>
      </c>
      <c r="F15" s="29"/>
      <c r="G15" s="77"/>
      <c r="H15" s="63">
        <f>I15/E15</f>
        <v>6.3184267296907487E-2</v>
      </c>
      <c r="I15" s="19">
        <f>SUM(I11:I13)</f>
        <v>41946664.271033481</v>
      </c>
      <c r="J15" s="19">
        <f>SUM(J11:J13)</f>
        <v>705824969.19657838</v>
      </c>
      <c r="L15" s="61"/>
      <c r="M15" s="50"/>
      <c r="N15" s="60"/>
      <c r="O15" s="78"/>
    </row>
    <row r="16" spans="1:15">
      <c r="A16" s="66">
        <f t="shared" si="0"/>
        <v>9</v>
      </c>
      <c r="C16" s="72"/>
      <c r="D16" s="30"/>
      <c r="E16" s="23"/>
      <c r="F16" s="22"/>
      <c r="G16" s="73"/>
      <c r="H16" s="72"/>
      <c r="I16" s="23"/>
      <c r="J16" s="23"/>
      <c r="L16" s="61"/>
      <c r="M16" s="52"/>
      <c r="N16" s="46"/>
      <c r="O16" s="78"/>
    </row>
    <row r="17" spans="1:15">
      <c r="A17" s="66">
        <f t="shared" si="0"/>
        <v>10</v>
      </c>
      <c r="B17" s="64" t="s">
        <v>61</v>
      </c>
      <c r="C17" s="72"/>
      <c r="D17" s="30"/>
      <c r="E17" s="23"/>
      <c r="F17" s="22"/>
      <c r="G17" s="73"/>
      <c r="H17" s="72"/>
      <c r="I17" s="23"/>
      <c r="J17" s="23"/>
      <c r="L17" s="61"/>
      <c r="M17" s="45"/>
      <c r="N17" s="46"/>
      <c r="O17" s="78"/>
    </row>
    <row r="18" spans="1:15" ht="15">
      <c r="A18" s="100">
        <f t="shared" si="0"/>
        <v>11</v>
      </c>
      <c r="B18" s="74" t="s">
        <v>62</v>
      </c>
      <c r="C18" s="72" t="s">
        <v>63</v>
      </c>
      <c r="D18" s="24">
        <v>1322986304.9575965</v>
      </c>
      <c r="E18" s="21">
        <v>104925648.00260486</v>
      </c>
      <c r="F18" s="25">
        <f>E18/(E$37-E$23-E$35)</f>
        <v>5.4499668656636829E-2</v>
      </c>
      <c r="G18" s="26">
        <v>1</v>
      </c>
      <c r="H18" s="27">
        <f>+$H$44*G18</f>
        <v>8.4792442033391549E-2</v>
      </c>
      <c r="I18" s="23">
        <f>+E18*H18</f>
        <v>8896901.9260769188</v>
      </c>
      <c r="J18" s="23">
        <f>+E18+I18</f>
        <v>113822549.92868178</v>
      </c>
      <c r="L18" s="61"/>
      <c r="M18" s="53"/>
      <c r="N18" s="46"/>
      <c r="O18" s="78"/>
    </row>
    <row r="19" spans="1:15">
      <c r="A19" s="66">
        <f t="shared" si="0"/>
        <v>12</v>
      </c>
      <c r="B19" s="75" t="s">
        <v>57</v>
      </c>
      <c r="C19" s="72">
        <v>35</v>
      </c>
      <c r="D19" s="111" t="s">
        <v>64</v>
      </c>
      <c r="E19" s="111"/>
      <c r="F19" s="25"/>
      <c r="G19" s="26">
        <f>G18</f>
        <v>1</v>
      </c>
      <c r="H19" s="27">
        <f>+$H$44*G19</f>
        <v>8.4792442033391549E-2</v>
      </c>
      <c r="I19" s="23">
        <v>0</v>
      </c>
      <c r="J19" s="23">
        <v>0</v>
      </c>
      <c r="L19" s="55"/>
      <c r="M19" s="49"/>
      <c r="N19" s="56"/>
      <c r="O19" s="78"/>
    </row>
    <row r="20" spans="1:15">
      <c r="A20" s="66">
        <f t="shared" si="0"/>
        <v>13</v>
      </c>
      <c r="B20" s="75" t="s">
        <v>65</v>
      </c>
      <c r="C20" s="72">
        <v>43</v>
      </c>
      <c r="D20" s="24">
        <v>148958013.30767041</v>
      </c>
      <c r="E20" s="21">
        <v>12686206.607833235</v>
      </c>
      <c r="F20" s="25">
        <f>E20/(E$37-E$23-E$35)</f>
        <v>6.5893713291090049E-3</v>
      </c>
      <c r="G20" s="26">
        <v>1</v>
      </c>
      <c r="H20" s="27">
        <f>+$H$44*G20</f>
        <v>8.4792442033391549E-2</v>
      </c>
      <c r="I20" s="23">
        <f>+E20*H20</f>
        <v>1075694.4384183283</v>
      </c>
      <c r="J20" s="23">
        <f>+E20+I20</f>
        <v>13761901.046251563</v>
      </c>
      <c r="L20" s="61"/>
      <c r="M20" s="49"/>
      <c r="N20" s="58"/>
      <c r="O20" s="78"/>
    </row>
    <row r="21" spans="1:15">
      <c r="A21" s="66">
        <f t="shared" si="0"/>
        <v>14</v>
      </c>
      <c r="B21" s="71" t="s">
        <v>66</v>
      </c>
      <c r="C21" s="72" t="s">
        <v>67</v>
      </c>
      <c r="D21" s="28">
        <f>SUM(D18:D20)</f>
        <v>1471944318.2652669</v>
      </c>
      <c r="E21" s="19">
        <f>SUM(E18:E20)</f>
        <v>117611854.61043809</v>
      </c>
      <c r="F21" s="29"/>
      <c r="G21" s="77"/>
      <c r="H21" s="63">
        <f>I21/E21</f>
        <v>8.4792442033391563E-2</v>
      </c>
      <c r="I21" s="19">
        <f>SUM(I18:I20)</f>
        <v>9972596.3644952476</v>
      </c>
      <c r="J21" s="19">
        <f>SUM(J18:J20)</f>
        <v>127584450.97493334</v>
      </c>
      <c r="L21" s="61"/>
      <c r="M21" s="50"/>
      <c r="N21" s="60"/>
      <c r="O21" s="78"/>
    </row>
    <row r="22" spans="1:15">
      <c r="A22" s="66">
        <f t="shared" si="0"/>
        <v>15</v>
      </c>
      <c r="C22" s="72"/>
      <c r="D22" s="31"/>
      <c r="E22" s="32"/>
      <c r="F22" s="33"/>
      <c r="G22" s="73"/>
      <c r="H22" s="72"/>
      <c r="L22" s="61"/>
      <c r="M22" s="51"/>
      <c r="N22" s="57"/>
      <c r="O22" s="78"/>
    </row>
    <row r="23" spans="1:15">
      <c r="A23" s="66">
        <f t="shared" si="0"/>
        <v>16</v>
      </c>
      <c r="B23" s="71" t="s">
        <v>68</v>
      </c>
      <c r="C23" s="72">
        <v>40</v>
      </c>
      <c r="D23" s="34">
        <v>755105598.26613879</v>
      </c>
      <c r="E23" s="15">
        <v>52013001.872035034</v>
      </c>
      <c r="F23" s="29"/>
      <c r="G23" s="77"/>
      <c r="H23" s="18">
        <f>(I23/E23)</f>
        <v>6.4534762232158718E-2</v>
      </c>
      <c r="I23" s="35">
        <v>3356646.7087926073</v>
      </c>
      <c r="J23" s="19">
        <f>+E23+I23</f>
        <v>55369648.580827639</v>
      </c>
      <c r="L23" s="61"/>
      <c r="M23" s="50"/>
      <c r="N23" s="60"/>
      <c r="O23" s="78"/>
    </row>
    <row r="24" spans="1:15">
      <c r="A24" s="66">
        <f t="shared" si="0"/>
        <v>17</v>
      </c>
      <c r="C24" s="72"/>
      <c r="D24" s="31"/>
      <c r="E24" s="32"/>
      <c r="F24" s="33"/>
      <c r="G24" s="73"/>
      <c r="H24" s="72"/>
      <c r="L24" s="61"/>
      <c r="M24" s="45"/>
      <c r="N24" s="57"/>
      <c r="O24" s="78"/>
    </row>
    <row r="25" spans="1:15" ht="13.5" customHeight="1">
      <c r="A25" s="66">
        <f t="shared" si="0"/>
        <v>18</v>
      </c>
      <c r="B25" s="76" t="s">
        <v>69</v>
      </c>
      <c r="C25" s="72" t="s">
        <v>70</v>
      </c>
      <c r="D25" s="34">
        <v>576524278.58399999</v>
      </c>
      <c r="E25" s="15">
        <v>36438104.546547942</v>
      </c>
      <c r="F25" s="16">
        <f>E25/(E$37-E$23-E$35)</f>
        <v>1.8926398474217232E-2</v>
      </c>
      <c r="G25" s="17">
        <v>1</v>
      </c>
      <c r="H25" s="18">
        <f>+$H$44*G25</f>
        <v>8.4792442033391549E-2</v>
      </c>
      <c r="I25" s="19">
        <f>+E25*H25</f>
        <v>3089675.8675698275</v>
      </c>
      <c r="J25" s="19">
        <f>+E25+I25</f>
        <v>39527780.414117768</v>
      </c>
      <c r="L25" s="61"/>
      <c r="M25" s="50"/>
      <c r="N25" s="60"/>
      <c r="O25" s="78"/>
    </row>
    <row r="26" spans="1:15">
      <c r="A26" s="66">
        <f t="shared" si="0"/>
        <v>19</v>
      </c>
      <c r="C26" s="72"/>
      <c r="D26" s="31"/>
      <c r="E26" s="32"/>
      <c r="F26" s="33"/>
      <c r="G26" s="73"/>
      <c r="H26" s="72"/>
      <c r="I26" s="78"/>
      <c r="J26" s="78"/>
      <c r="L26" s="61"/>
      <c r="M26" s="45"/>
      <c r="N26" s="46"/>
      <c r="O26" s="78"/>
    </row>
    <row r="27" spans="1:15">
      <c r="A27" s="66">
        <f t="shared" si="0"/>
        <v>20</v>
      </c>
      <c r="B27" s="71" t="s">
        <v>71</v>
      </c>
      <c r="C27" s="79" t="s">
        <v>72</v>
      </c>
      <c r="D27" s="34">
        <v>1954913503.9983001</v>
      </c>
      <c r="E27" s="15">
        <v>7033519.1399157904</v>
      </c>
      <c r="F27" s="16">
        <f>E27/(E$37-E$23-E$35)</f>
        <v>3.653296118847963E-3</v>
      </c>
      <c r="G27" s="17">
        <v>1.25</v>
      </c>
      <c r="H27" s="18">
        <f>+$H$44*G27</f>
        <v>0.10599055254173943</v>
      </c>
      <c r="I27" s="19">
        <f>+E27*H27</f>
        <v>745486.57995257457</v>
      </c>
      <c r="J27" s="19">
        <f>+E27+I27</f>
        <v>7779005.7198683647</v>
      </c>
      <c r="L27" s="61"/>
      <c r="M27" s="50"/>
      <c r="N27" s="60"/>
      <c r="O27" s="78"/>
    </row>
    <row r="28" spans="1:15">
      <c r="A28" s="66">
        <f t="shared" si="0"/>
        <v>21</v>
      </c>
      <c r="C28" s="72"/>
      <c r="D28" s="31"/>
      <c r="E28" s="32"/>
      <c r="F28" s="33"/>
      <c r="G28" s="73"/>
      <c r="H28" s="72"/>
      <c r="I28" s="78"/>
      <c r="L28" s="61"/>
      <c r="M28" s="45"/>
      <c r="N28" s="46"/>
      <c r="O28" s="78"/>
    </row>
    <row r="29" spans="1:15">
      <c r="A29" s="66">
        <f t="shared" si="0"/>
        <v>22</v>
      </c>
      <c r="B29" s="64" t="s">
        <v>73</v>
      </c>
      <c r="C29" s="72" t="s">
        <v>74</v>
      </c>
      <c r="D29" s="34">
        <v>81494849.34449999</v>
      </c>
      <c r="E29" s="15">
        <v>16975573.845897056</v>
      </c>
      <c r="F29" s="16">
        <f>E29/(E$37-E$23-E$35)</f>
        <v>8.8173212886394747E-3</v>
      </c>
      <c r="G29" s="17">
        <v>1</v>
      </c>
      <c r="H29" s="18">
        <f>+$H$44*G29</f>
        <v>8.4792442033391549E-2</v>
      </c>
      <c r="I29" s="19">
        <f>+E29*H29</f>
        <v>1439400.3613117838</v>
      </c>
      <c r="J29" s="19">
        <f>+E29+I29</f>
        <v>18414974.207208838</v>
      </c>
      <c r="L29" s="61"/>
      <c r="M29" s="50"/>
      <c r="N29" s="60"/>
      <c r="O29" s="78"/>
    </row>
    <row r="30" spans="1:15">
      <c r="A30" s="66">
        <f t="shared" si="0"/>
        <v>23</v>
      </c>
      <c r="C30" s="72"/>
      <c r="D30" s="36"/>
      <c r="E30" s="32"/>
      <c r="F30" s="37"/>
      <c r="H30" s="72"/>
      <c r="L30" s="61"/>
      <c r="M30" s="45"/>
      <c r="N30" s="46"/>
      <c r="O30" s="78"/>
    </row>
    <row r="31" spans="1:15" ht="13.5" thickBot="1">
      <c r="A31" s="66">
        <f t="shared" si="0"/>
        <v>24</v>
      </c>
      <c r="B31" s="76" t="s">
        <v>75</v>
      </c>
      <c r="C31" s="72"/>
      <c r="D31" s="38">
        <f>SUM(D29,D27,D23,D25,D21,D15,D8)</f>
        <v>23090880934.712337</v>
      </c>
      <c r="E31" s="39">
        <f>SUM(E29,E27,E23,E25,E21,E15,E8)</f>
        <v>1977265954.5764966</v>
      </c>
      <c r="F31" s="81"/>
      <c r="G31" s="80"/>
      <c r="H31" s="40">
        <f>+I31/E31</f>
        <v>7.7079891375889109E-2</v>
      </c>
      <c r="I31" s="39">
        <f>SUM(I29,I27,I23,I25,I21,I15,I8)</f>
        <v>152407445.00000006</v>
      </c>
      <c r="J31" s="39">
        <f>SUM(J29,J27,J23,J25,J21,J15,J8)</f>
        <v>2129673399.5764966</v>
      </c>
      <c r="L31" s="61"/>
      <c r="M31" s="50"/>
      <c r="N31" s="60"/>
      <c r="O31" s="78"/>
    </row>
    <row r="32" spans="1:15" ht="13.5" thickTop="1">
      <c r="A32" s="66">
        <f t="shared" si="0"/>
        <v>25</v>
      </c>
      <c r="C32" s="72"/>
      <c r="D32" s="31"/>
      <c r="E32" s="32"/>
      <c r="F32" s="33"/>
      <c r="H32" s="72"/>
      <c r="I32" s="78"/>
      <c r="J32" s="78"/>
      <c r="L32" s="61"/>
      <c r="M32" s="51"/>
      <c r="N32" s="46"/>
      <c r="O32" s="78"/>
    </row>
    <row r="33" spans="1:15">
      <c r="A33" s="66">
        <f t="shared" si="0"/>
        <v>26</v>
      </c>
      <c r="B33" s="64" t="s">
        <v>76</v>
      </c>
      <c r="C33" s="72"/>
      <c r="D33" s="112" t="s">
        <v>77</v>
      </c>
      <c r="E33" s="112"/>
      <c r="F33" s="33"/>
      <c r="H33" s="82">
        <f>+H35</f>
        <v>0.48569865245831351</v>
      </c>
      <c r="I33" s="78"/>
      <c r="J33" s="78"/>
      <c r="L33" s="57"/>
      <c r="M33" s="51"/>
      <c r="N33" s="57"/>
      <c r="O33" s="78"/>
    </row>
    <row r="34" spans="1:15">
      <c r="A34" s="66">
        <f t="shared" si="0"/>
        <v>27</v>
      </c>
      <c r="B34" s="64" t="s">
        <v>78</v>
      </c>
      <c r="C34" s="72"/>
      <c r="D34" s="106" t="s">
        <v>77</v>
      </c>
      <c r="E34" s="106"/>
      <c r="F34" s="33"/>
      <c r="H34" s="82">
        <f>+H35</f>
        <v>0.48569865245831351</v>
      </c>
      <c r="I34" s="78"/>
      <c r="J34" s="78"/>
      <c r="L34" s="61"/>
      <c r="M34" s="45"/>
      <c r="N34" s="57"/>
      <c r="O34" s="78"/>
    </row>
    <row r="35" spans="1:15">
      <c r="A35" s="66">
        <f t="shared" si="0"/>
        <v>28</v>
      </c>
      <c r="B35" s="76" t="s">
        <v>79</v>
      </c>
      <c r="C35" s="79"/>
      <c r="D35" s="34">
        <v>7332573.9088840308</v>
      </c>
      <c r="E35" s="15">
        <v>1217755.077158185</v>
      </c>
      <c r="F35" s="16"/>
      <c r="G35" s="41"/>
      <c r="H35" s="42">
        <f>(I35/E35)</f>
        <v>0.48569865245831351</v>
      </c>
      <c r="I35" s="35">
        <v>591462</v>
      </c>
      <c r="J35" s="19">
        <f>+E35+I35</f>
        <v>1809217.077158185</v>
      </c>
      <c r="L35" s="61"/>
      <c r="M35" s="50"/>
      <c r="N35" s="60"/>
      <c r="O35" s="78"/>
    </row>
    <row r="36" spans="1:15">
      <c r="A36" s="66">
        <f t="shared" si="0"/>
        <v>29</v>
      </c>
      <c r="C36" s="72"/>
      <c r="D36" s="36"/>
      <c r="E36" s="32"/>
      <c r="F36" s="37"/>
      <c r="H36" s="72"/>
      <c r="L36" s="55"/>
      <c r="M36" s="45"/>
      <c r="N36" s="46"/>
      <c r="O36" s="78"/>
    </row>
    <row r="37" spans="1:15" ht="13.5" thickBot="1">
      <c r="A37" s="66">
        <f t="shared" si="0"/>
        <v>30</v>
      </c>
      <c r="B37" s="64" t="s">
        <v>80</v>
      </c>
      <c r="C37" s="72"/>
      <c r="D37" s="38">
        <f>SUM(D35,D31)</f>
        <v>23098213508.62122</v>
      </c>
      <c r="E37" s="39">
        <f>SUM(E35,E31)</f>
        <v>1978483709.6536548</v>
      </c>
      <c r="F37" s="40">
        <f>SUM(F8:F35)</f>
        <v>0.99999999999999989</v>
      </c>
      <c r="G37" s="80"/>
      <c r="H37" s="40">
        <f>+H40/E37</f>
        <v>7.7331395883357232E-2</v>
      </c>
      <c r="I37" s="39">
        <f>SUM(I35,I31)</f>
        <v>152998907.00000006</v>
      </c>
      <c r="J37" s="39">
        <f>SUM(J35,J31)</f>
        <v>2131482616.6536548</v>
      </c>
      <c r="L37" s="61"/>
      <c r="M37" s="50"/>
      <c r="N37" s="60"/>
      <c r="O37" s="78"/>
    </row>
    <row r="38" spans="1:15" ht="13.5" thickTop="1">
      <c r="A38" s="66">
        <f t="shared" si="0"/>
        <v>31</v>
      </c>
      <c r="C38" s="72"/>
      <c r="D38" s="83"/>
      <c r="E38" s="23"/>
      <c r="F38" s="43"/>
      <c r="G38" s="23"/>
      <c r="H38" s="43"/>
      <c r="I38" s="23"/>
      <c r="J38" s="23"/>
      <c r="L38" s="57"/>
      <c r="M38" s="57"/>
      <c r="N38" s="57"/>
      <c r="O38" s="78"/>
    </row>
    <row r="39" spans="1:15" ht="13.5" thickBot="1">
      <c r="A39" s="66">
        <f t="shared" si="0"/>
        <v>32</v>
      </c>
      <c r="C39" s="72"/>
      <c r="D39" s="72"/>
      <c r="I39" s="84"/>
      <c r="J39" s="84"/>
      <c r="M39" s="45"/>
      <c r="N39" s="46"/>
    </row>
    <row r="40" spans="1:15">
      <c r="A40" s="66">
        <f t="shared" si="0"/>
        <v>33</v>
      </c>
      <c r="B40" s="95" t="s">
        <v>82</v>
      </c>
      <c r="C40" s="85"/>
      <c r="D40" s="85"/>
      <c r="E40" s="86"/>
      <c r="F40" s="86"/>
      <c r="G40" s="86"/>
      <c r="H40" s="98">
        <f>152928501+70406</f>
        <v>152998907</v>
      </c>
      <c r="I40" s="84"/>
      <c r="J40" s="84"/>
      <c r="M40" s="45"/>
      <c r="N40" s="46"/>
    </row>
    <row r="41" spans="1:15">
      <c r="A41" s="66">
        <f t="shared" si="0"/>
        <v>34</v>
      </c>
      <c r="B41" s="87" t="s">
        <v>85</v>
      </c>
      <c r="C41" s="88"/>
      <c r="D41" s="88"/>
      <c r="E41" s="78"/>
      <c r="F41" s="78"/>
      <c r="G41" s="96"/>
      <c r="H41" s="97">
        <f>H40/(E37)</f>
        <v>7.7331395883357232E-2</v>
      </c>
      <c r="I41" s="13"/>
      <c r="J41" s="13"/>
    </row>
    <row r="42" spans="1:15">
      <c r="A42" s="66">
        <f t="shared" si="0"/>
        <v>35</v>
      </c>
      <c r="B42" s="87" t="s">
        <v>84</v>
      </c>
      <c r="C42" s="88"/>
      <c r="D42" s="88"/>
      <c r="E42" s="78"/>
      <c r="F42" s="78"/>
      <c r="G42" s="78"/>
      <c r="H42" s="47">
        <f>(H40-I23-I35)/(E37-E23-E35)</f>
        <v>7.7418812983421834E-2</v>
      </c>
      <c r="I42" s="13"/>
      <c r="J42" s="44"/>
    </row>
    <row r="43" spans="1:15" ht="13.5" thickBot="1">
      <c r="A43" s="66">
        <f t="shared" si="0"/>
        <v>36</v>
      </c>
      <c r="B43" s="89" t="s">
        <v>81</v>
      </c>
      <c r="C43" s="88"/>
      <c r="D43" s="88"/>
      <c r="E43" s="78"/>
      <c r="F43" s="78"/>
      <c r="G43" s="78"/>
      <c r="H43" s="90">
        <f>1/SUMPRODUCT($G$8:$G$35,$F$8:$F$35)</f>
        <v>1.0952433751670756</v>
      </c>
      <c r="J43" s="84"/>
    </row>
    <row r="44" spans="1:15" ht="13.5" thickBot="1">
      <c r="A44" s="66">
        <f t="shared" si="0"/>
        <v>37</v>
      </c>
      <c r="B44" s="91" t="s">
        <v>86</v>
      </c>
      <c r="C44" s="92"/>
      <c r="D44" s="92"/>
      <c r="E44" s="93"/>
      <c r="F44" s="93"/>
      <c r="G44" s="93"/>
      <c r="H44" s="48">
        <f>H43*H42</f>
        <v>8.4792442033391549E-2</v>
      </c>
      <c r="J44" s="84"/>
    </row>
    <row r="45" spans="1:15">
      <c r="B45" s="94"/>
      <c r="C45" s="94"/>
      <c r="D45" s="94"/>
      <c r="E45" s="94"/>
      <c r="F45" s="94"/>
    </row>
    <row r="46" spans="1:15">
      <c r="B46" s="64" t="s">
        <v>89</v>
      </c>
      <c r="D46" s="72"/>
    </row>
    <row r="47" spans="1:15">
      <c r="C47" s="72"/>
      <c r="D47" s="72"/>
    </row>
    <row r="48" spans="1:15">
      <c r="C48" s="72"/>
      <c r="D48" s="72"/>
    </row>
    <row r="49" spans="3:4">
      <c r="C49" s="72"/>
      <c r="D49" s="72"/>
    </row>
    <row r="50" spans="3:4">
      <c r="C50" s="72"/>
      <c r="D50" s="72"/>
    </row>
    <row r="51" spans="3:4">
      <c r="C51" s="72"/>
      <c r="D51" s="72"/>
    </row>
    <row r="52" spans="3:4">
      <c r="C52" s="72"/>
      <c r="D52" s="72"/>
    </row>
    <row r="53" spans="3:4">
      <c r="C53" s="72"/>
      <c r="D53" s="72"/>
    </row>
    <row r="54" spans="3:4">
      <c r="C54" s="72"/>
      <c r="D54" s="72"/>
    </row>
    <row r="55" spans="3:4">
      <c r="C55" s="72"/>
      <c r="D55" s="72"/>
    </row>
    <row r="56" spans="3:4">
      <c r="C56" s="72"/>
      <c r="D56" s="72"/>
    </row>
    <row r="57" spans="3:4">
      <c r="C57" s="72"/>
      <c r="D57" s="72"/>
    </row>
    <row r="58" spans="3:4">
      <c r="C58" s="72"/>
      <c r="D58" s="72"/>
    </row>
  </sheetData>
  <mergeCells count="7">
    <mergeCell ref="D34:E34"/>
    <mergeCell ref="A1:J1"/>
    <mergeCell ref="A2:J2"/>
    <mergeCell ref="A3:J3"/>
    <mergeCell ref="D14:E14"/>
    <mergeCell ref="D19:E19"/>
    <mergeCell ref="D33:E33"/>
  </mergeCells>
  <printOptions horizontalCentered="1"/>
  <pageMargins left="1" right="1" top="1" bottom="1" header="0.5" footer="0.3"/>
  <pageSetup scale="68" orientation="landscape" r:id="rId1"/>
  <headerFooter scaleWithDoc="0">
    <oddHeader>&amp;R&amp;"Times New Roman,Bold"&amp;8Exhibit No.___(KCH-5)
Page 1 of 1</oddHeader>
  </headerFooter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ABD38B-386A-452C-A03D-71E42EB80EF2}"/>
</file>

<file path=customXml/itemProps2.xml><?xml version="1.0" encoding="utf-8"?>
<ds:datastoreItem xmlns:ds="http://schemas.openxmlformats.org/officeDocument/2006/customXml" ds:itemID="{ED9D9B56-5B49-48AE-8ED6-230F5E467420}"/>
</file>

<file path=customXml/itemProps3.xml><?xml version="1.0" encoding="utf-8"?>
<ds:datastoreItem xmlns:ds="http://schemas.openxmlformats.org/officeDocument/2006/customXml" ds:itemID="{9C93BCFC-A215-433B-8C53-4AE4EBE7F7AE}"/>
</file>

<file path=customXml/itemProps4.xml><?xml version="1.0" encoding="utf-8"?>
<ds:datastoreItem xmlns:ds="http://schemas.openxmlformats.org/officeDocument/2006/customXml" ds:itemID="{C12777FA-41A3-40D6-B0EE-C648FBD66C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Kroger Exhibit No. KCH-4</vt:lpstr>
      <vt:lpstr>Kroger Exhibit No. KCH-5</vt:lpstr>
      <vt:lpstr>'Kroger Exhibit No. KCH-5'!Print_Area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ntownsend</dc:creator>
  <cp:lastModifiedBy>Kim Walton</cp:lastModifiedBy>
  <cp:lastPrinted>2011-12-06T23:46:24Z</cp:lastPrinted>
  <dcterms:created xsi:type="dcterms:W3CDTF">2011-12-04T00:04:17Z</dcterms:created>
  <dcterms:modified xsi:type="dcterms:W3CDTF">2011-12-07T21:02:48Z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