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Override PartName="/xl/worksheets/sheet33.xml" ContentType="application/vnd.openxmlformats-officedocument.spreadsheetml.worksheet+xml"/>
  <Override PartName="/xl/comments33.xml" ContentType="application/vnd.openxmlformats-officedocument.spreadsheetml.comments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comments36.xml" ContentType="application/vnd.openxmlformats-officedocument.spreadsheetml.comments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comments38.xml" ContentType="application/vnd.openxmlformats-officedocument.spreadsheetml.comments+xml"/>
  <Override PartName="/xl/worksheets/sheet39.xml" ContentType="application/vnd.openxmlformats-officedocument.spreadsheetml.worksheet+xml"/>
  <Override PartName="/xl/comments39.xml" ContentType="application/vnd.openxmlformats-officedocument.spreadsheetml.comments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445" activeTab="0"/>
  </bookViews>
  <sheets>
    <sheet name="Rate Spread" sheetId="1" r:id="rId1"/>
    <sheet name="Rate Design Summary" sheetId="2" r:id="rId2"/>
    <sheet name="Summary Proforma Proposed" sheetId="3" r:id="rId3"/>
    <sheet name="Residential Sch 7" sheetId="4" r:id="rId4"/>
    <sheet name="Secondary Sch 24" sheetId="5" r:id="rId5"/>
    <sheet name="Secondary Sch 25" sheetId="6" r:id="rId6"/>
    <sheet name="Secondary Sch 26" sheetId="7" r:id="rId7"/>
    <sheet name="Secondary Sch 29" sheetId="8" r:id="rId8"/>
    <sheet name="Primary Sch 31" sheetId="9" r:id="rId9"/>
    <sheet name="Primary Sch 35" sheetId="10" r:id="rId10"/>
    <sheet name="Primary Sch 43" sheetId="11" r:id="rId11"/>
    <sheet name="Campus Sch 40" sheetId="12" r:id="rId12"/>
    <sheet name="HV Sch 46" sheetId="13" r:id="rId13"/>
    <sheet name="HV Sch 49" sheetId="14" r:id="rId14"/>
    <sheet name="Lighting" sheetId="15" r:id="rId15"/>
    <sheet name="Small Firm Resale" sheetId="16" r:id="rId16"/>
    <sheet name="Sch 449" sheetId="17" r:id="rId17"/>
    <sheet name="Sch 459" sheetId="18" r:id="rId18"/>
    <sheet name="Transportation Special Contract" sheetId="19" r:id="rId19"/>
    <sheet name="Lighting Summary" sheetId="20" r:id="rId20"/>
    <sheet name="Schedule 003" sheetId="21" r:id="rId21"/>
    <sheet name="Schedule 50" sheetId="22" r:id="rId22"/>
    <sheet name="Schedule 52" sheetId="23" r:id="rId23"/>
    <sheet name="Schedule 52 O&amp;M" sheetId="24" r:id="rId24"/>
    <sheet name="Schedule 53" sheetId="25" r:id="rId25"/>
    <sheet name="Schedule 54" sheetId="26" r:id="rId26"/>
    <sheet name="Schedules 55 &amp; 56" sheetId="27" r:id="rId27"/>
    <sheet name="Schedule 57" sheetId="28" r:id="rId28"/>
    <sheet name="Schedules 58 &amp; 59" sheetId="29" r:id="rId29"/>
    <sheet name="Poles" sheetId="30" r:id="rId30"/>
    <sheet name="Rate Design Sch 7" sheetId="31" r:id="rId31"/>
    <sheet name="Rate Design Sch 24" sheetId="32" r:id="rId32"/>
    <sheet name="Rate Design Sch 25" sheetId="33" r:id="rId33"/>
    <sheet name="Rate Design Sch 29" sheetId="34" r:id="rId34"/>
    <sheet name="Rate Design Sch 26" sheetId="35" r:id="rId35"/>
    <sheet name="Rate Design Sch 31" sheetId="36" r:id="rId36"/>
    <sheet name="Rate Design Sch 35" sheetId="37" r:id="rId37"/>
    <sheet name="Rate Design Sch 43" sheetId="38" r:id="rId38"/>
    <sheet name="Rate Design Sch 46" sheetId="39" r:id="rId39"/>
    <sheet name="Rate Design Sch 49" sheetId="40" r:id="rId40"/>
    <sheet name="Rate Design Sch 449" sheetId="41" r:id="rId41"/>
    <sheet name="Sch 40 Tariff Summary" sheetId="42" r:id="rId42"/>
    <sheet name="Sch 40 Prod &amp; Trans Charges" sheetId="43" r:id="rId43"/>
    <sheet name="Sch 40 FCR Rates" sheetId="44" r:id="rId44"/>
  </sheets>
  <externalReferences>
    <externalReference r:id="rId47"/>
    <externalReference r:id="rId48"/>
    <externalReference r:id="rId49"/>
    <externalReference r:id="rId50"/>
    <externalReference r:id="rId51"/>
  </externalReferences>
  <definedNames>
    <definedName name="_xlfn.BAHTTEXT" hidden="1">#NAME?</definedName>
    <definedName name="BOOK_LIFE" localSheetId="43">'[2]Lvl FCR'!$G$10</definedName>
    <definedName name="BOOK_LIFE">'[2]Lvl FCR'!$G$10</definedName>
    <definedName name="CASE" localSheetId="43">'[4]INPUTS'!$C$8</definedName>
    <definedName name="CASE">'[3]INPUTS'!$C$8</definedName>
    <definedName name="Classification" localSheetId="43">#REF!</definedName>
    <definedName name="Classification">#REF!</definedName>
    <definedName name="Construction_OH" localSheetId="43">'[1]Virtual 49 Back-Up'!$E$54</definedName>
    <definedName name="Construction_OH">'[1]Virtual 49 Back-Up'!$E$54</definedName>
    <definedName name="DOCKET">#REF!</definedName>
    <definedName name="Expected_Life" localSheetId="43">#REF!</definedName>
    <definedName name="Expected_Life">#REF!</definedName>
    <definedName name="FCR" localSheetId="43">'[1]Virtual 49 Back-Up'!$B$20</definedName>
    <definedName name="FCR">'[1]Virtual 49 Back-Up'!$B$20</definedName>
    <definedName name="Line_OH" localSheetId="43">#REF!</definedName>
    <definedName name="Line_OH">#REF!</definedName>
    <definedName name="O_M_Rate" localSheetId="43">'[1]Virtual 49 Back-Up'!$B$21</definedName>
    <definedName name="O_M_Rate">'[1]Virtual 49 Back-Up'!$B$21</definedName>
    <definedName name="OthRCF" localSheetId="43">'[4]INPUTS'!$F$41</definedName>
    <definedName name="OthRCF">'[3]INPUTS'!$F$41</definedName>
    <definedName name="_xlnm.Print_Area" localSheetId="11">'Campus Sch 40'!$A$1:$J$40</definedName>
    <definedName name="_xlnm.Print_Area" localSheetId="12">'HV Sch 46'!$A$1:$H$25</definedName>
    <definedName name="_xlnm.Print_Area" localSheetId="13">'HV Sch 49'!$A$1:$H$18</definedName>
    <definedName name="_xlnm.Print_Area" localSheetId="14">'Lighting'!$A$1:$F$22</definedName>
    <definedName name="_xlnm.Print_Area" localSheetId="19">'Lighting Summary'!$A$1:$F$26</definedName>
    <definedName name="_xlnm.Print_Area" localSheetId="29">'Poles'!$A$1:$H$19</definedName>
    <definedName name="_xlnm.Print_Area" localSheetId="8">'Primary Sch 31'!$A$1:$J$24</definedName>
    <definedName name="_xlnm.Print_Area" localSheetId="9">'Primary Sch 35'!$A$1:$H$24</definedName>
    <definedName name="_xlnm.Print_Area" localSheetId="10">'Primary Sch 43'!$A$1:$J$25</definedName>
    <definedName name="_xlnm.Print_Area" localSheetId="31">'Rate Design Sch 24'!$A$1:$I$35</definedName>
    <definedName name="_xlnm.Print_Area" localSheetId="32">'Rate Design Sch 25'!$A$1:$I$49</definedName>
    <definedName name="_xlnm.Print_Area" localSheetId="34">'Rate Design Sch 26'!$A$1:$I$37</definedName>
    <definedName name="_xlnm.Print_Area" localSheetId="33">'Rate Design Sch 29'!$A$1:$I$39</definedName>
    <definedName name="_xlnm.Print_Area" localSheetId="35">'Rate Design Sch 31'!$A$1:$I$39</definedName>
    <definedName name="_xlnm.Print_Area" localSheetId="36">'Rate Design Sch 35'!$A$1:$I$29</definedName>
    <definedName name="_xlnm.Print_Area" localSheetId="37">'Rate Design Sch 43'!$A$1:$I$29</definedName>
    <definedName name="_xlnm.Print_Area" localSheetId="40">'Rate Design Sch 449'!$A$1:$H$40</definedName>
    <definedName name="_xlnm.Print_Area" localSheetId="38">'Rate Design Sch 46'!$A$1:$I$18</definedName>
    <definedName name="_xlnm.Print_Area" localSheetId="39">'Rate Design Sch 49'!$A$1:$I$26</definedName>
    <definedName name="_xlnm.Print_Area" localSheetId="30">'Rate Design Sch 7'!$A$1:$I$34</definedName>
    <definedName name="_xlnm.Print_Area" localSheetId="0">'Rate Spread'!$C$10:$O$45</definedName>
    <definedName name="_xlnm.Print_Area" localSheetId="3">'Residential Sch 7'!$A$1:$J$22</definedName>
    <definedName name="_xlnm.Print_Area" localSheetId="42">'Sch 40 Prod &amp; Trans Charges'!$A$1:$O$27</definedName>
    <definedName name="_xlnm.Print_Area" localSheetId="41">'Sch 40 Tariff Summary'!$A$1:$F$38</definedName>
    <definedName name="_xlnm.Print_Area" localSheetId="16">'Sch 449'!$A$1:$H$26</definedName>
    <definedName name="_xlnm.Print_Area" localSheetId="17">'Sch 459'!$A$1:$H$20</definedName>
    <definedName name="_xlnm.Print_Area" localSheetId="20">'Schedule 003'!$A$1:$L$11</definedName>
    <definedName name="_xlnm.Print_Area" localSheetId="21">'Schedule 50'!$A$1:$L$22</definedName>
    <definedName name="_xlnm.Print_Area" localSheetId="22">'Schedule 52'!$A$1:$L$26</definedName>
    <definedName name="_xlnm.Print_Area" localSheetId="23">'Schedule 52 O&amp;M'!$A$1:$H$8</definedName>
    <definedName name="_xlnm.Print_Area" localSheetId="24">'Schedule 53'!$A$1:$L$36</definedName>
    <definedName name="_xlnm.Print_Area" localSheetId="25">'Schedule 54'!$A$1:$L$18</definedName>
    <definedName name="_xlnm.Print_Area" localSheetId="27">'Schedule 57'!$A$1:$J$12</definedName>
    <definedName name="_xlnm.Print_Area" localSheetId="26">'Schedules 55 &amp; 56'!$A$1:$L$18</definedName>
    <definedName name="_xlnm.Print_Area" localSheetId="28">'Schedules 58 &amp; 59'!$A$1:$M$32</definedName>
    <definedName name="_xlnm.Print_Area" localSheetId="4">'Secondary Sch 24'!$A$1:$J$22</definedName>
    <definedName name="_xlnm.Print_Area" localSheetId="5">'Secondary Sch 25'!$A$1:$J$28</definedName>
    <definedName name="_xlnm.Print_Area" localSheetId="6">'Secondary Sch 26'!$A$1:$J$24</definedName>
    <definedName name="_xlnm.Print_Area" localSheetId="7">'Secondary Sch 29'!$A$1:$J$30</definedName>
    <definedName name="_xlnm.Print_Area" localSheetId="15">'Small Firm Resale'!$A$1:$J$18</definedName>
    <definedName name="_xlnm.Print_Area" localSheetId="2">'Summary Proforma Proposed'!$A$1:$I$44</definedName>
    <definedName name="_xlnm.Print_Area" localSheetId="18">'Transportation Special Contract'!$A$1:$H$21</definedName>
    <definedName name="_xlnm.Print_Titles" localSheetId="0">'Rate Spread'!$A:$B,'Rate Spread'!$1:$9</definedName>
    <definedName name="PSPL">#REF!</definedName>
    <definedName name="ResRCF" localSheetId="43">'[4]INPUTS'!$F$39</definedName>
    <definedName name="ResRCF">'[3]INPUTS'!$F$39</definedName>
    <definedName name="ROD">'[4]INPUTS'!$F$25</definedName>
    <definedName name="ROR" localSheetId="43">'[4]INPUTS'!$F$24</definedName>
    <definedName name="ROR">'[3]INPUTS'!$F$24</definedName>
    <definedName name="SBRCF" localSheetId="43">'[4]INPUTS'!$F$40</definedName>
    <definedName name="SBRCF">'[3]INPUTS'!$F$40</definedName>
    <definedName name="TESTYEAR">#REF!</definedName>
    <definedName name="xxx">#REF!</definedName>
  </definedNames>
  <calcPr fullCalcOnLoad="1"/>
</workbook>
</file>

<file path=xl/comments1.xml><?xml version="1.0" encoding="utf-8"?>
<comments xmlns="http://schemas.openxmlformats.org/spreadsheetml/2006/main">
  <authors>
    <author>Puget Sound Energy</author>
  </authors>
  <commentList>
    <comment ref="I24" authorId="0">
      <text>
        <r>
          <rPr>
            <b/>
            <sz val="8"/>
            <rFont val="Tahoma"/>
            <family val="2"/>
          </rPr>
          <t>Puget Sound Energy:</t>
        </r>
        <r>
          <rPr>
            <sz val="8"/>
            <rFont val="Tahoma"/>
            <family val="2"/>
          </rPr>
          <t xml:space="preserve">
Iterate change with Rate Spread document to achieve a zero change in cell d24</t>
        </r>
      </text>
    </comment>
  </commentList>
</comments>
</file>

<file path=xl/comments25.xml><?xml version="1.0" encoding="utf-8"?>
<comments xmlns="http://schemas.openxmlformats.org/spreadsheetml/2006/main">
  <authors>
    <author>Puget Sound Energy</author>
  </authors>
  <commentList>
    <comment ref="H11" authorId="0">
      <text>
        <r>
          <rPr>
            <b/>
            <sz val="8"/>
            <rFont val="Tahoma"/>
            <family val="2"/>
          </rPr>
          <t>PSE:</t>
        </r>
        <r>
          <rPr>
            <sz val="8"/>
            <rFont val="Tahoma"/>
            <family val="2"/>
          </rPr>
          <t xml:space="preserve">
Adjust this lamp for rounding</t>
        </r>
      </text>
    </comment>
  </commentList>
</comments>
</file>

<file path=xl/comments32.xml><?xml version="1.0" encoding="utf-8"?>
<comments xmlns="http://schemas.openxmlformats.org/spreadsheetml/2006/main">
  <authors>
    <author>Puget Sound Energy</author>
  </authors>
  <commentList>
    <comment ref="K9" authorId="0">
      <text>
        <r>
          <rPr>
            <b/>
            <sz val="8"/>
            <rFont val="Tahoma"/>
            <family val="2"/>
          </rPr>
          <t>PSE:</t>
        </r>
        <r>
          <rPr>
            <sz val="8"/>
            <rFont val="Tahoma"/>
            <family val="2"/>
          </rPr>
          <t xml:space="preserve">
Proforma Average Basic Charge</t>
        </r>
      </text>
    </comment>
    <comment ref="K11" authorId="0">
      <text>
        <r>
          <rPr>
            <b/>
            <sz val="8"/>
            <rFont val="Tahoma"/>
            <family val="2"/>
          </rPr>
          <t>PSE:</t>
        </r>
        <r>
          <rPr>
            <sz val="8"/>
            <rFont val="Tahoma"/>
            <family val="2"/>
          </rPr>
          <t xml:space="preserve">
Proposed Average Basic Charge</t>
        </r>
      </text>
    </comment>
    <comment ref="K8" authorId="0">
      <text>
        <r>
          <rPr>
            <b/>
            <sz val="8"/>
            <rFont val="Tahoma"/>
            <family val="2"/>
          </rPr>
          <t>PSE:</t>
        </r>
        <r>
          <rPr>
            <sz val="8"/>
            <rFont val="Tahoma"/>
            <family val="2"/>
          </rPr>
          <t xml:space="preserve">
COS Basic Charge</t>
        </r>
      </text>
    </comment>
    <comment ref="K10" authorId="0">
      <text>
        <r>
          <rPr>
            <b/>
            <sz val="8"/>
            <rFont val="Tahoma"/>
            <family val="2"/>
          </rPr>
          <t>PSE:</t>
        </r>
        <r>
          <rPr>
            <sz val="8"/>
            <rFont val="Tahoma"/>
            <family val="2"/>
          </rPr>
          <t xml:space="preserve">
Increase to Average Basic Charge</t>
        </r>
      </text>
    </comment>
  </commentList>
</comments>
</file>

<file path=xl/comments33.xml><?xml version="1.0" encoding="utf-8"?>
<comments xmlns="http://schemas.openxmlformats.org/spreadsheetml/2006/main">
  <authors>
    <author>Puget Sound Energy</author>
  </authors>
  <commentList>
    <comment ref="K7" authorId="0">
      <text>
        <r>
          <rPr>
            <b/>
            <sz val="8"/>
            <rFont val="Tahoma"/>
            <family val="2"/>
          </rPr>
          <t>PSE:</t>
        </r>
        <r>
          <rPr>
            <sz val="8"/>
            <rFont val="Tahoma"/>
            <family val="2"/>
          </rPr>
          <t xml:space="preserve">
COS Basic Charge</t>
        </r>
      </text>
    </comment>
    <comment ref="K27" authorId="0">
      <text>
        <r>
          <rPr>
            <b/>
            <sz val="8"/>
            <rFont val="Tahoma"/>
            <family val="2"/>
          </rPr>
          <t>PSE:</t>
        </r>
        <r>
          <rPr>
            <sz val="8"/>
            <rFont val="Tahoma"/>
            <family val="2"/>
          </rPr>
          <t xml:space="preserve">
Demand Related COS for Sch 25 &amp; Sch 29</t>
        </r>
      </text>
    </comment>
    <comment ref="K30" authorId="0">
      <text>
        <r>
          <rPr>
            <b/>
            <sz val="8"/>
            <rFont val="Tahoma"/>
            <family val="2"/>
          </rPr>
          <t>PSE:</t>
        </r>
        <r>
          <rPr>
            <sz val="8"/>
            <rFont val="Tahoma"/>
            <family val="2"/>
          </rPr>
          <t xml:space="preserve">
Proforma Demand Charges</t>
        </r>
      </text>
    </comment>
    <comment ref="K29" authorId="0">
      <text>
        <r>
          <rPr>
            <b/>
            <sz val="8"/>
            <rFont val="Tahoma"/>
            <family val="2"/>
          </rPr>
          <t>Puget Sound Energy:</t>
        </r>
        <r>
          <rPr>
            <sz val="8"/>
            <rFont val="Tahoma"/>
            <family val="2"/>
          </rPr>
          <t xml:space="preserve">
Total Demand Charges
Use Average increase for demand</t>
        </r>
      </text>
    </comment>
    <comment ref="L29" authorId="0">
      <text>
        <r>
          <rPr>
            <b/>
            <sz val="8"/>
            <rFont val="Tahoma"/>
            <family val="2"/>
          </rPr>
          <t>Puget Sound Energy:</t>
        </r>
        <r>
          <rPr>
            <sz val="8"/>
            <rFont val="Tahoma"/>
            <family val="2"/>
          </rPr>
          <t xml:space="preserve">
Total Demand Charges
Use Average increase for demand</t>
        </r>
      </text>
    </comment>
    <comment ref="L30" authorId="0">
      <text>
        <r>
          <rPr>
            <b/>
            <sz val="8"/>
            <rFont val="Tahoma"/>
            <family val="2"/>
          </rPr>
          <t>PSE:</t>
        </r>
        <r>
          <rPr>
            <sz val="8"/>
            <rFont val="Tahoma"/>
            <family val="2"/>
          </rPr>
          <t xml:space="preserve">
Proforma Demand Charges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PSE:  </t>
        </r>
        <r>
          <rPr>
            <sz val="8"/>
            <rFont val="Tahoma"/>
            <family val="2"/>
          </rPr>
          <t>Total Proforma 1st block energy revenue</t>
        </r>
      </text>
    </comment>
    <comment ref="K31" authorId="0">
      <text>
        <r>
          <rPr>
            <b/>
            <sz val="8"/>
            <rFont val="Tahoma"/>
            <family val="2"/>
          </rPr>
          <t>Puget Sound Energy:</t>
        </r>
        <r>
          <rPr>
            <sz val="8"/>
            <rFont val="Tahoma"/>
            <family val="2"/>
          </rPr>
          <t xml:space="preserve">
Demand costs  implicit in energy  charge</t>
        </r>
      </text>
    </comment>
    <comment ref="K12" authorId="0">
      <text>
        <r>
          <rPr>
            <b/>
            <sz val="8"/>
            <rFont val="Tahoma"/>
            <family val="2"/>
          </rPr>
          <t xml:space="preserve">PSE: </t>
        </r>
        <r>
          <rPr>
            <sz val="8"/>
            <rFont val="Tahoma"/>
            <family val="2"/>
          </rPr>
          <t>Non-demand related costs in first block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PSE: </t>
        </r>
        <r>
          <rPr>
            <sz val="8"/>
            <rFont val="Tahoma"/>
            <family val="2"/>
          </rPr>
          <t>Demand Related Revenue in First block</t>
        </r>
      </text>
    </comment>
    <comment ref="K14" authorId="0">
      <text>
        <r>
          <rPr>
            <b/>
            <sz val="8"/>
            <rFont val="Tahoma"/>
            <family val="2"/>
          </rPr>
          <t xml:space="preserve">PSE:  </t>
        </r>
        <r>
          <rPr>
            <sz val="8"/>
            <rFont val="Tahoma"/>
            <family val="2"/>
          </rPr>
          <t>Increase Non-Demand  Revenue in first block by class average increase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PSE:  </t>
        </r>
        <r>
          <rPr>
            <sz val="8"/>
            <rFont val="Tahoma"/>
            <family val="2"/>
          </rPr>
          <t>Average increase to First Block Energy</t>
        </r>
      </text>
    </comment>
    <comment ref="K15" authorId="0">
      <text>
        <r>
          <rPr>
            <b/>
            <sz val="8"/>
            <rFont val="Tahoma"/>
            <family val="2"/>
          </rPr>
          <t>PSE:</t>
        </r>
        <r>
          <rPr>
            <sz val="8"/>
            <rFont val="Tahoma"/>
            <family val="2"/>
          </rPr>
          <t xml:space="preserve">
Demand Related to be increased by 150% of Class Average</t>
        </r>
      </text>
    </comment>
  </commentList>
</comments>
</file>

<file path=xl/comments35.xml><?xml version="1.0" encoding="utf-8"?>
<comments xmlns="http://schemas.openxmlformats.org/spreadsheetml/2006/main">
  <authors>
    <author>Puget Sound Energy</author>
  </authors>
  <commentList>
    <comment ref="K7" authorId="0">
      <text>
        <r>
          <rPr>
            <b/>
            <sz val="8"/>
            <rFont val="Tahoma"/>
            <family val="2"/>
          </rPr>
          <t>PSE:</t>
        </r>
        <r>
          <rPr>
            <sz val="8"/>
            <rFont val="Tahoma"/>
            <family val="2"/>
          </rPr>
          <t xml:space="preserve">
COS Basic Charge</t>
        </r>
      </text>
    </comment>
  </commentList>
</comments>
</file>

<file path=xl/comments36.xml><?xml version="1.0" encoding="utf-8"?>
<comments xmlns="http://schemas.openxmlformats.org/spreadsheetml/2006/main">
  <authors>
    <author>Puget Sound Energy</author>
  </authors>
  <commentList>
    <comment ref="L21" authorId="0">
      <text>
        <r>
          <rPr>
            <b/>
            <sz val="8"/>
            <rFont val="Tahoma"/>
            <family val="2"/>
          </rPr>
          <t>PSE:</t>
        </r>
        <r>
          <rPr>
            <sz val="8"/>
            <rFont val="Tahoma"/>
            <family val="2"/>
          </rPr>
          <t xml:space="preserve">
Proforma Demand Charge Sch 31 &amp; Sch 35</t>
        </r>
      </text>
    </comment>
    <comment ref="K21" authorId="0">
      <text>
        <r>
          <rPr>
            <b/>
            <sz val="8"/>
            <rFont val="Tahoma"/>
            <family val="2"/>
          </rPr>
          <t>PSE:</t>
        </r>
        <r>
          <rPr>
            <sz val="8"/>
            <rFont val="Tahoma"/>
            <family val="2"/>
          </rPr>
          <t xml:space="preserve">
COS Demand </t>
        </r>
      </text>
    </comment>
    <comment ref="M21" authorId="0">
      <text>
        <r>
          <rPr>
            <b/>
            <sz val="8"/>
            <rFont val="Tahoma"/>
            <family val="2"/>
          </rPr>
          <t>PSE:</t>
        </r>
        <r>
          <rPr>
            <sz val="8"/>
            <rFont val="Tahoma"/>
            <family val="2"/>
          </rPr>
          <t xml:space="preserve">
Proposed Demand Charge Sch 31 &amp; Sch 35</t>
        </r>
      </text>
    </comment>
    <comment ref="L22" authorId="0">
      <text>
        <r>
          <rPr>
            <b/>
            <sz val="8"/>
            <rFont val="Tahoma"/>
            <family val="2"/>
          </rPr>
          <t>PSE:</t>
        </r>
        <r>
          <rPr>
            <sz val="8"/>
            <rFont val="Tahoma"/>
            <family val="2"/>
          </rPr>
          <t xml:space="preserve">
Ratio COS Demand to Proforma</t>
        </r>
      </text>
    </comment>
    <comment ref="M22" authorId="0">
      <text>
        <r>
          <rPr>
            <b/>
            <sz val="8"/>
            <rFont val="Tahoma"/>
            <family val="2"/>
          </rPr>
          <t>PSE:</t>
        </r>
        <r>
          <rPr>
            <sz val="8"/>
            <rFont val="Tahoma"/>
            <family val="2"/>
          </rPr>
          <t xml:space="preserve">
Ratio COS Demand to Proforma</t>
        </r>
      </text>
    </comment>
  </commentList>
</comments>
</file>

<file path=xl/comments38.xml><?xml version="1.0" encoding="utf-8"?>
<comments xmlns="http://schemas.openxmlformats.org/spreadsheetml/2006/main">
  <authors>
    <author>Puget Sound Energy</author>
  </authors>
  <commentList>
    <comment ref="K17" authorId="0">
      <text>
        <r>
          <rPr>
            <b/>
            <sz val="8"/>
            <rFont val="Tahoma"/>
            <family val="2"/>
          </rPr>
          <t>PSE:</t>
        </r>
        <r>
          <rPr>
            <sz val="8"/>
            <rFont val="Tahoma"/>
            <family val="2"/>
          </rPr>
          <t xml:space="preserve">
COS Demand
</t>
        </r>
      </text>
    </comment>
  </commentList>
</comments>
</file>

<file path=xl/comments39.xml><?xml version="1.0" encoding="utf-8"?>
<comments xmlns="http://schemas.openxmlformats.org/spreadsheetml/2006/main">
  <authors>
    <author>Puget Sound Energy</author>
  </authors>
  <commentList>
    <comment ref="K14" authorId="0">
      <text>
        <r>
          <rPr>
            <b/>
            <sz val="8"/>
            <rFont val="Tahoma"/>
            <family val="2"/>
          </rPr>
          <t>PSE:</t>
        </r>
        <r>
          <rPr>
            <sz val="8"/>
            <rFont val="Tahoma"/>
            <family val="2"/>
          </rPr>
          <t xml:space="preserve">
Proforma Sch 46 &amp; 49 Demand Revenue</t>
        </r>
      </text>
    </comment>
    <comment ref="L14" authorId="0">
      <text>
        <r>
          <rPr>
            <b/>
            <sz val="8"/>
            <rFont val="Tahoma"/>
            <family val="2"/>
          </rPr>
          <t>PSE:</t>
        </r>
        <r>
          <rPr>
            <sz val="8"/>
            <rFont val="Tahoma"/>
            <family val="2"/>
          </rPr>
          <t xml:space="preserve">
Proposed Sch 46 &amp; 49 Demand Revenue</t>
        </r>
      </text>
    </comment>
    <comment ref="K13" authorId="0">
      <text>
        <r>
          <rPr>
            <b/>
            <sz val="8"/>
            <rFont val="Tahoma"/>
            <family val="2"/>
          </rPr>
          <t>PSE:</t>
        </r>
        <r>
          <rPr>
            <sz val="8"/>
            <rFont val="Tahoma"/>
            <family val="2"/>
          </rPr>
          <t xml:space="preserve">
COS Demand</t>
        </r>
      </text>
    </comment>
    <comment ref="K15" authorId="0">
      <text>
        <r>
          <rPr>
            <b/>
            <sz val="8"/>
            <rFont val="Tahoma"/>
            <family val="2"/>
          </rPr>
          <t>PSE:</t>
        </r>
        <r>
          <rPr>
            <sz val="8"/>
            <rFont val="Tahoma"/>
            <family val="2"/>
          </rPr>
          <t xml:space="preserve">
Ratio Demand COS to Proforma Demand Revenue</t>
        </r>
      </text>
    </comment>
    <comment ref="L15" authorId="0">
      <text>
        <r>
          <rPr>
            <b/>
            <sz val="8"/>
            <rFont val="Tahoma"/>
            <family val="2"/>
          </rPr>
          <t>PSE:</t>
        </r>
        <r>
          <rPr>
            <sz val="8"/>
            <rFont val="Tahoma"/>
            <family val="2"/>
          </rPr>
          <t xml:space="preserve">
Ratio Demand COS to Proposed Demand Revenue</t>
        </r>
      </text>
    </comment>
  </commentList>
</comments>
</file>

<file path=xl/comments41.xml><?xml version="1.0" encoding="utf-8"?>
<comments xmlns="http://schemas.openxmlformats.org/spreadsheetml/2006/main">
  <authors>
    <author>Puget Sound Energy</author>
  </authors>
  <commentList>
    <comment ref="K8" authorId="0">
      <text>
        <r>
          <rPr>
            <b/>
            <sz val="8"/>
            <rFont val="Tahoma"/>
            <family val="2"/>
          </rPr>
          <t>PSE:</t>
        </r>
        <r>
          <rPr>
            <sz val="8"/>
            <rFont val="Tahoma"/>
            <family val="2"/>
          </rPr>
          <t xml:space="preserve">
COS Basic Charge</t>
        </r>
      </text>
    </comment>
  </commentList>
</comments>
</file>

<file path=xl/comments43.xml><?xml version="1.0" encoding="utf-8"?>
<comments xmlns="http://schemas.openxmlformats.org/spreadsheetml/2006/main">
  <authors>
    <author>Puget Sound Energy</author>
  </authors>
  <commentList>
    <comment ref="D19" authorId="0">
      <text>
        <r>
          <rPr>
            <b/>
            <sz val="8"/>
            <rFont val="Tahoma"/>
            <family val="2"/>
          </rPr>
          <t>Puget Sound Energy:</t>
        </r>
        <r>
          <rPr>
            <sz val="8"/>
            <rFont val="Tahoma"/>
            <family val="2"/>
          </rPr>
          <t xml:space="preserve">
Iterate change with Rate Spread document to achieve a zero change in cell d24</t>
        </r>
      </text>
    </comment>
  </commentList>
</comments>
</file>

<file path=xl/sharedStrings.xml><?xml version="1.0" encoding="utf-8"?>
<sst xmlns="http://schemas.openxmlformats.org/spreadsheetml/2006/main" count="1207" uniqueCount="559">
  <si>
    <t>Puget Sound Energy</t>
  </si>
  <si>
    <t>Twelve Months ended September 30, 2007</t>
  </si>
  <si>
    <t>Summary - Rate Spread</t>
  </si>
  <si>
    <t>Voltage Level</t>
  </si>
  <si>
    <t>Schedule</t>
  </si>
  <si>
    <t>kWh</t>
  </si>
  <si>
    <t>Proforma
Revenue</t>
  </si>
  <si>
    <t>Proposed Increase</t>
  </si>
  <si>
    <t>Proposed Revenue Increase (%)</t>
  </si>
  <si>
    <t>Proposed Revenue Increase
($)</t>
  </si>
  <si>
    <t>Proposed Revenue</t>
  </si>
  <si>
    <t>A</t>
  </si>
  <si>
    <t>B</t>
  </si>
  <si>
    <t>C</t>
  </si>
  <si>
    <t>D</t>
  </si>
  <si>
    <t>E</t>
  </si>
  <si>
    <t>F</t>
  </si>
  <si>
    <t>G  = B * F</t>
  </si>
  <si>
    <t>H = B + G</t>
  </si>
  <si>
    <t>Residential</t>
  </si>
  <si>
    <t>Secondary Voltage</t>
  </si>
  <si>
    <t>Demand &lt;= 50 kW</t>
  </si>
  <si>
    <t>Demand &gt; 50 kW but &lt;= 350 kW</t>
  </si>
  <si>
    <t>25 / 29</t>
  </si>
  <si>
    <t>Demand &gt; 350 kW</t>
  </si>
  <si>
    <t>Total Secondary Voltage</t>
  </si>
  <si>
    <t>Primary Voltage</t>
  </si>
  <si>
    <t>General Service / Irrigation</t>
  </si>
  <si>
    <t>31 / 35</t>
  </si>
  <si>
    <t>Interruptible Total Electric Schools</t>
  </si>
  <si>
    <t>Total Primary Voltage</t>
  </si>
  <si>
    <t>Campus Rate</t>
  </si>
  <si>
    <t>Total High Voltage</t>
  </si>
  <si>
    <t>46 / 49</t>
  </si>
  <si>
    <t>Schedule 449</t>
  </si>
  <si>
    <t>Lighting</t>
  </si>
  <si>
    <t>50-59</t>
  </si>
  <si>
    <t>Firm Resale</t>
  </si>
  <si>
    <t>005</t>
  </si>
  <si>
    <t>Total Sales</t>
  </si>
  <si>
    <t>Average Increase Before Schedule 40</t>
  </si>
  <si>
    <t>Average Increase After Schedule 40 &amp; Firm Resale</t>
  </si>
  <si>
    <t>Adjustment to Average Increase for Unequal Allocation of Increase</t>
  </si>
  <si>
    <t>Average Increase After Schedule 40 adjusted for Unequal Allocation of Increase</t>
  </si>
  <si>
    <t>Rate Design</t>
  </si>
  <si>
    <t>Residential Schedule 7</t>
  </si>
  <si>
    <t>Line No.</t>
  </si>
  <si>
    <t>Description</t>
  </si>
  <si>
    <t>Bill
Determinants</t>
  </si>
  <si>
    <t>Base Rates
Effective 
9-1-07</t>
  </si>
  <si>
    <t>PCORC
Effective
9-1-07</t>
  </si>
  <si>
    <t>Proposed
Rates
Effective 2008</t>
  </si>
  <si>
    <t>Proforma
Revenue
Effective
9-1-07</t>
  </si>
  <si>
    <t>Proposed
Revenue
Effective
2008</t>
  </si>
  <si>
    <t>Notes:</t>
  </si>
  <si>
    <t>Basic Charges</t>
  </si>
  <si>
    <t>One Phase</t>
  </si>
  <si>
    <t>Three Phase</t>
  </si>
  <si>
    <t>Total Basic Charge</t>
  </si>
  <si>
    <t>Energy Charges</t>
  </si>
  <si>
    <t>First 600 kWh</t>
  </si>
  <si>
    <t>Equal ¢ increase</t>
  </si>
  <si>
    <t>All Over 600 kWh</t>
  </si>
  <si>
    <t>As Billed</t>
  </si>
  <si>
    <t>Temperature Adjustment</t>
  </si>
  <si>
    <t>Total All Over 600 kWh</t>
  </si>
  <si>
    <t>Equal ¢ increase, Adjust for Rounding</t>
  </si>
  <si>
    <t>Total Billed kWh</t>
  </si>
  <si>
    <t>Unbilled</t>
  </si>
  <si>
    <t>Uniform % Increase</t>
  </si>
  <si>
    <t>Total kWh</t>
  </si>
  <si>
    <t>Total Revenue</t>
  </si>
  <si>
    <t>Target Proposed Increase (Decrease) from Rate Spread</t>
  </si>
  <si>
    <t>Target Proposed Revenue</t>
  </si>
  <si>
    <t>Target Proposed Revenue Change (%)</t>
  </si>
  <si>
    <t>Remainder after Basic Charge &amp; Unbilled</t>
  </si>
  <si>
    <t>Remaining Increase - %</t>
  </si>
  <si>
    <t>Remaining Increase - Equal ¢</t>
  </si>
  <si>
    <t>Over (Under) Recover Target Rate Spread</t>
  </si>
  <si>
    <t>Secondary Voltage, Schedule 24, Demand &lt; 50 kW</t>
  </si>
  <si>
    <t>Winter kWh (Oct - Mar)</t>
  </si>
  <si>
    <t>Total Winter</t>
  </si>
  <si>
    <t>Uniform % Increase &amp; adjust</t>
  </si>
  <si>
    <t>Summer kWh (Apr - Sep)</t>
  </si>
  <si>
    <t>Total Summer</t>
  </si>
  <si>
    <t>Target Revenue less Basic Charge</t>
  </si>
  <si>
    <t>Proforma Energy Revenue</t>
  </si>
  <si>
    <t>Left to Spread</t>
  </si>
  <si>
    <t>% Increase</t>
  </si>
  <si>
    <t>Secondary Voltage, Schedule 25, Demand &gt;50 kW and &lt; 350 kW</t>
  </si>
  <si>
    <t>First 20,000 kWh</t>
  </si>
  <si>
    <t>Total First 20,000 kWh</t>
  </si>
  <si>
    <t>Over 20,000 kWh</t>
  </si>
  <si>
    <t>All Months</t>
  </si>
  <si>
    <t>Total Over 20,000 kWh</t>
  </si>
  <si>
    <t>Apply Residual and Adjust if necessary</t>
  </si>
  <si>
    <t>Total Billed kWh Energy</t>
  </si>
  <si>
    <t>Winter Unbilled (Block 1)</t>
  </si>
  <si>
    <t>Winter Unbilled (Block 2)</t>
  </si>
  <si>
    <t>Total Unbilled</t>
  </si>
  <si>
    <t>Apply Class average increase</t>
  </si>
  <si>
    <t>Demand Charges</t>
  </si>
  <si>
    <t>DEMAND CHARGES</t>
  </si>
  <si>
    <t>First 50 kW</t>
  </si>
  <si>
    <t>Apply 150% class average increase</t>
  </si>
  <si>
    <t>Winter Over 50 kW</t>
  </si>
  <si>
    <t>Summer Over 50 kW</t>
  </si>
  <si>
    <t>Total Demand</t>
  </si>
  <si>
    <t>Reactive Power Charge (kVarh)</t>
  </si>
  <si>
    <t>Proforma</t>
  </si>
  <si>
    <t>Proposed</t>
  </si>
  <si>
    <t>Proposed Increase Sch 25 &amp; Sch 29</t>
  </si>
  <si>
    <t>Total Proforma Revenue Sch 25 &amp; 29</t>
  </si>
  <si>
    <t>Total Proposed Revenue Sch 25 &amp; 29</t>
  </si>
  <si>
    <t>Target Proposed % Increase</t>
  </si>
  <si>
    <t>Class Average Increase</t>
  </si>
  <si>
    <t>150% Class Average Increase</t>
  </si>
  <si>
    <t>Check</t>
  </si>
  <si>
    <t>Sch 25 Proposed Revenue</t>
  </si>
  <si>
    <t>Sch 29 Proposed Revenue</t>
  </si>
  <si>
    <t>Total Sch 25 &amp; 29 Revenue</t>
  </si>
  <si>
    <t>Target Sch 25 &amp; 29</t>
  </si>
  <si>
    <t>Secondary Voltage, Schedule 29, Irrigation</t>
  </si>
  <si>
    <t>Proposed = Proforma</t>
  </si>
  <si>
    <t>Temperature Adjustment - Winter</t>
  </si>
  <si>
    <t>Temperature Adjustment - Summer</t>
  </si>
  <si>
    <t>Target Proposed % Increase (Sch 25 &amp; 29)</t>
  </si>
  <si>
    <t>Target Proposed Revenue 29</t>
  </si>
  <si>
    <t>Secondary Voltage, Schedule 26, Demand &gt;350 kW</t>
  </si>
  <si>
    <t>All kWh</t>
  </si>
  <si>
    <t>Apply Residual &amp; Adjust</t>
  </si>
  <si>
    <t>Winter (Oct to Mar)</t>
  </si>
  <si>
    <t>Sch 31 Adj for Losses</t>
  </si>
  <si>
    <t>Summer (Apr to Sep)</t>
  </si>
  <si>
    <t>Target Proposed Increase Sch 26</t>
  </si>
  <si>
    <t>Target Proposed Revenue 26</t>
  </si>
  <si>
    <t>Adjustments to Secondary Voltage Rates for Delivery at Primary Voltage</t>
  </si>
  <si>
    <t>Basic Charge Addition Sec Voltage Rate:</t>
  </si>
  <si>
    <t>Demand Credit per kW to all Demand:</t>
  </si>
  <si>
    <t>Energy Charge Reduction to Base Rates:</t>
  </si>
  <si>
    <t>Primary Voltage, Schedule 31</t>
  </si>
  <si>
    <t>150% of Average Class Increase</t>
  </si>
  <si>
    <t>Proposed Revenue Increase 31, 35</t>
  </si>
  <si>
    <t>Proforma Revenue 31, 35</t>
  </si>
  <si>
    <t>Target Sch 31 &amp; 35</t>
  </si>
  <si>
    <t>150% of Target Proposed Revenue Change</t>
  </si>
  <si>
    <t>Sch 31 Proposed Revenue</t>
  </si>
  <si>
    <t>Sch 35 Proposed Revenue</t>
  </si>
  <si>
    <t>Total Sch 31 &amp; 35 Revenue</t>
  </si>
  <si>
    <t>Primary Voltage, Schedule 35, Irrigation</t>
  </si>
  <si>
    <t>Same as Sch 31</t>
  </si>
  <si>
    <t>Apply Residual</t>
  </si>
  <si>
    <t>150% of Average Class Increase (Same as Sch 31)</t>
  </si>
  <si>
    <t>150% of Target Proposed Revenue Change (%)</t>
  </si>
  <si>
    <t>Target Proposed $ Increase Sch 35</t>
  </si>
  <si>
    <t>Target Proposed Revenue 35</t>
  </si>
  <si>
    <t>Primary Voltage, Schedule 43, Interruptible</t>
  </si>
  <si>
    <t>Demand Charges - All kW</t>
  </si>
  <si>
    <t>150% of Average Sch 31 Increase</t>
  </si>
  <si>
    <t>Apply Class average increase (Same as Sch 31)</t>
  </si>
  <si>
    <t>Proposed Revenue Increase Sch 43</t>
  </si>
  <si>
    <t>Target Proposed $ Increase Sch 43</t>
  </si>
  <si>
    <t>Proposed Revenue % Increase Sch 43</t>
  </si>
  <si>
    <t>Sch 43 Class Average Increase</t>
  </si>
  <si>
    <t>Target Sch 31 Proposed Revenue Change (%)</t>
  </si>
  <si>
    <t>Sch 31 Average Increase</t>
  </si>
  <si>
    <t>150% of Target Sch 31 Proposed Revenue Change (%)</t>
  </si>
  <si>
    <t>150% of Sch 31 Average Increase</t>
  </si>
  <si>
    <t>High Voltage, Schedule 46, Interruptible</t>
  </si>
  <si>
    <t>Same as Sch 49</t>
  </si>
  <si>
    <t>Total Energy</t>
  </si>
  <si>
    <t>Demand Charges - All kVa</t>
  </si>
  <si>
    <t>150% of Average Class Average Increase</t>
  </si>
  <si>
    <t>Target Proposed % Increase Sch 46 &amp; 49</t>
  </si>
  <si>
    <t>150% of Target Class Average (%)</t>
  </si>
  <si>
    <t>Apply residual to Sch 46 &amp; Sch 49 energy &amp; Adjust</t>
  </si>
  <si>
    <t>Target Proposed $ Increase Sch 46 &amp; 49</t>
  </si>
  <si>
    <t>Target Proposed Revenue 46 &amp; 49</t>
  </si>
  <si>
    <t>Sch 46 Proposed</t>
  </si>
  <si>
    <t>Sch 49 Proposed</t>
  </si>
  <si>
    <t>Total HV Proposed</t>
  </si>
  <si>
    <t>Transporation, Schedules 449 and 459</t>
  </si>
  <si>
    <t>Proposed Rates Effective 2008</t>
  </si>
  <si>
    <t xml:space="preserve"> 449 Primary Voltage</t>
  </si>
  <si>
    <t xml:space="preserve"> 449 High Voltage</t>
  </si>
  <si>
    <t xml:space="preserve"> 459 High Voltage</t>
  </si>
  <si>
    <t>Apply residual to Demand on Equal $ / kVa</t>
  </si>
  <si>
    <t>Total Demand Charge</t>
  </si>
  <si>
    <t>OATT Revenue</t>
  </si>
  <si>
    <t xml:space="preserve"> 449 Primary Voltage - kWh</t>
  </si>
  <si>
    <t xml:space="preserve"> 449 High Voltage - kWh</t>
  </si>
  <si>
    <t xml:space="preserve"> 459 High Voltage - kWh</t>
  </si>
  <si>
    <t>Target Proposed $ Increase Sch 449 &amp; 459</t>
  </si>
  <si>
    <t>Target Proposed Revenue Sch 449 &amp; 459</t>
  </si>
  <si>
    <t>Target Proposed % Increase Sch 449 &amp; 459</t>
  </si>
  <si>
    <t>Proposed less Basic Charge &amp; OATT &amp; Unbilled</t>
  </si>
  <si>
    <t>Remaining Rate Change %</t>
  </si>
  <si>
    <t>Remaining Rate Change $ / kVa</t>
  </si>
  <si>
    <t>Equal $ / kVa Residual</t>
  </si>
  <si>
    <t>Subtotal Sch 449 - PV</t>
  </si>
  <si>
    <t>Subtotal Sch 449 &amp; 459 - HV</t>
  </si>
  <si>
    <t>Proforma and Proposed Revenue</t>
  </si>
  <si>
    <t>Proforma Revenue
Rates Effective
9-1-07</t>
  </si>
  <si>
    <t>Proposed
Revenue</t>
  </si>
  <si>
    <t>$ Change</t>
  </si>
  <si>
    <t>Change
as Allocated
by Rate Spread</t>
  </si>
  <si>
    <t>Rounding Differences</t>
  </si>
  <si>
    <t>% Change</t>
  </si>
  <si>
    <t>Total Residential</t>
  </si>
  <si>
    <t>Seasonal Irrigation &amp; Drainage Pumping</t>
  </si>
  <si>
    <t>General Service</t>
  </si>
  <si>
    <t>High Voltage</t>
  </si>
  <si>
    <t>Interruptible</t>
  </si>
  <si>
    <t>Total Retail Sales to Customers</t>
  </si>
  <si>
    <t>Small Firm Resale</t>
  </si>
  <si>
    <t>Special Contract</t>
  </si>
  <si>
    <t>001</t>
  </si>
  <si>
    <t>Total Firm Resale</t>
  </si>
  <si>
    <t>Transportation Sales</t>
  </si>
  <si>
    <t>Total Transporation Sales</t>
  </si>
  <si>
    <t>Total Sales to Customers</t>
  </si>
  <si>
    <t>Schedule 7</t>
  </si>
  <si>
    <t>Bill Determinants</t>
  </si>
  <si>
    <t>Temperature</t>
  </si>
  <si>
    <t>Rates Effective 9-1-07</t>
  </si>
  <si>
    <t>Rates Effective 2008</t>
  </si>
  <si>
    <t>Differences</t>
  </si>
  <si>
    <t>Adjustment</t>
  </si>
  <si>
    <t>Total</t>
  </si>
  <si>
    <t>Charge</t>
  </si>
  <si>
    <t>Revenue</t>
  </si>
  <si>
    <t>$</t>
  </si>
  <si>
    <t>%</t>
  </si>
  <si>
    <t>Basic Charge - 1 Phase</t>
  </si>
  <si>
    <t>Basic Charge - 3 Phase</t>
  </si>
  <si>
    <t xml:space="preserve">First 600 kWh </t>
  </si>
  <si>
    <t>Schedule 95</t>
  </si>
  <si>
    <t>Unbilled Revenue</t>
  </si>
  <si>
    <t>Schedule 95 Effective 9-1-07</t>
  </si>
  <si>
    <t>Secondary Voltage, Demand 50 kW or less</t>
  </si>
  <si>
    <t>Schedule 24</t>
  </si>
  <si>
    <t>Winter Energy</t>
  </si>
  <si>
    <t>Summer Energy</t>
  </si>
  <si>
    <t>Total Revenue Schedule 24</t>
  </si>
  <si>
    <t>Secondary Voltage, Demand Greater than 50 kW but less than or equal to 350 kW</t>
  </si>
  <si>
    <t>Schedule 25</t>
  </si>
  <si>
    <t xml:space="preserve">Winter - First 20,000 kWh </t>
  </si>
  <si>
    <t xml:space="preserve">Summer- First 20,000 kWh </t>
  </si>
  <si>
    <t>All Over 20,000 kWh</t>
  </si>
  <si>
    <t>Total kWh Energy</t>
  </si>
  <si>
    <t>Winter - All Over 50 kW</t>
  </si>
  <si>
    <t>Summer- All Over 50 kW</t>
  </si>
  <si>
    <t>Total kW Demand</t>
  </si>
  <si>
    <t>Total kVarh Reactive Power</t>
  </si>
  <si>
    <t>Secondary Voltage, Demand Greater than 350 kW</t>
  </si>
  <si>
    <t>Schedule 26</t>
  </si>
  <si>
    <t>Winter - All kW</t>
  </si>
  <si>
    <t>Summer- All kW</t>
  </si>
  <si>
    <t>Unbilled kWh</t>
  </si>
  <si>
    <t>Secondary Voltage, Seasonal Irrigation &amp; Drainage Pumping Service</t>
  </si>
  <si>
    <t>Schedule 29</t>
  </si>
  <si>
    <t>Winter - All Over 20,000 kWh</t>
  </si>
  <si>
    <t>Summer- All Over 20,000 kWh</t>
  </si>
  <si>
    <t>Primary Voltage General Service</t>
  </si>
  <si>
    <t>Schedule 31</t>
  </si>
  <si>
    <t>Primary Voltage Seasonal Irrigation &amp; Drainage Pumping Service</t>
  </si>
  <si>
    <t>Schedule 35</t>
  </si>
  <si>
    <t>Bill</t>
  </si>
  <si>
    <t>Determinants</t>
  </si>
  <si>
    <t>Primary Voltage Interruptible Total Electric School Service</t>
  </si>
  <si>
    <t>Schedule 43</t>
  </si>
  <si>
    <t>Critical Demand Charge</t>
  </si>
  <si>
    <t xml:space="preserve">Campus Service &gt; 3aMW </t>
  </si>
  <si>
    <t>Schedule 40</t>
  </si>
  <si>
    <t>Basic Charge:</t>
  </si>
  <si>
    <t>Secondary Voltage - Medium Demand</t>
  </si>
  <si>
    <t>Secondary Voltage - Large Demand</t>
  </si>
  <si>
    <t>Production / Transmission Charge:</t>
  </si>
  <si>
    <t>PCORC</t>
  </si>
  <si>
    <t>kW (Coincident Demand)</t>
  </si>
  <si>
    <t>kVarh</t>
  </si>
  <si>
    <t>Distribution Charge:</t>
  </si>
  <si>
    <t>Customer Specific</t>
  </si>
  <si>
    <t>Total Schedule 40</t>
  </si>
  <si>
    <t xml:space="preserve">Secondary Voltage </t>
  </si>
  <si>
    <t>High Voltage, Interruptible Service</t>
  </si>
  <si>
    <t>Schedule 46</t>
  </si>
  <si>
    <t>Total kVa Demand</t>
  </si>
  <si>
    <t>Annual Energy Minimum Charge</t>
  </si>
  <si>
    <t>Annual Demand Charge</t>
  </si>
  <si>
    <t>check</t>
  </si>
  <si>
    <t>High Voltage, General Service</t>
  </si>
  <si>
    <t>Schedule 49</t>
  </si>
  <si>
    <t>Lighting Revenues</t>
  </si>
  <si>
    <t>Proforma &amp; Proposed</t>
  </si>
  <si>
    <t>Annual
Proforma Revenue</t>
  </si>
  <si>
    <t>Annual Proposed Revenue</t>
  </si>
  <si>
    <t>Revenue Change</t>
  </si>
  <si>
    <t>03E</t>
  </si>
  <si>
    <t>50E-A</t>
  </si>
  <si>
    <t>50E-B</t>
  </si>
  <si>
    <t>52 O&amp;M</t>
  </si>
  <si>
    <t>52E</t>
  </si>
  <si>
    <t>53E</t>
  </si>
  <si>
    <t>54E</t>
  </si>
  <si>
    <t>55E &amp; 56E (No Res Exch)</t>
  </si>
  <si>
    <t>57E</t>
  </si>
  <si>
    <t>58E &amp; 59E (No Res Exch)</t>
  </si>
  <si>
    <t>Old Pole Revenue</t>
  </si>
  <si>
    <t>New Pole Revenue</t>
  </si>
  <si>
    <t xml:space="preserve"> </t>
  </si>
  <si>
    <t>Allocation of GRC - Docket UE-070xxx</t>
  </si>
  <si>
    <t>Transportation</t>
  </si>
  <si>
    <t>Primary Voltage:</t>
  </si>
  <si>
    <t>Customer Charge</t>
  </si>
  <si>
    <t>Distribution Charge</t>
  </si>
  <si>
    <t>Total Primary Voltage Revenue</t>
  </si>
  <si>
    <t>High Voltage:</t>
  </si>
  <si>
    <t>Total High Voltage Revenue</t>
  </si>
  <si>
    <t>Total Schedule 449</t>
  </si>
  <si>
    <t>PV Unbilled</t>
  </si>
  <si>
    <t>HV Unbilled</t>
  </si>
  <si>
    <t>Transportation with Back-up Distribution</t>
  </si>
  <si>
    <t>Schedule 459</t>
  </si>
  <si>
    <t>Back-up Distrbution Service</t>
  </si>
  <si>
    <t>Transportation Special Contract</t>
  </si>
  <si>
    <t>Add Small Firm Resale Proforma Revenue</t>
  </si>
  <si>
    <t>Total Firm Resale Proforma Revenue</t>
  </si>
  <si>
    <t>Schedule 95 in Proforma Revenue</t>
  </si>
  <si>
    <t>Schedule 95 Average Rate</t>
  </si>
  <si>
    <t>Difference</t>
  </si>
  <si>
    <t>Proforma &amp; Proposed Revenue</t>
  </si>
  <si>
    <t>Schedule 003</t>
  </si>
  <si>
    <t>Customer Owned &amp; Maintained Compact Fluorescent - Energy Only</t>
  </si>
  <si>
    <t>Lamp Size (Watts)</t>
  </si>
  <si>
    <t>Lamp Type</t>
  </si>
  <si>
    <t>Inventory
@
9-1-07</t>
  </si>
  <si>
    <t>Billed kWh
12 Months
ended
9-30-07</t>
  </si>
  <si>
    <t>Proforma Base Lamp Charge</t>
  </si>
  <si>
    <t>Proposed Lamp Charge</t>
  </si>
  <si>
    <t>Annual Proforma Revenue</t>
  </si>
  <si>
    <t>Compact Flourescent</t>
  </si>
  <si>
    <t>Annual Schedule 95</t>
  </si>
  <si>
    <t>Schedule 50</t>
  </si>
  <si>
    <t>Limited Street Lighting Service</t>
  </si>
  <si>
    <t>Incandescent</t>
  </si>
  <si>
    <t>Mercury Vapor</t>
  </si>
  <si>
    <t>Schedule 52</t>
  </si>
  <si>
    <t>Custom Lighting Service - Company Owned</t>
  </si>
  <si>
    <t xml:space="preserve">52E </t>
  </si>
  <si>
    <t>Sodium Vapor</t>
  </si>
  <si>
    <t>Metal Halide</t>
  </si>
  <si>
    <t>Schedule 52 O&amp;M</t>
  </si>
  <si>
    <t>Estimated System Cost</t>
  </si>
  <si>
    <t>Proforma Base Rate</t>
  </si>
  <si>
    <t>Proposed Base Rate</t>
  </si>
  <si>
    <t>52 O&amp;M - Option B</t>
  </si>
  <si>
    <t>Schedule 53</t>
  </si>
  <si>
    <t>Street Lighting Service - Sodium Vapor</t>
  </si>
  <si>
    <t>53E - Company Owned</t>
  </si>
  <si>
    <t>53E - Customer Owned</t>
  </si>
  <si>
    <t>Metal Hallide</t>
  </si>
  <si>
    <t>Schedule 54</t>
  </si>
  <si>
    <t>Customer Owned Street Lighting Energy Service - Sodium Vapor</t>
  </si>
  <si>
    <t>54E - Customer Owned</t>
  </si>
  <si>
    <t>Schedules 55 &amp; 56</t>
  </si>
  <si>
    <t>Area Lighting Service</t>
  </si>
  <si>
    <t>55E &amp; 56E</t>
  </si>
  <si>
    <t>Total Schedules 55 &amp; 56</t>
  </si>
  <si>
    <t>Schedule 57</t>
  </si>
  <si>
    <t>Continuous Lighting Service</t>
  </si>
  <si>
    <t>Annual Watts
= kWh / 0.254</t>
  </si>
  <si>
    <t>Minimum Charge</t>
  </si>
  <si>
    <t>Schedules 58 &amp; 59</t>
  </si>
  <si>
    <t>Flood Lighting Service</t>
  </si>
  <si>
    <t>58E &amp; 59E</t>
  </si>
  <si>
    <t>Directional</t>
  </si>
  <si>
    <t>Horizontal</t>
  </si>
  <si>
    <t>Total Schedules 58 &amp; 59</t>
  </si>
  <si>
    <t>Lighting Revenue</t>
  </si>
  <si>
    <t>Pole Rentals</t>
  </si>
  <si>
    <t>Schedules 55 &amp; 58</t>
  </si>
  <si>
    <t>Proforma Charge</t>
  </si>
  <si>
    <t>Proposed Charge</t>
  </si>
  <si>
    <t>Old Pole - Sch 55</t>
  </si>
  <si>
    <t>New Pole - Sch 55</t>
  </si>
  <si>
    <t>New Pole - Sch 58</t>
  </si>
  <si>
    <t>Total New Pole Revenue</t>
  </si>
  <si>
    <t>Average Proforma Charge</t>
  </si>
  <si>
    <t>Proposed New Pole Charge</t>
  </si>
  <si>
    <r>
      <t>Annual kWh</t>
    </r>
  </si>
  <si>
    <t>Calculation of Schedule 40 Tariff Charges</t>
  </si>
  <si>
    <t>Test Year Twelve Months ended September 30, 2007</t>
  </si>
  <si>
    <t>Basic Charge</t>
  </si>
  <si>
    <t>Rate</t>
  </si>
  <si>
    <t>Notes</t>
  </si>
  <si>
    <t>Primary Voltage Metering Points</t>
  </si>
  <si>
    <t>Set Equal to Schedule 31</t>
  </si>
  <si>
    <t>Secondary Voltage &gt;- 350 kW</t>
  </si>
  <si>
    <t>Set Equal to Schedule 26</t>
  </si>
  <si>
    <t>Secondary Voltage&lt; 350 kW</t>
  </si>
  <si>
    <t>Set Equal to Schedule 25</t>
  </si>
  <si>
    <t>Production &amp; Transmission Charges</t>
  </si>
  <si>
    <t>Demand ($/kW of Coincident Billing Demand)</t>
  </si>
  <si>
    <t>High Voltage Metering Point</t>
  </si>
  <si>
    <t>Primary Voltage Metering Point</t>
  </si>
  <si>
    <t>Secondary Voltage Metering Point</t>
  </si>
  <si>
    <t>Energy Charge (Cents / kWh)</t>
  </si>
  <si>
    <t>Reactive Power Charge - (Cents / kVARh)</t>
  </si>
  <si>
    <t>Customer Specific Distribution Charge</t>
  </si>
  <si>
    <t>Total Distribution</t>
  </si>
  <si>
    <t>Transformer Charge</t>
  </si>
  <si>
    <t>Feeder Charge</t>
  </si>
  <si>
    <t>Substation Charge</t>
  </si>
  <si>
    <t>Proposed Demand Charge</t>
  </si>
  <si>
    <t>Rate Change %</t>
  </si>
  <si>
    <t>Proforma Demand Charge</t>
  </si>
  <si>
    <t>Proforma Revenue
Effective 9-1-07</t>
  </si>
  <si>
    <t>Power Factor</t>
  </si>
  <si>
    <t>Proforma Schedule 40 Demand Rate ($ / kVa)</t>
  </si>
  <si>
    <t>Implicit Loss Adjustment</t>
  </si>
  <si>
    <t>Proposed Schedule 49 Demand Rate ($ / kVa)</t>
  </si>
  <si>
    <t>Proposed Schedule 40 Demand Rate ($ / kW)</t>
  </si>
  <si>
    <t>2008 GRC Load Study Loss Factors</t>
  </si>
  <si>
    <t>Loss Adjustment from HV</t>
  </si>
  <si>
    <t>Proposed Energy Charge</t>
  </si>
  <si>
    <t>Sch 40 Rates
Eff 1-13-07</t>
  </si>
  <si>
    <t>Proposed Schedule 49 Energy Rate ($ / kVa)</t>
  </si>
  <si>
    <t>Proposed Basic Charge Revenue Change</t>
  </si>
  <si>
    <t>Proposed Reactive Charge Revenue Change</t>
  </si>
  <si>
    <t>Proposed Distribution Charge Revenue Change</t>
  </si>
  <si>
    <t>Proposed Prod &amp; Trans Demand Charge</t>
  </si>
  <si>
    <t>Proposed Prod &amp; Trans Energy Charge</t>
  </si>
  <si>
    <t>Subtotal</t>
  </si>
  <si>
    <t>Proposed Revenue Change</t>
  </si>
  <si>
    <t>Proforma Charges</t>
  </si>
  <si>
    <t>Total Proposed Revenue</t>
  </si>
  <si>
    <t>Total Proposed Revenue from Summary</t>
  </si>
  <si>
    <t>Asset Age (35 yr asset)</t>
  </si>
  <si>
    <t>FCR on Gross Plant Value</t>
  </si>
  <si>
    <t>FCR on net Plant Value</t>
  </si>
  <si>
    <t>Load Research Data</t>
  </si>
  <si>
    <t>Schedule 49 Power Factor</t>
  </si>
  <si>
    <t>Annual KWh</t>
  </si>
  <si>
    <t>From Load Research 2-1-06</t>
  </si>
  <si>
    <t>Sch 49 Annual kWh 2006</t>
  </si>
  <si>
    <t>Sch 49 Annual kvarh 2006</t>
  </si>
  <si>
    <t>Loss Factors from 2008 GRC</t>
  </si>
  <si>
    <t>High Voltage Sch 49</t>
  </si>
  <si>
    <t>ENERGY_1 Allocator</t>
  </si>
  <si>
    <t>Primary Voltage Sch 31</t>
  </si>
  <si>
    <t>Secondary Voltage Sch 26</t>
  </si>
  <si>
    <t>Energy Loss Factor (Sec Voltage - High Voltage)</t>
  </si>
  <si>
    <t>Energy Loss Factor (Primary Voltage - High Voltage)</t>
  </si>
  <si>
    <t>FCR on Land:</t>
  </si>
  <si>
    <t xml:space="preserve">Customer 1 </t>
  </si>
  <si>
    <t xml:space="preserve">Customer 2 </t>
  </si>
  <si>
    <t>Customer 3</t>
  </si>
  <si>
    <t xml:space="preserve">Customer 4 </t>
  </si>
  <si>
    <t xml:space="preserve">Customer 5 </t>
  </si>
  <si>
    <t xml:space="preserve">Customer 6 </t>
  </si>
  <si>
    <t xml:space="preserve">Customer 7 </t>
  </si>
  <si>
    <t>Customer 8</t>
  </si>
  <si>
    <t>Based upon WACC of: 8.60 %</t>
  </si>
  <si>
    <t>Total Schedule 459</t>
  </si>
  <si>
    <t>High Voltage, Schedule 49</t>
  </si>
  <si>
    <t>Settlement Ill:</t>
  </si>
  <si>
    <t>Initial req:</t>
  </si>
  <si>
    <t>Less 40 &amp;449:</t>
  </si>
  <si>
    <t>Proposed Revenue at Final RR</t>
  </si>
  <si>
    <t>Final Revenue Change</t>
  </si>
  <si>
    <t>Final RR less Schedules 40 &amp; 449</t>
  </si>
  <si>
    <t>Proposed Revenue Increase (%) at Final RR</t>
  </si>
  <si>
    <t>Proposed Revenue Increase ($) at Final RR</t>
  </si>
  <si>
    <t xml:space="preserve">Percent of Total w/o Schedule 40 </t>
  </si>
  <si>
    <t>Proposed Revenue Allocation Factors (exc sch 40 &amp; 449)</t>
  </si>
  <si>
    <t>K = I - B</t>
  </si>
  <si>
    <t xml:space="preserve"> I = H /H subtotal</t>
  </si>
  <si>
    <t>J = I * Final RR (exc 40 &amp; 449)</t>
  </si>
  <si>
    <t>L = K/B</t>
  </si>
  <si>
    <t>Pcnt of Uniform Increase</t>
  </si>
  <si>
    <t>Illustrative Final Revenue Increase</t>
  </si>
  <si>
    <t>PSE Requested Revenue Increase</t>
  </si>
  <si>
    <t>PSE Proposed Increase</t>
  </si>
  <si>
    <t>Iteration Check</t>
  </si>
  <si>
    <t>Sched 40 estimated iteratively based on Final Revenue Requirement</t>
  </si>
  <si>
    <t>*</t>
  </si>
  <si>
    <t>* Sched 40 estimated iteratively based on Final Revenue Requirement</t>
  </si>
  <si>
    <t>Settlement</t>
  </si>
  <si>
    <t>Rate Spread Workpapers, Column K</t>
  </si>
  <si>
    <t>Rate Spread Workpapers, Column M</t>
  </si>
  <si>
    <t>COS Demand</t>
  </si>
  <si>
    <t>Total Demand Charge Revenue</t>
  </si>
  <si>
    <t>Total Proforma Energy Revenue Sch 25</t>
  </si>
  <si>
    <t>Sch 25 + Sch 29 Demand &gt; 50 kW &amp; Reactive Power Charge Revenue</t>
  </si>
  <si>
    <t>Sch 25 + Sch 29 Demand Charge Revenue - First Block Energy Charge</t>
  </si>
  <si>
    <t>Total Proforma Energy Revenue Sch 25, less Demand revenue in First Block</t>
  </si>
  <si>
    <t>Total Proforma Energy Revenue Sch 25, less Demand revenue in First Block * Class Average Inc</t>
  </si>
  <si>
    <t>a</t>
  </si>
  <si>
    <t>b</t>
  </si>
  <si>
    <t>c</t>
  </si>
  <si>
    <t>d=b*3.3%</t>
  </si>
  <si>
    <t>e=c*4.9%</t>
  </si>
  <si>
    <t>f=d+e</t>
  </si>
  <si>
    <t>g=f/a</t>
  </si>
  <si>
    <t>Average increase to energy revenue</t>
  </si>
  <si>
    <t>Sch 25 + Sch 29 Demand Charge Revenue (in First Block Energy Charge) * 150% Class Average Inc</t>
  </si>
  <si>
    <t>Total Increase to First Block Energy Charge Revenue</t>
  </si>
  <si>
    <t>First Block Energy Charge Increase</t>
  </si>
  <si>
    <t>Set Equal to Schedule 49, Adjust for Line Losses</t>
  </si>
  <si>
    <t>Set Equal to Schedule 49, Adjust for Line Losses &amp; Power Factor</t>
  </si>
  <si>
    <t>Note:  Distribution Charge FCR at 8.60% ROR</t>
  </si>
  <si>
    <t>Set Equal to Sch 24</t>
  </si>
  <si>
    <t>1st Block Winter=Sch 25
1st Block Summer = Class Avg Inc</t>
  </si>
  <si>
    <t>Joint Parties</t>
  </si>
  <si>
    <t>Summary of Agreed Upon Electric Rate Design Recommendations</t>
  </si>
  <si>
    <t>(Accepting rate design from DWH-5 except for Basic Charges)</t>
  </si>
  <si>
    <t>Docket No. UE-072300</t>
  </si>
  <si>
    <t>Rate Schedule</t>
  </si>
  <si>
    <t>Tariff</t>
  </si>
  <si>
    <t>Demand Charge</t>
  </si>
  <si>
    <t>Reactive Power Charge</t>
  </si>
  <si>
    <t>Energy Charge</t>
  </si>
  <si>
    <t>Lamp Charge</t>
  </si>
  <si>
    <t>$7.00  One Phase        $17.25 Three Phase</t>
  </si>
  <si>
    <t>na</t>
  </si>
  <si>
    <t>Equal ¢ of remaining costs to both blocks</t>
  </si>
  <si>
    <t>Sec Volt &lt;= 50 kW Demand</t>
  </si>
  <si>
    <t>$9.25 One Phase       $23.50  Three Phase</t>
  </si>
  <si>
    <t xml:space="preserve">Sec Volt 50 &gt; kW Demand &lt;=350 </t>
  </si>
  <si>
    <t xml:space="preserve">150% of Class Average Increase </t>
  </si>
  <si>
    <t>First Block = Class average on energy portion, 150% of  class average on demand portion;
 Second block = Residual</t>
  </si>
  <si>
    <t>Sec Volt &gt; 350 kW Demand</t>
  </si>
  <si>
    <t>$100</t>
  </si>
  <si>
    <t>Sch 31, adjusted for losses</t>
  </si>
  <si>
    <t>Residual</t>
  </si>
  <si>
    <t>Sec Volt, Irrigation</t>
  </si>
  <si>
    <t>Same as Schedule 24</t>
  </si>
  <si>
    <t>No Change</t>
  </si>
  <si>
    <t>First Block Winter = Sch 25        First Block Summer = Class Avg                          Second Block = No Change</t>
  </si>
  <si>
    <t>Pri Volt - Gen Svc</t>
  </si>
  <si>
    <t>$325</t>
  </si>
  <si>
    <t>150% of Class Average Increase</t>
  </si>
  <si>
    <t>Pri Volt - Irrigation</t>
  </si>
  <si>
    <t>Same as Schedule 31</t>
  </si>
  <si>
    <t>Pri Volt - Interruptible Schools</t>
  </si>
  <si>
    <t>Sch 25, 26 or 31</t>
  </si>
  <si>
    <t>Sch 49, Adjusted for Power Factor and Line Losses</t>
  </si>
  <si>
    <t>Sch 26 or 31</t>
  </si>
  <si>
    <t>Sch 49, Adjust for Line Losses</t>
  </si>
  <si>
    <t>High Volt - Interruptible</t>
  </si>
  <si>
    <t>Same as Schedule 49</t>
  </si>
  <si>
    <t>High Volt - Gen Service</t>
  </si>
  <si>
    <t xml:space="preserve">Transportation </t>
  </si>
  <si>
    <t xml:space="preserve">$1000 </t>
  </si>
  <si>
    <t>Equal $ / kVa of remaining costs</t>
  </si>
  <si>
    <t>GRC - Docket No. UE-072300</t>
  </si>
  <si>
    <t>Schedule 40 Fixed Cost Recovery Rates</t>
  </si>
  <si>
    <t>First Block = Class average on energy portion, 150% of  class average on demand portion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</si>
</sst>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&quot;$&quot;* #,##0.000_);_(&quot;$&quot;* \(#,##0.000\);_(&quot;$&quot;* &quot;-&quot;??_);_(@_)"/>
    <numFmt numFmtId="167" formatCode="_(&quot;$&quot;* #,##0.00000_);_(&quot;$&quot;* \(#,##0.00000\);_(&quot;$&quot;* &quot;-&quot;??_);_(@_)"/>
    <numFmt numFmtId="168" formatCode="_(&quot;$&quot;* #,##0.000000_);_(&quot;$&quot;* \(#,##0.000000\);_(&quot;$&quot;* &quot;-&quot;??_);_(@_)"/>
    <numFmt numFmtId="169" formatCode="0.0%"/>
    <numFmt numFmtId="170" formatCode="_(* #,##0.000000_);_(* \(#,##0.000000\);_(* &quot;-&quot;??_);_(@_)"/>
    <numFmt numFmtId="171" formatCode="_(* #,##0.000_);_(* \(#,##0.000\);_(* &quot;-&quot;??_);_(@_)"/>
    <numFmt numFmtId="172" formatCode="0.000%"/>
    <numFmt numFmtId="173" formatCode="0.0000%"/>
    <numFmt numFmtId="174" formatCode="0.00000%"/>
    <numFmt numFmtId="175" formatCode="0.000000"/>
    <numFmt numFmtId="176" formatCode="#,##0.00\ ;\(#,##0.00\)"/>
    <numFmt numFmtId="177" formatCode="#."/>
    <numFmt numFmtId="178" formatCode="mmmm\ d\,\ yyyy"/>
    <numFmt numFmtId="179" formatCode="_(&quot;$&quot;* #,##0.0000_);_(&quot;$&quot;* \(#,##0.0000\);_(&quot;$&quot;* &quot;-&quot;????_);_(@_)"/>
    <numFmt numFmtId="180" formatCode="&quot;$&quot;#,##0.00"/>
    <numFmt numFmtId="181" formatCode="_(&quot;$&quot;* #,##0.0000000_);_(&quot;$&quot;* \(#,##0.0000000\);_(&quot;$&quot;* &quot;-&quot;??_);_(@_)"/>
    <numFmt numFmtId="182" formatCode="0.000000000000000%"/>
    <numFmt numFmtId="183" formatCode="0.00000000000000%"/>
    <numFmt numFmtId="184" formatCode="_(&quot;$&quot;* #,##0.0_);_(&quot;$&quot;* \(#,##0.0\);_(&quot;$&quot;* &quot;-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_(* #,##0.0000000_);_(* \(#,##0.0000000\);_(* &quot;-&quot;???????_);_(@_)"/>
    <numFmt numFmtId="190" formatCode="_(* #,##0.000_);_(* \(#,##0.000\);_(* &quot;-&quot;???_);_(@_)"/>
    <numFmt numFmtId="191" formatCode="_(* #,##0.000000_);_(* \(#,##0.000000\);_(* &quot;-&quot;??????_);_(@_)"/>
  </numFmts>
  <fonts count="53">
    <font>
      <sz val="10"/>
      <name val="Arial"/>
      <family val="0"/>
    </font>
    <font>
      <sz val="12"/>
      <name val="Arial"/>
      <family val="2"/>
    </font>
    <font>
      <sz val="10"/>
      <name val="Helv"/>
      <family val="0"/>
    </font>
    <font>
      <sz val="12"/>
      <name val="TIMES"/>
      <family val="0"/>
    </font>
    <font>
      <sz val="1"/>
      <color indexed="16"/>
      <name val="Courier"/>
      <family val="3"/>
    </font>
    <font>
      <u val="single"/>
      <sz val="8"/>
      <color indexed="36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sz val="12"/>
      <color indexed="10"/>
      <name val="TIMES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4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41" fontId="0" fillId="27" borderId="0">
      <alignment/>
      <protection/>
    </xf>
    <xf numFmtId="0" fontId="43" fillId="28" borderId="1" applyNumberFormat="0" applyAlignment="0" applyProtection="0"/>
    <xf numFmtId="41" fontId="0" fillId="29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177" fontId="4" fillId="0" borderId="0">
      <alignment/>
      <protection locked="0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1" fillId="0" borderId="0" applyFill="0" applyBorder="0" applyAlignment="0" applyProtection="0"/>
    <xf numFmtId="178" fontId="1" fillId="0" borderId="0" applyFill="0" applyBorder="0" applyAlignment="0" applyProtection="0"/>
    <xf numFmtId="0" fontId="44" fillId="0" borderId="0" applyNumberFormat="0" applyFill="0" applyBorder="0" applyAlignment="0" applyProtection="0"/>
    <xf numFmtId="2" fontId="1" fillId="0" borderId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38" fontId="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6" fillId="0" borderId="0" applyNumberFormat="0" applyFill="0" applyBorder="0" applyAlignment="0" applyProtection="0"/>
    <xf numFmtId="38" fontId="8" fillId="0" borderId="0">
      <alignment/>
      <protection/>
    </xf>
    <xf numFmtId="40" fontId="8" fillId="0" borderId="0">
      <alignment/>
      <protection/>
    </xf>
    <xf numFmtId="0" fontId="9" fillId="0" borderId="0" applyNumberFormat="0" applyFill="0" applyBorder="0" applyAlignment="0" applyProtection="0"/>
    <xf numFmtId="0" fontId="47" fillId="31" borderId="3" applyNumberFormat="0" applyAlignment="0" applyProtection="0"/>
    <xf numFmtId="10" fontId="6" fillId="27" borderId="4" applyNumberFormat="0" applyBorder="0" applyAlignment="0" applyProtection="0"/>
    <xf numFmtId="41" fontId="10" fillId="32" borderId="5">
      <alignment horizontal="left"/>
      <protection locked="0"/>
    </xf>
    <xf numFmtId="10" fontId="10" fillId="32" borderId="5">
      <alignment horizontal="right"/>
      <protection locked="0"/>
    </xf>
    <xf numFmtId="3" fontId="11" fillId="0" borderId="0" applyFill="0" applyBorder="0" applyAlignment="0" applyProtection="0"/>
    <xf numFmtId="0" fontId="48" fillId="0" borderId="6" applyNumberFormat="0" applyFill="0" applyAlignment="0" applyProtection="0"/>
    <xf numFmtId="0" fontId="49" fillId="33" borderId="0" applyNumberFormat="0" applyBorder="0" applyAlignment="0" applyProtection="0"/>
    <xf numFmtId="176" fontId="0" fillId="0" borderId="0">
      <alignment/>
      <protection/>
    </xf>
    <xf numFmtId="0" fontId="0" fillId="34" borderId="7" applyNumberFormat="0" applyFont="0" applyAlignment="0" applyProtection="0"/>
    <xf numFmtId="0" fontId="50" fillId="35" borderId="8" applyNumberFormat="0" applyAlignment="0" applyProtection="0"/>
    <xf numFmtId="0" fontId="2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1" fontId="0" fillId="36" borderId="5">
      <alignment/>
      <protection/>
    </xf>
    <xf numFmtId="0" fontId="3" fillId="0" borderId="0">
      <alignment/>
      <protection/>
    </xf>
    <xf numFmtId="3" fontId="12" fillId="0" borderId="0" applyFill="0" applyBorder="0" applyAlignment="0" applyProtection="0"/>
    <xf numFmtId="0" fontId="13" fillId="0" borderId="0">
      <alignment/>
      <protection/>
    </xf>
    <xf numFmtId="42" fontId="0" fillId="27" borderId="0">
      <alignment/>
      <protection/>
    </xf>
    <xf numFmtId="42" fontId="0" fillId="27" borderId="9">
      <alignment vertical="center"/>
      <protection/>
    </xf>
    <xf numFmtId="0" fontId="14" fillId="27" borderId="10" applyNumberFormat="0">
      <alignment horizontal="center" vertical="center" wrapText="1"/>
      <protection/>
    </xf>
    <xf numFmtId="10" fontId="0" fillId="27" borderId="0">
      <alignment/>
      <protection/>
    </xf>
    <xf numFmtId="179" fontId="0" fillId="27" borderId="0">
      <alignment/>
      <protection/>
    </xf>
    <xf numFmtId="42" fontId="0" fillId="27" borderId="11">
      <alignment horizontal="left"/>
      <protection/>
    </xf>
    <xf numFmtId="179" fontId="15" fillId="27" borderId="11">
      <alignment horizontal="left"/>
      <protection/>
    </xf>
    <xf numFmtId="38" fontId="6" fillId="0" borderId="12">
      <alignment/>
      <protection/>
    </xf>
    <xf numFmtId="38" fontId="8" fillId="0" borderId="11">
      <alignment/>
      <protection/>
    </xf>
    <xf numFmtId="175" fontId="0" fillId="0" borderId="0">
      <alignment horizontal="left" wrapText="1"/>
      <protection/>
    </xf>
    <xf numFmtId="41" fontId="16" fillId="27" borderId="0">
      <alignment horizontal="left"/>
      <protection/>
    </xf>
    <xf numFmtId="0" fontId="51" fillId="0" borderId="0" applyNumberFormat="0" applyFill="0" applyBorder="0" applyAlignment="0" applyProtection="0"/>
    <xf numFmtId="180" fontId="17" fillId="27" borderId="0">
      <alignment horizontal="left" vertical="center"/>
      <protection/>
    </xf>
    <xf numFmtId="0" fontId="14" fillId="27" borderId="0">
      <alignment horizontal="left" wrapText="1"/>
      <protection/>
    </xf>
    <xf numFmtId="0" fontId="18" fillId="0" borderId="0">
      <alignment horizontal="left" vertical="center"/>
      <protection/>
    </xf>
    <xf numFmtId="41" fontId="14" fillId="27" borderId="0">
      <alignment horizontal="left"/>
      <protection/>
    </xf>
    <xf numFmtId="0" fontId="3" fillId="0" borderId="13">
      <alignment/>
      <protection/>
    </xf>
    <xf numFmtId="0" fontId="52" fillId="0" borderId="0" applyNumberFormat="0" applyFill="0" applyBorder="0" applyAlignment="0" applyProtection="0"/>
  </cellStyleXfs>
  <cellXfs count="396">
    <xf numFmtId="0" fontId="0" fillId="0" borderId="0" xfId="0" applyAlignment="1">
      <alignment/>
    </xf>
    <xf numFmtId="0" fontId="22" fillId="0" borderId="0" xfId="0" applyFont="1" applyFill="1" applyAlignment="1">
      <alignment horizontal="centerContinuous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 quotePrefix="1">
      <alignment horizontal="center" wrapText="1"/>
    </xf>
    <xf numFmtId="0" fontId="22" fillId="0" borderId="0" xfId="0" applyFont="1" applyFill="1" applyAlignment="1">
      <alignment horizontal="center" wrapText="1"/>
    </xf>
    <xf numFmtId="0" fontId="22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center" vertical="top" wrapText="1"/>
    </xf>
    <xf numFmtId="0" fontId="22" fillId="0" borderId="0" xfId="0" applyFont="1" applyFill="1" applyAlignment="1" quotePrefix="1">
      <alignment horizontal="center" vertical="top" wrapText="1"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/>
    </xf>
    <xf numFmtId="164" fontId="22" fillId="0" borderId="14" xfId="43" applyNumberFormat="1" applyFont="1" applyFill="1" applyBorder="1" applyAlignment="1">
      <alignment/>
    </xf>
    <xf numFmtId="165" fontId="22" fillId="0" borderId="14" xfId="52" applyNumberFormat="1" applyFont="1" applyFill="1" applyBorder="1" applyAlignment="1">
      <alignment/>
    </xf>
    <xf numFmtId="10" fontId="22" fillId="0" borderId="0" xfId="80" applyNumberFormat="1" applyFont="1" applyFill="1" applyBorder="1" applyAlignment="1">
      <alignment/>
    </xf>
    <xf numFmtId="9" fontId="22" fillId="0" borderId="0" xfId="80" applyFont="1" applyFill="1" applyAlignment="1">
      <alignment/>
    </xf>
    <xf numFmtId="10" fontId="22" fillId="0" borderId="0" xfId="80" applyNumberFormat="1" applyFont="1" applyFill="1" applyAlignment="1">
      <alignment/>
    </xf>
    <xf numFmtId="165" fontId="22" fillId="0" borderId="0" xfId="52" applyNumberFormat="1" applyFont="1" applyFill="1" applyBorder="1" applyAlignment="1">
      <alignment/>
    </xf>
    <xf numFmtId="164" fontId="22" fillId="0" borderId="0" xfId="43" applyNumberFormat="1" applyFont="1" applyFill="1" applyAlignment="1">
      <alignment/>
    </xf>
    <xf numFmtId="164" fontId="22" fillId="0" borderId="0" xfId="43" applyNumberFormat="1" applyFont="1" applyFill="1" applyBorder="1" applyAlignment="1">
      <alignment/>
    </xf>
    <xf numFmtId="10" fontId="22" fillId="0" borderId="0" xfId="52" applyNumberFormat="1" applyFont="1" applyFill="1" applyBorder="1" applyAlignment="1">
      <alignment/>
    </xf>
    <xf numFmtId="169" fontId="22" fillId="0" borderId="0" xfId="80" applyNumberFormat="1" applyFont="1" applyFill="1" applyAlignment="1">
      <alignment/>
    </xf>
    <xf numFmtId="0" fontId="22" fillId="0" borderId="0" xfId="0" applyFont="1" applyFill="1" applyAlignment="1" quotePrefix="1">
      <alignment horizontal="left" indent="1"/>
    </xf>
    <xf numFmtId="3" fontId="22" fillId="0" borderId="0" xfId="52" applyNumberFormat="1" applyFont="1" applyFill="1" applyBorder="1" applyAlignment="1">
      <alignment/>
    </xf>
    <xf numFmtId="0" fontId="22" fillId="0" borderId="0" xfId="0" applyFont="1" applyFill="1" applyAlignment="1" quotePrefix="1">
      <alignment horizontal="left"/>
    </xf>
    <xf numFmtId="3" fontId="22" fillId="0" borderId="14" xfId="43" applyNumberFormat="1" applyFont="1" applyFill="1" applyBorder="1" applyAlignment="1">
      <alignment/>
    </xf>
    <xf numFmtId="3" fontId="22" fillId="0" borderId="0" xfId="43" applyNumberFormat="1" applyFont="1" applyFill="1" applyBorder="1" applyAlignment="1">
      <alignment/>
    </xf>
    <xf numFmtId="0" fontId="22" fillId="0" borderId="0" xfId="0" applyFont="1" applyFill="1" applyAlignment="1">
      <alignment horizontal="left" indent="1"/>
    </xf>
    <xf numFmtId="3" fontId="22" fillId="0" borderId="0" xfId="43" applyNumberFormat="1" applyFont="1" applyFill="1" applyAlignment="1">
      <alignment/>
    </xf>
    <xf numFmtId="165" fontId="22" fillId="0" borderId="0" xfId="52" applyNumberFormat="1" applyFont="1" applyFill="1" applyAlignment="1">
      <alignment/>
    </xf>
    <xf numFmtId="10" fontId="22" fillId="0" borderId="0" xfId="52" applyNumberFormat="1" applyFont="1" applyFill="1" applyAlignment="1">
      <alignment/>
    </xf>
    <xf numFmtId="3" fontId="22" fillId="0" borderId="14" xfId="52" applyNumberFormat="1" applyFont="1" applyFill="1" applyBorder="1" applyAlignment="1">
      <alignment/>
    </xf>
    <xf numFmtId="165" fontId="24" fillId="0" borderId="0" xfId="52" applyNumberFormat="1" applyFont="1" applyFill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 quotePrefix="1">
      <alignment horizontal="center"/>
    </xf>
    <xf numFmtId="164" fontId="22" fillId="0" borderId="9" xfId="43" applyNumberFormat="1" applyFont="1" applyFill="1" applyBorder="1" applyAlignment="1">
      <alignment/>
    </xf>
    <xf numFmtId="165" fontId="22" fillId="0" borderId="9" xfId="52" applyNumberFormat="1" applyFont="1" applyFill="1" applyBorder="1" applyAlignment="1">
      <alignment/>
    </xf>
    <xf numFmtId="165" fontId="24" fillId="0" borderId="9" xfId="52" applyNumberFormat="1" applyFont="1" applyFill="1" applyBorder="1" applyAlignment="1">
      <alignment/>
    </xf>
    <xf numFmtId="10" fontId="22" fillId="0" borderId="9" xfId="80" applyNumberFormat="1" applyFont="1" applyFill="1" applyBorder="1" applyAlignment="1">
      <alignment/>
    </xf>
    <xf numFmtId="164" fontId="22" fillId="0" borderId="0" xfId="0" applyNumberFormat="1" applyFont="1" applyFill="1" applyAlignment="1">
      <alignment horizontal="center"/>
    </xf>
    <xf numFmtId="165" fontId="22" fillId="0" borderId="0" xfId="0" applyNumberFormat="1" applyFont="1" applyFill="1" applyAlignment="1">
      <alignment/>
    </xf>
    <xf numFmtId="9" fontId="22" fillId="0" borderId="0" xfId="0" applyNumberFormat="1" applyFont="1" applyFill="1" applyAlignment="1">
      <alignment/>
    </xf>
    <xf numFmtId="0" fontId="22" fillId="0" borderId="15" xfId="0" applyFont="1" applyFill="1" applyBorder="1" applyAlignment="1" quotePrefix="1">
      <alignment horizontal="left"/>
    </xf>
    <xf numFmtId="0" fontId="22" fillId="0" borderId="16" xfId="0" applyFont="1" applyFill="1" applyBorder="1" applyAlignment="1">
      <alignment horizontal="center"/>
    </xf>
    <xf numFmtId="0" fontId="22" fillId="0" borderId="16" xfId="0" applyFont="1" applyFill="1" applyBorder="1" applyAlignment="1">
      <alignment/>
    </xf>
    <xf numFmtId="9" fontId="23" fillId="0" borderId="16" xfId="80" applyFont="1" applyFill="1" applyBorder="1" applyAlignment="1">
      <alignment/>
    </xf>
    <xf numFmtId="172" fontId="22" fillId="0" borderId="17" xfId="0" applyNumberFormat="1" applyFont="1" applyFill="1" applyBorder="1" applyAlignment="1">
      <alignment/>
    </xf>
    <xf numFmtId="0" fontId="22" fillId="0" borderId="18" xfId="0" applyFont="1" applyFill="1" applyBorder="1" applyAlignment="1" quotePrefix="1">
      <alignment horizontal="left"/>
    </xf>
    <xf numFmtId="0" fontId="22" fillId="0" borderId="0" xfId="0" applyFont="1" applyFill="1" applyBorder="1" applyAlignment="1">
      <alignment horizontal="center"/>
    </xf>
    <xf numFmtId="172" fontId="22" fillId="0" borderId="19" xfId="80" applyNumberFormat="1" applyFont="1" applyFill="1" applyBorder="1" applyAlignment="1">
      <alignment/>
    </xf>
    <xf numFmtId="0" fontId="22" fillId="0" borderId="18" xfId="0" applyFont="1" applyFill="1" applyBorder="1" applyAlignment="1">
      <alignment horizontal="left"/>
    </xf>
    <xf numFmtId="0" fontId="22" fillId="0" borderId="19" xfId="0" applyFont="1" applyFill="1" applyBorder="1" applyAlignment="1">
      <alignment/>
    </xf>
    <xf numFmtId="0" fontId="22" fillId="0" borderId="20" xfId="0" applyFont="1" applyFill="1" applyBorder="1" applyAlignment="1">
      <alignment horizontal="left"/>
    </xf>
    <xf numFmtId="0" fontId="22" fillId="0" borderId="21" xfId="0" applyFont="1" applyFill="1" applyBorder="1" applyAlignment="1">
      <alignment horizontal="center"/>
    </xf>
    <xf numFmtId="0" fontId="22" fillId="0" borderId="21" xfId="0" applyFont="1" applyFill="1" applyBorder="1" applyAlignment="1">
      <alignment/>
    </xf>
    <xf numFmtId="172" fontId="23" fillId="0" borderId="22" xfId="80" applyNumberFormat="1" applyFont="1" applyFill="1" applyBorder="1" applyAlignment="1">
      <alignment/>
    </xf>
    <xf numFmtId="165" fontId="22" fillId="0" borderId="0" xfId="0" applyNumberFormat="1" applyFont="1" applyFill="1" applyAlignment="1">
      <alignment horizontal="center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 quotePrefix="1">
      <alignment horizontal="center" wrapText="1"/>
    </xf>
    <xf numFmtId="0" fontId="22" fillId="0" borderId="0" xfId="0" applyFont="1" applyAlignment="1">
      <alignment horizontal="center" wrapText="1"/>
    </xf>
    <xf numFmtId="0" fontId="22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center" wrapText="1"/>
    </xf>
    <xf numFmtId="0" fontId="22" fillId="0" borderId="0" xfId="0" applyFont="1" applyBorder="1" applyAlignment="1" quotePrefix="1">
      <alignment horizontal="center" wrapText="1"/>
    </xf>
    <xf numFmtId="165" fontId="22" fillId="0" borderId="0" xfId="0" applyNumberFormat="1" applyFont="1" applyBorder="1" applyAlignment="1" quotePrefix="1">
      <alignment horizontal="center" wrapText="1"/>
    </xf>
    <xf numFmtId="0" fontId="22" fillId="0" borderId="0" xfId="0" applyFont="1" applyAlignment="1">
      <alignment horizontal="left" indent="1"/>
    </xf>
    <xf numFmtId="0" fontId="22" fillId="0" borderId="0" xfId="0" applyFont="1" applyAlignment="1">
      <alignment horizontal="center"/>
    </xf>
    <xf numFmtId="164" fontId="22" fillId="0" borderId="0" xfId="43" applyNumberFormat="1" applyFont="1" applyAlignment="1" quotePrefix="1">
      <alignment horizontal="left"/>
    </xf>
    <xf numFmtId="165" fontId="22" fillId="0" borderId="0" xfId="52" applyNumberFormat="1" applyFont="1" applyAlignment="1" quotePrefix="1">
      <alignment horizontal="left"/>
    </xf>
    <xf numFmtId="169" fontId="22" fillId="0" borderId="0" xfId="80" applyNumberFormat="1" applyFont="1" applyAlignment="1" quotePrefix="1">
      <alignment horizontal="center"/>
    </xf>
    <xf numFmtId="164" fontId="22" fillId="0" borderId="0" xfId="0" applyNumberFormat="1" applyFont="1" applyAlignment="1">
      <alignment/>
    </xf>
    <xf numFmtId="0" fontId="22" fillId="0" borderId="0" xfId="0" applyFont="1" applyAlignment="1">
      <alignment horizontal="left"/>
    </xf>
    <xf numFmtId="164" fontId="22" fillId="0" borderId="14" xfId="43" applyNumberFormat="1" applyFont="1" applyBorder="1" applyAlignment="1">
      <alignment/>
    </xf>
    <xf numFmtId="165" fontId="22" fillId="0" borderId="14" xfId="52" applyNumberFormat="1" applyFont="1" applyBorder="1" applyAlignment="1">
      <alignment/>
    </xf>
    <xf numFmtId="169" fontId="22" fillId="0" borderId="14" xfId="80" applyNumberFormat="1" applyFont="1" applyBorder="1" applyAlignment="1" quotePrefix="1">
      <alignment horizontal="center"/>
    </xf>
    <xf numFmtId="164" fontId="22" fillId="0" borderId="0" xfId="43" applyNumberFormat="1" applyFont="1" applyBorder="1" applyAlignment="1">
      <alignment/>
    </xf>
    <xf numFmtId="165" fontId="22" fillId="0" borderId="0" xfId="52" applyNumberFormat="1" applyFont="1" applyBorder="1" applyAlignment="1">
      <alignment/>
    </xf>
    <xf numFmtId="0" fontId="22" fillId="0" borderId="0" xfId="0" applyFont="1" applyAlignment="1" quotePrefix="1">
      <alignment horizontal="left" indent="1"/>
    </xf>
    <xf numFmtId="0" fontId="22" fillId="0" borderId="0" xfId="0" applyFont="1" applyAlignment="1" quotePrefix="1">
      <alignment horizontal="left"/>
    </xf>
    <xf numFmtId="165" fontId="22" fillId="0" borderId="14" xfId="52" applyNumberFormat="1" applyFont="1" applyBorder="1" applyAlignment="1" quotePrefix="1">
      <alignment horizontal="left"/>
    </xf>
    <xf numFmtId="165" fontId="22" fillId="0" borderId="14" xfId="52" applyNumberFormat="1" applyFont="1" applyFill="1" applyBorder="1" applyAlignment="1" quotePrefix="1">
      <alignment horizontal="left"/>
    </xf>
    <xf numFmtId="164" fontId="22" fillId="0" borderId="9" xfId="0" applyNumberFormat="1" applyFont="1" applyBorder="1" applyAlignment="1">
      <alignment/>
    </xf>
    <xf numFmtId="165" fontId="22" fillId="0" borderId="9" xfId="52" applyNumberFormat="1" applyFont="1" applyBorder="1" applyAlignment="1">
      <alignment/>
    </xf>
    <xf numFmtId="169" fontId="22" fillId="0" borderId="9" xfId="80" applyNumberFormat="1" applyFont="1" applyBorder="1" applyAlignment="1" quotePrefix="1">
      <alignment horizontal="center"/>
    </xf>
    <xf numFmtId="164" fontId="22" fillId="0" borderId="11" xfId="0" applyNumberFormat="1" applyFont="1" applyBorder="1" applyAlignment="1">
      <alignment/>
    </xf>
    <xf numFmtId="165" fontId="22" fillId="0" borderId="11" xfId="52" applyNumberFormat="1" applyFont="1" applyBorder="1" applyAlignment="1">
      <alignment/>
    </xf>
    <xf numFmtId="169" fontId="22" fillId="0" borderId="11" xfId="80" applyNumberFormat="1" applyFont="1" applyBorder="1" applyAlignment="1" quotePrefix="1">
      <alignment horizontal="center"/>
    </xf>
    <xf numFmtId="169" fontId="22" fillId="0" borderId="0" xfId="80" applyNumberFormat="1" applyFont="1" applyAlignment="1" quotePrefix="1">
      <alignment horizontal="left"/>
    </xf>
    <xf numFmtId="0" fontId="22" fillId="0" borderId="0" xfId="0" applyFont="1" applyAlignment="1" quotePrefix="1">
      <alignment horizontal="center"/>
    </xf>
    <xf numFmtId="165" fontId="22" fillId="0" borderId="0" xfId="0" applyNumberFormat="1" applyFont="1" applyAlignment="1">
      <alignment/>
    </xf>
    <xf numFmtId="164" fontId="22" fillId="0" borderId="9" xfId="43" applyNumberFormat="1" applyFont="1" applyBorder="1" applyAlignment="1">
      <alignment/>
    </xf>
    <xf numFmtId="165" fontId="22" fillId="0" borderId="0" xfId="52" applyNumberFormat="1" applyFont="1" applyAlignment="1">
      <alignment/>
    </xf>
    <xf numFmtId="168" fontId="22" fillId="0" borderId="0" xfId="52" applyNumberFormat="1" applyFont="1" applyAlignment="1">
      <alignment/>
    </xf>
    <xf numFmtId="0" fontId="22" fillId="0" borderId="23" xfId="0" applyFont="1" applyBorder="1" applyAlignment="1">
      <alignment horizontal="centerContinuous"/>
    </xf>
    <xf numFmtId="0" fontId="22" fillId="0" borderId="14" xfId="0" applyFont="1" applyBorder="1" applyAlignment="1">
      <alignment horizontal="centerContinuous"/>
    </xf>
    <xf numFmtId="0" fontId="22" fillId="0" borderId="24" xfId="0" applyFont="1" applyBorder="1" applyAlignment="1">
      <alignment horizontal="centerContinuous"/>
    </xf>
    <xf numFmtId="0" fontId="22" fillId="0" borderId="25" xfId="0" applyFont="1" applyBorder="1" applyAlignment="1" quotePrefix="1">
      <alignment horizontal="centerContinuous"/>
    </xf>
    <xf numFmtId="0" fontId="22" fillId="0" borderId="26" xfId="0" applyFont="1" applyBorder="1" applyAlignment="1" quotePrefix="1">
      <alignment horizontal="centerContinuous"/>
    </xf>
    <xf numFmtId="0" fontId="22" fillId="0" borderId="11" xfId="0" applyFont="1" applyBorder="1" applyAlignment="1" quotePrefix="1">
      <alignment horizontal="centerContinuous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27" xfId="0" applyFont="1" applyBorder="1" applyAlignment="1" quotePrefix="1">
      <alignment horizontal="centerContinuous"/>
    </xf>
    <xf numFmtId="0" fontId="22" fillId="0" borderId="28" xfId="0" applyFont="1" applyBorder="1" applyAlignment="1" quotePrefix="1">
      <alignment horizontal="centerContinuous"/>
    </xf>
    <xf numFmtId="0" fontId="22" fillId="0" borderId="0" xfId="0" applyFont="1" applyBorder="1" applyAlignment="1" quotePrefix="1">
      <alignment horizontal="centerContinuous"/>
    </xf>
    <xf numFmtId="0" fontId="22" fillId="0" borderId="29" xfId="0" applyFont="1" applyBorder="1" applyAlignment="1" quotePrefix="1">
      <alignment horizontal="centerContinuous"/>
    </xf>
    <xf numFmtId="0" fontId="22" fillId="0" borderId="23" xfId="0" applyFont="1" applyBorder="1" applyAlignment="1" quotePrefix="1">
      <alignment horizontal="centerContinuous"/>
    </xf>
    <xf numFmtId="0" fontId="22" fillId="0" borderId="24" xfId="0" applyFont="1" applyBorder="1" applyAlignment="1" quotePrefix="1">
      <alignment horizontal="centerContinuous"/>
    </xf>
    <xf numFmtId="0" fontId="22" fillId="0" borderId="10" xfId="0" applyFont="1" applyBorder="1" applyAlignment="1">
      <alignment horizontal="center"/>
    </xf>
    <xf numFmtId="0" fontId="22" fillId="0" borderId="14" xfId="0" applyFont="1" applyBorder="1" applyAlignment="1" quotePrefix="1">
      <alignment horizontal="centerContinuous"/>
    </xf>
    <xf numFmtId="44" fontId="22" fillId="0" borderId="0" xfId="52" applyFont="1" applyAlignment="1">
      <alignment/>
    </xf>
    <xf numFmtId="44" fontId="22" fillId="0" borderId="0" xfId="52" applyNumberFormat="1" applyFont="1" applyAlignment="1">
      <alignment/>
    </xf>
    <xf numFmtId="169" fontId="22" fillId="0" borderId="0" xfId="80" applyNumberFormat="1" applyFont="1" applyAlignment="1">
      <alignment/>
    </xf>
    <xf numFmtId="169" fontId="22" fillId="0" borderId="14" xfId="80" applyNumberFormat="1" applyFont="1" applyBorder="1" applyAlignment="1">
      <alignment/>
    </xf>
    <xf numFmtId="164" fontId="22" fillId="0" borderId="0" xfId="43" applyNumberFormat="1" applyFont="1" applyAlignment="1">
      <alignment/>
    </xf>
    <xf numFmtId="169" fontId="22" fillId="0" borderId="0" xfId="80" applyNumberFormat="1" applyFont="1" applyBorder="1" applyAlignment="1">
      <alignment/>
    </xf>
    <xf numFmtId="165" fontId="22" fillId="0" borderId="14" xfId="0" applyNumberFormat="1" applyFont="1" applyBorder="1" applyAlignment="1">
      <alignment/>
    </xf>
    <xf numFmtId="169" fontId="22" fillId="0" borderId="14" xfId="80" applyNumberFormat="1" applyFont="1" applyFill="1" applyBorder="1" applyAlignment="1">
      <alignment/>
    </xf>
    <xf numFmtId="165" fontId="22" fillId="0" borderId="9" xfId="0" applyNumberFormat="1" applyFont="1" applyBorder="1" applyAlignment="1">
      <alignment/>
    </xf>
    <xf numFmtId="169" fontId="22" fillId="0" borderId="9" xfId="80" applyNumberFormat="1" applyFont="1" applyBorder="1" applyAlignment="1">
      <alignment/>
    </xf>
    <xf numFmtId="0" fontId="22" fillId="0" borderId="26" xfId="0" applyFont="1" applyBorder="1" applyAlignment="1">
      <alignment horizontal="centerContinuous"/>
    </xf>
    <xf numFmtId="0" fontId="22" fillId="0" borderId="11" xfId="0" applyFont="1" applyBorder="1" applyAlignment="1">
      <alignment horizontal="centerContinuous"/>
    </xf>
    <xf numFmtId="0" fontId="22" fillId="0" borderId="27" xfId="0" applyFont="1" applyBorder="1" applyAlignment="1">
      <alignment horizontal="centerContinuous"/>
    </xf>
    <xf numFmtId="0" fontId="22" fillId="0" borderId="28" xfId="0" applyFont="1" applyBorder="1" applyAlignment="1">
      <alignment horizontal="centerContinuous"/>
    </xf>
    <xf numFmtId="0" fontId="22" fillId="0" borderId="10" xfId="0" applyFont="1" applyBorder="1" applyAlignment="1">
      <alignment horizontal="centerContinuous"/>
    </xf>
    <xf numFmtId="0" fontId="22" fillId="0" borderId="27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43" fontId="22" fillId="0" borderId="0" xfId="0" applyNumberFormat="1" applyFont="1" applyAlignment="1">
      <alignment/>
    </xf>
    <xf numFmtId="0" fontId="22" fillId="0" borderId="30" xfId="0" applyFont="1" applyBorder="1" applyAlignment="1" quotePrefix="1">
      <alignment horizontal="centerContinuous"/>
    </xf>
    <xf numFmtId="164" fontId="22" fillId="0" borderId="14" xfId="43" applyNumberFormat="1" applyFont="1" applyBorder="1" applyAlignment="1" quotePrefix="1">
      <alignment horizontal="left"/>
    </xf>
    <xf numFmtId="7" fontId="22" fillId="0" borderId="0" xfId="52" applyNumberFormat="1" applyFont="1" applyAlignment="1">
      <alignment/>
    </xf>
    <xf numFmtId="167" fontId="22" fillId="0" borderId="0" xfId="52" applyNumberFormat="1" applyFont="1" applyAlignment="1">
      <alignment/>
    </xf>
    <xf numFmtId="0" fontId="22" fillId="0" borderId="30" xfId="0" applyFont="1" applyBorder="1" applyAlignment="1">
      <alignment horizontal="centerContinuous"/>
    </xf>
    <xf numFmtId="164" fontId="22" fillId="0" borderId="0" xfId="43" applyNumberFormat="1" applyFont="1" applyBorder="1" applyAlignment="1" quotePrefix="1">
      <alignment horizontal="left"/>
    </xf>
    <xf numFmtId="165" fontId="22" fillId="0" borderId="0" xfId="0" applyNumberFormat="1" applyFont="1" applyBorder="1" applyAlignment="1">
      <alignment/>
    </xf>
    <xf numFmtId="170" fontId="22" fillId="0" borderId="0" xfId="43" applyNumberFormat="1" applyFont="1" applyAlignment="1">
      <alignment/>
    </xf>
    <xf numFmtId="44" fontId="22" fillId="0" borderId="0" xfId="0" applyNumberFormat="1" applyFont="1" applyAlignment="1">
      <alignment/>
    </xf>
    <xf numFmtId="0" fontId="22" fillId="0" borderId="23" xfId="0" applyFont="1" applyFill="1" applyBorder="1" applyAlignment="1">
      <alignment horizontal="centerContinuous"/>
    </xf>
    <xf numFmtId="0" fontId="22" fillId="0" borderId="14" xfId="0" applyFont="1" applyFill="1" applyBorder="1" applyAlignment="1">
      <alignment horizontal="centerContinuous"/>
    </xf>
    <xf numFmtId="0" fontId="22" fillId="0" borderId="24" xfId="0" applyFont="1" applyFill="1" applyBorder="1" applyAlignment="1">
      <alignment horizontal="centerContinuous"/>
    </xf>
    <xf numFmtId="0" fontId="22" fillId="0" borderId="25" xfId="0" applyFont="1" applyFill="1" applyBorder="1" applyAlignment="1" quotePrefix="1">
      <alignment horizontal="centerContinuous"/>
    </xf>
    <xf numFmtId="0" fontId="22" fillId="0" borderId="26" xfId="0" applyFont="1" applyFill="1" applyBorder="1" applyAlignment="1" quotePrefix="1">
      <alignment horizontal="centerContinuous"/>
    </xf>
    <xf numFmtId="0" fontId="22" fillId="0" borderId="11" xfId="0" applyFont="1" applyFill="1" applyBorder="1" applyAlignment="1" quotePrefix="1">
      <alignment horizontal="centerContinuous"/>
    </xf>
    <xf numFmtId="0" fontId="22" fillId="0" borderId="30" xfId="0" applyFont="1" applyFill="1" applyBorder="1" applyAlignment="1" quotePrefix="1">
      <alignment horizontal="centerContinuous"/>
    </xf>
    <xf numFmtId="0" fontId="22" fillId="0" borderId="29" xfId="0" applyFont="1" applyFill="1" applyBorder="1" applyAlignment="1" quotePrefix="1">
      <alignment horizontal="centerContinuous"/>
    </xf>
    <xf numFmtId="0" fontId="22" fillId="0" borderId="0" xfId="0" applyFont="1" applyFill="1" applyBorder="1" applyAlignment="1" quotePrefix="1">
      <alignment horizontal="centerContinuous"/>
    </xf>
    <xf numFmtId="0" fontId="22" fillId="0" borderId="23" xfId="0" applyFont="1" applyFill="1" applyBorder="1" applyAlignment="1" quotePrefix="1">
      <alignment horizontal="centerContinuous"/>
    </xf>
    <xf numFmtId="0" fontId="22" fillId="0" borderId="24" xfId="0" applyFont="1" applyFill="1" applyBorder="1" applyAlignment="1" quotePrefix="1">
      <alignment horizontal="centerContinuous"/>
    </xf>
    <xf numFmtId="0" fontId="22" fillId="0" borderId="10" xfId="0" applyFont="1" applyFill="1" applyBorder="1" applyAlignment="1">
      <alignment horizontal="center"/>
    </xf>
    <xf numFmtId="0" fontId="22" fillId="0" borderId="14" xfId="0" applyFont="1" applyFill="1" applyBorder="1" applyAlignment="1" quotePrefix="1">
      <alignment horizontal="centerContinuous"/>
    </xf>
    <xf numFmtId="44" fontId="22" fillId="0" borderId="0" xfId="0" applyNumberFormat="1" applyFont="1" applyFill="1" applyAlignment="1">
      <alignment/>
    </xf>
    <xf numFmtId="165" fontId="22" fillId="0" borderId="14" xfId="0" applyNumberFormat="1" applyFont="1" applyFill="1" applyBorder="1" applyAlignment="1">
      <alignment/>
    </xf>
    <xf numFmtId="165" fontId="22" fillId="0" borderId="0" xfId="0" applyNumberFormat="1" applyFont="1" applyFill="1" applyBorder="1" applyAlignment="1">
      <alignment/>
    </xf>
    <xf numFmtId="169" fontId="22" fillId="0" borderId="0" xfId="80" applyNumberFormat="1" applyFont="1" applyFill="1" applyBorder="1" applyAlignment="1">
      <alignment/>
    </xf>
    <xf numFmtId="0" fontId="22" fillId="0" borderId="0" xfId="0" applyFont="1" applyFill="1" applyAlignment="1" quotePrefix="1">
      <alignment horizontal="left" indent="2"/>
    </xf>
    <xf numFmtId="168" fontId="22" fillId="0" borderId="0" xfId="52" applyNumberFormat="1" applyFont="1" applyFill="1" applyAlignment="1">
      <alignment/>
    </xf>
    <xf numFmtId="0" fontId="22" fillId="0" borderId="0" xfId="0" applyFont="1" applyFill="1" applyAlignment="1">
      <alignment horizontal="left" indent="2"/>
    </xf>
    <xf numFmtId="0" fontId="22" fillId="0" borderId="0" xfId="0" applyFont="1" applyFill="1" applyAlignment="1" quotePrefix="1">
      <alignment horizontal="left" indent="3"/>
    </xf>
    <xf numFmtId="0" fontId="22" fillId="0" borderId="0" xfId="0" applyFont="1" applyFill="1" applyAlignment="1">
      <alignment horizontal="left" indent="3"/>
    </xf>
    <xf numFmtId="167" fontId="22" fillId="0" borderId="0" xfId="0" applyNumberFormat="1" applyFont="1" applyFill="1" applyAlignment="1">
      <alignment/>
    </xf>
    <xf numFmtId="165" fontId="22" fillId="0" borderId="9" xfId="0" applyNumberFormat="1" applyFont="1" applyFill="1" applyBorder="1" applyAlignment="1">
      <alignment/>
    </xf>
    <xf numFmtId="169" fontId="22" fillId="0" borderId="9" xfId="80" applyNumberFormat="1" applyFont="1" applyFill="1" applyBorder="1" applyAlignment="1">
      <alignment/>
    </xf>
    <xf numFmtId="9" fontId="22" fillId="0" borderId="0" xfId="80" applyFont="1" applyAlignment="1">
      <alignment/>
    </xf>
    <xf numFmtId="9" fontId="22" fillId="0" borderId="0" xfId="0" applyNumberFormat="1" applyFont="1" applyAlignment="1">
      <alignment/>
    </xf>
    <xf numFmtId="0" fontId="22" fillId="0" borderId="0" xfId="0" applyFont="1" applyBorder="1" applyAlignment="1" quotePrefix="1">
      <alignment horizontal="left" wrapText="1"/>
    </xf>
    <xf numFmtId="164" fontId="22" fillId="0" borderId="0" xfId="43" applyNumberFormat="1" applyFont="1" applyBorder="1" applyAlignment="1">
      <alignment wrapText="1"/>
    </xf>
    <xf numFmtId="165" fontId="22" fillId="0" borderId="0" xfId="52" applyNumberFormat="1" applyFont="1" applyBorder="1" applyAlignment="1">
      <alignment wrapText="1"/>
    </xf>
    <xf numFmtId="42" fontId="22" fillId="0" borderId="0" xfId="52" applyNumberFormat="1" applyFont="1" applyAlignment="1">
      <alignment/>
    </xf>
    <xf numFmtId="10" fontId="22" fillId="0" borderId="0" xfId="80" applyNumberFormat="1" applyFont="1" applyAlignment="1">
      <alignment horizontal="right"/>
    </xf>
    <xf numFmtId="164" fontId="22" fillId="0" borderId="14" xfId="43" applyNumberFormat="1" applyFont="1" applyBorder="1" applyAlignment="1">
      <alignment/>
    </xf>
    <xf numFmtId="42" fontId="22" fillId="0" borderId="14" xfId="52" applyNumberFormat="1" applyFont="1" applyBorder="1" applyAlignment="1">
      <alignment/>
    </xf>
    <xf numFmtId="10" fontId="22" fillId="0" borderId="14" xfId="80" applyNumberFormat="1" applyFont="1" applyBorder="1" applyAlignment="1">
      <alignment horizontal="right"/>
    </xf>
    <xf numFmtId="164" fontId="22" fillId="0" borderId="0" xfId="43" applyNumberFormat="1" applyFont="1" applyAlignment="1">
      <alignment horizontal="right"/>
    </xf>
    <xf numFmtId="42" fontId="22" fillId="0" borderId="0" xfId="0" applyNumberFormat="1" applyFont="1" applyAlignment="1">
      <alignment horizontal="right"/>
    </xf>
    <xf numFmtId="173" fontId="22" fillId="0" borderId="0" xfId="80" applyNumberFormat="1" applyFont="1" applyAlignment="1">
      <alignment horizontal="right"/>
    </xf>
    <xf numFmtId="174" fontId="22" fillId="0" borderId="0" xfId="0" applyNumberFormat="1" applyFont="1" applyAlignment="1">
      <alignment/>
    </xf>
    <xf numFmtId="42" fontId="22" fillId="0" borderId="0" xfId="0" applyNumberFormat="1" applyFont="1" applyAlignment="1">
      <alignment/>
    </xf>
    <xf numFmtId="0" fontId="22" fillId="0" borderId="0" xfId="0" applyFont="1" applyBorder="1" applyAlignment="1">
      <alignment horizontal="centerContinuous"/>
    </xf>
    <xf numFmtId="164" fontId="22" fillId="0" borderId="9" xfId="43" applyNumberFormat="1" applyFont="1" applyBorder="1" applyAlignment="1" quotePrefix="1">
      <alignment horizontal="left"/>
    </xf>
    <xf numFmtId="0" fontId="22" fillId="0" borderId="0" xfId="0" applyFont="1" applyBorder="1" applyAlignment="1">
      <alignment horizontal="left"/>
    </xf>
    <xf numFmtId="166" fontId="22" fillId="0" borderId="0" xfId="0" applyNumberFormat="1" applyFont="1" applyAlignment="1">
      <alignment/>
    </xf>
    <xf numFmtId="166" fontId="22" fillId="0" borderId="0" xfId="52" applyNumberFormat="1" applyFont="1" applyAlignment="1">
      <alignment/>
    </xf>
    <xf numFmtId="0" fontId="22" fillId="0" borderId="0" xfId="0" applyFont="1" applyAlignment="1" quotePrefix="1">
      <alignment horizontal="left" indent="2"/>
    </xf>
    <xf numFmtId="42" fontId="22" fillId="0" borderId="0" xfId="52" applyNumberFormat="1" applyFont="1" applyBorder="1" applyAlignment="1">
      <alignment wrapText="1"/>
    </xf>
    <xf numFmtId="169" fontId="22" fillId="0" borderId="0" xfId="80" applyNumberFormat="1" applyFont="1" applyAlignment="1">
      <alignment horizontal="right"/>
    </xf>
    <xf numFmtId="164" fontId="22" fillId="0" borderId="0" xfId="43" applyNumberFormat="1" applyFont="1" applyAlignment="1">
      <alignment/>
    </xf>
    <xf numFmtId="164" fontId="22" fillId="0" borderId="9" xfId="43" applyNumberFormat="1" applyFont="1" applyBorder="1" applyAlignment="1">
      <alignment/>
    </xf>
    <xf numFmtId="42" fontId="22" fillId="0" borderId="9" xfId="52" applyNumberFormat="1" applyFont="1" applyBorder="1" applyAlignment="1">
      <alignment/>
    </xf>
    <xf numFmtId="169" fontId="22" fillId="0" borderId="9" xfId="80" applyNumberFormat="1" applyFont="1" applyBorder="1" applyAlignment="1">
      <alignment horizontal="right"/>
    </xf>
    <xf numFmtId="168" fontId="22" fillId="0" borderId="9" xfId="52" applyNumberFormat="1" applyFont="1" applyBorder="1" applyAlignment="1">
      <alignment/>
    </xf>
    <xf numFmtId="165" fontId="22" fillId="0" borderId="0" xfId="52" applyNumberFormat="1" applyFont="1" applyAlignment="1">
      <alignment horizontal="right"/>
    </xf>
    <xf numFmtId="0" fontId="22" fillId="0" borderId="0" xfId="0" applyFont="1" applyAlignment="1">
      <alignment horizontal="right"/>
    </xf>
    <xf numFmtId="164" fontId="22" fillId="0" borderId="0" xfId="0" applyNumberFormat="1" applyFont="1" applyAlignment="1">
      <alignment horizontal="right"/>
    </xf>
    <xf numFmtId="44" fontId="22" fillId="0" borderId="0" xfId="0" applyNumberFormat="1" applyFont="1" applyAlignment="1">
      <alignment horizontal="right"/>
    </xf>
    <xf numFmtId="10" fontId="22" fillId="0" borderId="0" xfId="0" applyNumberFormat="1" applyFont="1" applyAlignment="1">
      <alignment/>
    </xf>
    <xf numFmtId="10" fontId="22" fillId="0" borderId="0" xfId="80" applyNumberFormat="1" applyFont="1" applyAlignment="1">
      <alignment/>
    </xf>
    <xf numFmtId="172" fontId="22" fillId="0" borderId="0" xfId="80" applyNumberFormat="1" applyFont="1" applyAlignment="1">
      <alignment/>
    </xf>
    <xf numFmtId="164" fontId="22" fillId="0" borderId="0" xfId="43" applyNumberFormat="1" applyFont="1" applyFill="1" applyAlignment="1" quotePrefix="1">
      <alignment horizontal="left"/>
    </xf>
    <xf numFmtId="169" fontId="22" fillId="0" borderId="11" xfId="80" applyNumberFormat="1" applyFont="1" applyBorder="1" applyAlignment="1">
      <alignment/>
    </xf>
    <xf numFmtId="0" fontId="22" fillId="0" borderId="0" xfId="0" applyFont="1" applyBorder="1" applyAlignment="1" quotePrefix="1">
      <alignment horizontal="left"/>
    </xf>
    <xf numFmtId="44" fontId="22" fillId="0" borderId="0" xfId="52" applyFont="1" applyBorder="1" applyAlignment="1">
      <alignment/>
    </xf>
    <xf numFmtId="44" fontId="22" fillId="0" borderId="0" xfId="52" applyNumberFormat="1" applyFont="1" applyBorder="1" applyAlignment="1">
      <alignment/>
    </xf>
    <xf numFmtId="169" fontId="22" fillId="0" borderId="0" xfId="80" applyNumberFormat="1" applyFont="1" applyBorder="1" applyAlignment="1">
      <alignment horizontal="right"/>
    </xf>
    <xf numFmtId="164" fontId="22" fillId="0" borderId="0" xfId="0" applyNumberFormat="1" applyFont="1" applyBorder="1" applyAlignment="1">
      <alignment/>
    </xf>
    <xf numFmtId="43" fontId="22" fillId="0" borderId="0" xfId="0" applyNumberFormat="1" applyFont="1" applyBorder="1" applyAlignment="1">
      <alignment/>
    </xf>
    <xf numFmtId="168" fontId="22" fillId="0" borderId="0" xfId="0" applyNumberFormat="1" applyFont="1" applyAlignment="1">
      <alignment/>
    </xf>
    <xf numFmtId="0" fontId="22" fillId="0" borderId="0" xfId="0" applyFont="1" applyFill="1" applyAlignment="1" quotePrefix="1">
      <alignment horizontal="centerContinuous"/>
    </xf>
    <xf numFmtId="0" fontId="22" fillId="0" borderId="10" xfId="0" applyFont="1" applyFill="1" applyBorder="1" applyAlignment="1">
      <alignment horizontal="center" wrapText="1" shrinkToFit="1"/>
    </xf>
    <xf numFmtId="0" fontId="22" fillId="0" borderId="10" xfId="0" applyFont="1" applyFill="1" applyBorder="1" applyAlignment="1">
      <alignment horizontal="left" wrapText="1" shrinkToFit="1"/>
    </xf>
    <xf numFmtId="0" fontId="22" fillId="0" borderId="10" xfId="0" applyFont="1" applyFill="1" applyBorder="1" applyAlignment="1" quotePrefix="1">
      <alignment horizontal="center" wrapText="1" shrinkToFit="1"/>
    </xf>
    <xf numFmtId="0" fontId="22" fillId="0" borderId="10" xfId="0" applyFont="1" applyFill="1" applyBorder="1" applyAlignment="1" quotePrefix="1">
      <alignment horizontal="left" wrapText="1" shrinkToFit="1"/>
    </xf>
    <xf numFmtId="44" fontId="23" fillId="0" borderId="0" xfId="0" applyNumberFormat="1" applyFont="1" applyFill="1" applyAlignment="1">
      <alignment/>
    </xf>
    <xf numFmtId="0" fontId="23" fillId="0" borderId="0" xfId="0" applyFont="1" applyFill="1" applyAlignment="1" quotePrefix="1">
      <alignment horizontal="left" vertical="center" wrapText="1"/>
    </xf>
    <xf numFmtId="43" fontId="22" fillId="0" borderId="0" xfId="0" applyNumberFormat="1" applyFont="1" applyFill="1" applyAlignment="1">
      <alignment/>
    </xf>
    <xf numFmtId="164" fontId="22" fillId="0" borderId="14" xfId="0" applyNumberFormat="1" applyFont="1" applyFill="1" applyBorder="1" applyAlignment="1">
      <alignment/>
    </xf>
    <xf numFmtId="165" fontId="23" fillId="0" borderId="0" xfId="0" applyNumberFormat="1" applyFont="1" applyFill="1" applyAlignment="1">
      <alignment horizontal="left"/>
    </xf>
    <xf numFmtId="44" fontId="22" fillId="0" borderId="0" xfId="52" applyFont="1" applyFill="1" applyAlignment="1">
      <alignment/>
    </xf>
    <xf numFmtId="9" fontId="23" fillId="0" borderId="0" xfId="80" applyFont="1" applyFill="1" applyAlignment="1">
      <alignment horizontal="left"/>
    </xf>
    <xf numFmtId="0" fontId="23" fillId="0" borderId="0" xfId="0" applyFont="1" applyFill="1" applyAlignment="1">
      <alignment horizontal="left"/>
    </xf>
    <xf numFmtId="168" fontId="23" fillId="0" borderId="0" xfId="52" applyNumberFormat="1" applyFont="1" applyFill="1" applyBorder="1" applyAlignment="1">
      <alignment/>
    </xf>
    <xf numFmtId="0" fontId="23" fillId="0" borderId="0" xfId="0" applyFont="1" applyFill="1" applyAlignment="1" quotePrefix="1">
      <alignment horizontal="left"/>
    </xf>
    <xf numFmtId="164" fontId="22" fillId="0" borderId="9" xfId="0" applyNumberFormat="1" applyFont="1" applyFill="1" applyBorder="1" applyAlignment="1">
      <alignment/>
    </xf>
    <xf numFmtId="0" fontId="22" fillId="0" borderId="0" xfId="0" applyFont="1" applyFill="1" applyAlignment="1" quotePrefix="1">
      <alignment/>
    </xf>
    <xf numFmtId="181" fontId="23" fillId="0" borderId="0" xfId="52" applyNumberFormat="1" applyFont="1" applyFill="1" applyAlignment="1">
      <alignment horizontal="left"/>
    </xf>
    <xf numFmtId="164" fontId="22" fillId="0" borderId="0" xfId="0" applyNumberFormat="1" applyFont="1" applyFill="1" applyAlignment="1">
      <alignment/>
    </xf>
    <xf numFmtId="165" fontId="23" fillId="0" borderId="31" xfId="0" applyNumberFormat="1" applyFont="1" applyFill="1" applyBorder="1" applyAlignment="1">
      <alignment/>
    </xf>
    <xf numFmtId="0" fontId="23" fillId="0" borderId="0" xfId="0" applyFont="1" applyFill="1" applyAlignment="1">
      <alignment horizontal="left" wrapText="1"/>
    </xf>
    <xf numFmtId="168" fontId="22" fillId="0" borderId="0" xfId="0" applyNumberFormat="1" applyFont="1" applyFill="1" applyAlignment="1">
      <alignment/>
    </xf>
    <xf numFmtId="43" fontId="22" fillId="0" borderId="0" xfId="0" applyNumberFormat="1" applyFont="1" applyFill="1" applyBorder="1" applyAlignment="1">
      <alignment/>
    </xf>
    <xf numFmtId="167" fontId="22" fillId="0" borderId="0" xfId="52" applyNumberFormat="1" applyFont="1" applyFill="1" applyAlignment="1">
      <alignment/>
    </xf>
    <xf numFmtId="0" fontId="25" fillId="0" borderId="0" xfId="0" applyFont="1" applyFill="1" applyBorder="1" applyAlignment="1">
      <alignment horizontal="left" wrapText="1" shrinkToFit="1"/>
    </xf>
    <xf numFmtId="0" fontId="25" fillId="0" borderId="0" xfId="0" applyFont="1" applyFill="1" applyBorder="1" applyAlignment="1" quotePrefix="1">
      <alignment horizontal="center" wrapText="1" shrinkToFit="1"/>
    </xf>
    <xf numFmtId="0" fontId="25" fillId="0" borderId="0" xfId="0" applyFont="1" applyFill="1" applyBorder="1" applyAlignment="1">
      <alignment horizontal="center" wrapText="1" shrinkToFit="1"/>
    </xf>
    <xf numFmtId="0" fontId="25" fillId="0" borderId="0" xfId="0" applyFont="1" applyFill="1" applyBorder="1" applyAlignment="1" quotePrefix="1">
      <alignment horizontal="left" wrapText="1" shrinkToFit="1"/>
    </xf>
    <xf numFmtId="44" fontId="22" fillId="0" borderId="0" xfId="0" applyNumberFormat="1" applyFont="1" applyFill="1" applyAlignment="1" quotePrefix="1">
      <alignment horizontal="left"/>
    </xf>
    <xf numFmtId="44" fontId="23" fillId="0" borderId="0" xfId="0" applyNumberFormat="1" applyFont="1" applyFill="1" applyBorder="1" applyAlignment="1">
      <alignment/>
    </xf>
    <xf numFmtId="43" fontId="22" fillId="0" borderId="0" xfId="43" applyFont="1" applyFill="1" applyAlignment="1">
      <alignment/>
    </xf>
    <xf numFmtId="168" fontId="23" fillId="0" borderId="0" xfId="52" applyNumberFormat="1" applyFont="1" applyFill="1" applyAlignment="1">
      <alignment/>
    </xf>
    <xf numFmtId="164" fontId="22" fillId="0" borderId="0" xfId="0" applyNumberFormat="1" applyFont="1" applyFill="1" applyBorder="1" applyAlignment="1">
      <alignment/>
    </xf>
    <xf numFmtId="44" fontId="23" fillId="0" borderId="0" xfId="52" applyFont="1" applyFill="1" applyBorder="1" applyAlignment="1">
      <alignment/>
    </xf>
    <xf numFmtId="165" fontId="22" fillId="0" borderId="18" xfId="52" applyNumberFormat="1" applyFont="1" applyFill="1" applyBorder="1" applyAlignment="1">
      <alignment/>
    </xf>
    <xf numFmtId="43" fontId="23" fillId="0" borderId="0" xfId="0" applyNumberFormat="1" applyFont="1" applyFill="1" applyBorder="1" applyAlignment="1">
      <alignment/>
    </xf>
    <xf numFmtId="0" fontId="22" fillId="0" borderId="18" xfId="0" applyFont="1" applyFill="1" applyBorder="1" applyAlignment="1">
      <alignment/>
    </xf>
    <xf numFmtId="43" fontId="22" fillId="0" borderId="0" xfId="43" applyFont="1" applyFill="1" applyBorder="1" applyAlignment="1">
      <alignment/>
    </xf>
    <xf numFmtId="169" fontId="22" fillId="0" borderId="19" xfId="80" applyNumberFormat="1" applyFont="1" applyFill="1" applyBorder="1" applyAlignment="1">
      <alignment/>
    </xf>
    <xf numFmtId="165" fontId="22" fillId="0" borderId="18" xfId="0" applyNumberFormat="1" applyFont="1" applyFill="1" applyBorder="1" applyAlignment="1">
      <alignment/>
    </xf>
    <xf numFmtId="44" fontId="22" fillId="0" borderId="0" xfId="52" applyFont="1" applyFill="1" applyBorder="1" applyAlignment="1">
      <alignment/>
    </xf>
    <xf numFmtId="167" fontId="23" fillId="0" borderId="0" xfId="52" applyNumberFormat="1" applyFont="1" applyFill="1" applyBorder="1" applyAlignment="1">
      <alignment/>
    </xf>
    <xf numFmtId="0" fontId="22" fillId="0" borderId="32" xfId="0" applyFont="1" applyFill="1" applyBorder="1" applyAlignment="1">
      <alignment/>
    </xf>
    <xf numFmtId="0" fontId="22" fillId="0" borderId="33" xfId="0" applyFont="1" applyFill="1" applyBorder="1" applyAlignment="1">
      <alignment/>
    </xf>
    <xf numFmtId="169" fontId="22" fillId="0" borderId="34" xfId="80" applyNumberFormat="1" applyFont="1" applyFill="1" applyBorder="1" applyAlignment="1">
      <alignment/>
    </xf>
    <xf numFmtId="0" fontId="22" fillId="0" borderId="0" xfId="0" applyFont="1" applyFill="1" applyBorder="1" applyAlignment="1">
      <alignment horizontal="left"/>
    </xf>
    <xf numFmtId="165" fontId="23" fillId="0" borderId="0" xfId="52" applyNumberFormat="1" applyFont="1" applyFill="1" applyAlignment="1">
      <alignment/>
    </xf>
    <xf numFmtId="0" fontId="22" fillId="0" borderId="0" xfId="0" applyFont="1" applyFill="1" applyBorder="1" applyAlignment="1" quotePrefix="1">
      <alignment horizontal="left"/>
    </xf>
    <xf numFmtId="165" fontId="23" fillId="0" borderId="31" xfId="52" applyNumberFormat="1" applyFont="1" applyFill="1" applyBorder="1" applyAlignment="1">
      <alignment/>
    </xf>
    <xf numFmtId="10" fontId="23" fillId="0" borderId="0" xfId="80" applyNumberFormat="1" applyFont="1" applyFill="1" applyAlignment="1">
      <alignment/>
    </xf>
    <xf numFmtId="44" fontId="22" fillId="0" borderId="0" xfId="52" applyFont="1" applyFill="1" applyAlignment="1">
      <alignment horizontal="center"/>
    </xf>
    <xf numFmtId="0" fontId="22" fillId="0" borderId="0" xfId="0" applyFont="1" applyFill="1" applyBorder="1" applyAlignment="1">
      <alignment horizontal="left" wrapText="1" shrinkToFit="1"/>
    </xf>
    <xf numFmtId="165" fontId="22" fillId="0" borderId="19" xfId="0" applyNumberFormat="1" applyFont="1" applyFill="1" applyBorder="1" applyAlignment="1">
      <alignment/>
    </xf>
    <xf numFmtId="9" fontId="22" fillId="0" borderId="0" xfId="80" applyFont="1" applyFill="1" applyBorder="1" applyAlignment="1">
      <alignment/>
    </xf>
    <xf numFmtId="9" fontId="22" fillId="0" borderId="19" xfId="80" applyFont="1" applyFill="1" applyBorder="1" applyAlignment="1">
      <alignment/>
    </xf>
    <xf numFmtId="0" fontId="22" fillId="0" borderId="34" xfId="0" applyFont="1" applyFill="1" applyBorder="1" applyAlignment="1">
      <alignment/>
    </xf>
    <xf numFmtId="6" fontId="23" fillId="0" borderId="0" xfId="0" applyNumberFormat="1" applyFont="1" applyFill="1" applyBorder="1" applyAlignment="1">
      <alignment horizontal="right"/>
    </xf>
    <xf numFmtId="0" fontId="23" fillId="0" borderId="0" xfId="0" applyFont="1" applyFill="1" applyAlignment="1">
      <alignment/>
    </xf>
    <xf numFmtId="10" fontId="23" fillId="0" borderId="0" xfId="80" applyNumberFormat="1" applyFont="1" applyFill="1" applyBorder="1" applyAlignment="1">
      <alignment/>
    </xf>
    <xf numFmtId="0" fontId="23" fillId="0" borderId="0" xfId="0" applyFont="1" applyFill="1" applyAlignment="1" quotePrefix="1">
      <alignment vertical="center" wrapText="1"/>
    </xf>
    <xf numFmtId="10" fontId="22" fillId="0" borderId="0" xfId="0" applyNumberFormat="1" applyFont="1" applyFill="1" applyBorder="1" applyAlignment="1">
      <alignment horizontal="right"/>
    </xf>
    <xf numFmtId="9" fontId="22" fillId="0" borderId="18" xfId="80" applyFont="1" applyFill="1" applyBorder="1" applyAlignment="1">
      <alignment/>
    </xf>
    <xf numFmtId="44" fontId="23" fillId="0" borderId="0" xfId="52" applyFont="1" applyFill="1" applyAlignment="1">
      <alignment/>
    </xf>
    <xf numFmtId="166" fontId="22" fillId="0" borderId="0" xfId="0" applyNumberFormat="1" applyFont="1" applyFill="1" applyAlignment="1">
      <alignment/>
    </xf>
    <xf numFmtId="166" fontId="23" fillId="0" borderId="0" xfId="52" applyNumberFormat="1" applyFont="1" applyFill="1" applyBorder="1" applyAlignment="1">
      <alignment/>
    </xf>
    <xf numFmtId="165" fontId="22" fillId="0" borderId="0" xfId="80" applyNumberFormat="1" applyFont="1" applyFill="1" applyAlignment="1">
      <alignment/>
    </xf>
    <xf numFmtId="10" fontId="22" fillId="0" borderId="0" xfId="0" applyNumberFormat="1" applyFont="1" applyFill="1" applyAlignment="1">
      <alignment/>
    </xf>
    <xf numFmtId="166" fontId="22" fillId="0" borderId="0" xfId="52" applyNumberFormat="1" applyFont="1" applyFill="1" applyAlignment="1">
      <alignment/>
    </xf>
    <xf numFmtId="0" fontId="22" fillId="0" borderId="20" xfId="0" applyFont="1" applyFill="1" applyBorder="1" applyAlignment="1">
      <alignment/>
    </xf>
    <xf numFmtId="0" fontId="22" fillId="0" borderId="22" xfId="0" applyFont="1" applyFill="1" applyBorder="1" applyAlignment="1">
      <alignment/>
    </xf>
    <xf numFmtId="0" fontId="22" fillId="0" borderId="18" xfId="0" applyFont="1" applyFill="1" applyBorder="1" applyAlignment="1">
      <alignment horizontal="left" indent="1"/>
    </xf>
    <xf numFmtId="44" fontId="22" fillId="0" borderId="0" xfId="0" applyNumberFormat="1" applyFont="1" applyFill="1" applyBorder="1" applyAlignment="1">
      <alignment/>
    </xf>
    <xf numFmtId="0" fontId="22" fillId="0" borderId="19" xfId="0" applyFont="1" applyFill="1" applyBorder="1" applyAlignment="1" quotePrefix="1">
      <alignment horizontal="left"/>
    </xf>
    <xf numFmtId="0" fontId="22" fillId="0" borderId="32" xfId="0" applyFont="1" applyFill="1" applyBorder="1" applyAlignment="1">
      <alignment horizontal="left" indent="1"/>
    </xf>
    <xf numFmtId="0" fontId="22" fillId="0" borderId="20" xfId="0" applyFont="1" applyFill="1" applyBorder="1" applyAlignment="1">
      <alignment horizontal="left" indent="1"/>
    </xf>
    <xf numFmtId="0" fontId="22" fillId="0" borderId="18" xfId="0" applyFont="1" applyFill="1" applyBorder="1" applyAlignment="1">
      <alignment horizontal="left" indent="2"/>
    </xf>
    <xf numFmtId="44" fontId="22" fillId="0" borderId="19" xfId="52" applyFont="1" applyFill="1" applyBorder="1" applyAlignment="1">
      <alignment/>
    </xf>
    <xf numFmtId="0" fontId="22" fillId="0" borderId="32" xfId="0" applyFont="1" applyFill="1" applyBorder="1" applyAlignment="1">
      <alignment horizontal="left" indent="2"/>
    </xf>
    <xf numFmtId="44" fontId="22" fillId="0" borderId="34" xfId="52" applyFont="1" applyFill="1" applyBorder="1" applyAlignment="1">
      <alignment/>
    </xf>
    <xf numFmtId="168" fontId="22" fillId="0" borderId="19" xfId="52" applyNumberFormat="1" applyFont="1" applyFill="1" applyBorder="1" applyAlignment="1">
      <alignment/>
    </xf>
    <xf numFmtId="168" fontId="22" fillId="0" borderId="34" xfId="52" applyNumberFormat="1" applyFont="1" applyFill="1" applyBorder="1" applyAlignment="1">
      <alignment/>
    </xf>
    <xf numFmtId="0" fontId="22" fillId="0" borderId="20" xfId="0" applyFont="1" applyFill="1" applyBorder="1" applyAlignment="1" quotePrefix="1">
      <alignment horizontal="left" indent="1"/>
    </xf>
    <xf numFmtId="0" fontId="22" fillId="0" borderId="15" xfId="0" applyFont="1" applyFill="1" applyBorder="1" applyAlignment="1">
      <alignment horizontal="left" indent="2"/>
    </xf>
    <xf numFmtId="171" fontId="22" fillId="0" borderId="16" xfId="43" applyNumberFormat="1" applyFont="1" applyFill="1" applyBorder="1" applyAlignment="1">
      <alignment/>
    </xf>
    <xf numFmtId="0" fontId="22" fillId="0" borderId="17" xfId="0" applyFont="1" applyFill="1" applyBorder="1" applyAlignment="1">
      <alignment/>
    </xf>
    <xf numFmtId="171" fontId="22" fillId="0" borderId="0" xfId="43" applyNumberFormat="1" applyFont="1" applyFill="1" applyBorder="1" applyAlignment="1">
      <alignment/>
    </xf>
    <xf numFmtId="0" fontId="22" fillId="0" borderId="15" xfId="0" applyFont="1" applyFill="1" applyBorder="1" applyAlignment="1">
      <alignment/>
    </xf>
    <xf numFmtId="0" fontId="22" fillId="0" borderId="21" xfId="0" applyFont="1" applyFill="1" applyBorder="1" applyAlignment="1">
      <alignment horizontal="center" wrapText="1"/>
    </xf>
    <xf numFmtId="0" fontId="22" fillId="0" borderId="21" xfId="0" applyFont="1" applyFill="1" applyBorder="1" applyAlignment="1" quotePrefix="1">
      <alignment horizontal="center" wrapText="1"/>
    </xf>
    <xf numFmtId="0" fontId="22" fillId="0" borderId="22" xfId="0" applyFont="1" applyFill="1" applyBorder="1" applyAlignment="1" quotePrefix="1">
      <alignment horizontal="center" wrapText="1"/>
    </xf>
    <xf numFmtId="0" fontId="22" fillId="0" borderId="20" xfId="0" applyFont="1" applyFill="1" applyBorder="1" applyAlignment="1">
      <alignment horizontal="center" wrapText="1"/>
    </xf>
    <xf numFmtId="0" fontId="22" fillId="0" borderId="20" xfId="0" applyFont="1" applyFill="1" applyBorder="1" applyAlignment="1" quotePrefix="1">
      <alignment horizontal="center" wrapText="1"/>
    </xf>
    <xf numFmtId="0" fontId="22" fillId="0" borderId="22" xfId="0" applyFont="1" applyFill="1" applyBorder="1" applyAlignment="1">
      <alignment horizontal="center" wrapText="1"/>
    </xf>
    <xf numFmtId="44" fontId="22" fillId="0" borderId="16" xfId="52" applyFont="1" applyFill="1" applyBorder="1" applyAlignment="1">
      <alignment horizontal="left" indent="2"/>
    </xf>
    <xf numFmtId="10" fontId="22" fillId="0" borderId="16" xfId="52" applyNumberFormat="1" applyFont="1" applyFill="1" applyBorder="1" applyAlignment="1">
      <alignment/>
    </xf>
    <xf numFmtId="164" fontId="22" fillId="0" borderId="16" xfId="43" applyNumberFormat="1" applyFont="1" applyFill="1" applyBorder="1" applyAlignment="1">
      <alignment/>
    </xf>
    <xf numFmtId="165" fontId="22" fillId="0" borderId="17" xfId="52" applyNumberFormat="1" applyFont="1" applyFill="1" applyBorder="1" applyAlignment="1">
      <alignment/>
    </xf>
    <xf numFmtId="44" fontId="22" fillId="0" borderId="19" xfId="0" applyNumberFormat="1" applyFont="1" applyFill="1" applyBorder="1" applyAlignment="1">
      <alignment/>
    </xf>
    <xf numFmtId="10" fontId="22" fillId="0" borderId="18" xfId="0" applyNumberFormat="1" applyFont="1" applyFill="1" applyBorder="1" applyAlignment="1">
      <alignment/>
    </xf>
    <xf numFmtId="44" fontId="22" fillId="0" borderId="0" xfId="52" applyFont="1" applyFill="1" applyBorder="1" applyAlignment="1">
      <alignment horizontal="left" indent="2"/>
    </xf>
    <xf numFmtId="10" fontId="22" fillId="0" borderId="0" xfId="52" applyNumberFormat="1" applyFont="1" applyFill="1" applyBorder="1" applyAlignment="1">
      <alignment/>
    </xf>
    <xf numFmtId="165" fontId="22" fillId="0" borderId="19" xfId="52" applyNumberFormat="1" applyFont="1" applyFill="1" applyBorder="1" applyAlignment="1">
      <alignment/>
    </xf>
    <xf numFmtId="9" fontId="22" fillId="0" borderId="18" xfId="0" applyNumberFormat="1" applyFont="1" applyFill="1" applyBorder="1" applyAlignment="1">
      <alignment/>
    </xf>
    <xf numFmtId="10" fontId="22" fillId="0" borderId="19" xfId="0" applyNumberFormat="1" applyFont="1" applyFill="1" applyBorder="1" applyAlignment="1">
      <alignment/>
    </xf>
    <xf numFmtId="44" fontId="22" fillId="0" borderId="33" xfId="52" applyFont="1" applyFill="1" applyBorder="1" applyAlignment="1">
      <alignment horizontal="left" indent="2"/>
    </xf>
    <xf numFmtId="10" fontId="22" fillId="0" borderId="33" xfId="52" applyNumberFormat="1" applyFont="1" applyFill="1" applyBorder="1" applyAlignment="1">
      <alignment/>
    </xf>
    <xf numFmtId="164" fontId="22" fillId="0" borderId="33" xfId="43" applyNumberFormat="1" applyFont="1" applyFill="1" applyBorder="1" applyAlignment="1">
      <alignment/>
    </xf>
    <xf numFmtId="165" fontId="22" fillId="0" borderId="34" xfId="52" applyNumberFormat="1" applyFont="1" applyFill="1" applyBorder="1" applyAlignment="1">
      <alignment/>
    </xf>
    <xf numFmtId="9" fontId="22" fillId="0" borderId="32" xfId="0" applyNumberFormat="1" applyFont="1" applyFill="1" applyBorder="1" applyAlignment="1">
      <alignment/>
    </xf>
    <xf numFmtId="44" fontId="22" fillId="0" borderId="33" xfId="52" applyFont="1" applyFill="1" applyBorder="1" applyAlignment="1">
      <alignment/>
    </xf>
    <xf numFmtId="10" fontId="22" fillId="0" borderId="33" xfId="80" applyNumberFormat="1" applyFont="1" applyFill="1" applyBorder="1" applyAlignment="1">
      <alignment/>
    </xf>
    <xf numFmtId="44" fontId="22" fillId="0" borderId="33" xfId="0" applyNumberFormat="1" applyFont="1" applyFill="1" applyBorder="1" applyAlignment="1">
      <alignment/>
    </xf>
    <xf numFmtId="44" fontId="22" fillId="0" borderId="34" xfId="0" applyNumberFormat="1" applyFont="1" applyFill="1" applyBorder="1" applyAlignment="1">
      <alignment/>
    </xf>
    <xf numFmtId="10" fontId="22" fillId="0" borderId="32" xfId="0" applyNumberFormat="1" applyFont="1" applyFill="1" applyBorder="1" applyAlignment="1">
      <alignment/>
    </xf>
    <xf numFmtId="10" fontId="22" fillId="0" borderId="34" xfId="0" applyNumberFormat="1" applyFont="1" applyFill="1" applyBorder="1" applyAlignment="1">
      <alignment/>
    </xf>
    <xf numFmtId="164" fontId="22" fillId="0" borderId="21" xfId="43" applyNumberFormat="1" applyFont="1" applyFill="1" applyBorder="1" applyAlignment="1">
      <alignment/>
    </xf>
    <xf numFmtId="165" fontId="22" fillId="0" borderId="22" xfId="52" applyNumberFormat="1" applyFont="1" applyFill="1" applyBorder="1" applyAlignment="1">
      <alignment/>
    </xf>
    <xf numFmtId="168" fontId="22" fillId="0" borderId="16" xfId="52" applyNumberFormat="1" applyFont="1" applyFill="1" applyBorder="1" applyAlignment="1">
      <alignment horizontal="left" indent="2"/>
    </xf>
    <xf numFmtId="168" fontId="22" fillId="0" borderId="0" xfId="52" applyNumberFormat="1" applyFont="1" applyFill="1" applyBorder="1" applyAlignment="1">
      <alignment horizontal="left" indent="2"/>
    </xf>
    <xf numFmtId="10" fontId="22" fillId="0" borderId="18" xfId="80" applyNumberFormat="1" applyFont="1" applyFill="1" applyBorder="1" applyAlignment="1">
      <alignment/>
    </xf>
    <xf numFmtId="168" fontId="22" fillId="0" borderId="33" xfId="52" applyNumberFormat="1" applyFont="1" applyFill="1" applyBorder="1" applyAlignment="1">
      <alignment horizontal="left" indent="2"/>
    </xf>
    <xf numFmtId="10" fontId="22" fillId="0" borderId="32" xfId="80" applyNumberFormat="1" applyFont="1" applyFill="1" applyBorder="1" applyAlignment="1">
      <alignment/>
    </xf>
    <xf numFmtId="0" fontId="23" fillId="0" borderId="23" xfId="0" applyFont="1" applyFill="1" applyBorder="1" applyAlignment="1">
      <alignment horizontal="center" wrapText="1"/>
    </xf>
    <xf numFmtId="10" fontId="23" fillId="0" borderId="14" xfId="80" applyNumberFormat="1" applyFont="1" applyFill="1" applyBorder="1" applyAlignment="1">
      <alignment horizontal="center" wrapText="1"/>
    </xf>
    <xf numFmtId="10" fontId="23" fillId="0" borderId="24" xfId="80" applyNumberFormat="1" applyFont="1" applyFill="1" applyBorder="1" applyAlignment="1">
      <alignment horizontal="center" wrapText="1"/>
    </xf>
    <xf numFmtId="0" fontId="22" fillId="0" borderId="25" xfId="0" applyFont="1" applyFill="1" applyBorder="1" applyAlignment="1">
      <alignment/>
    </xf>
    <xf numFmtId="10" fontId="22" fillId="0" borderId="11" xfId="80" applyNumberFormat="1" applyFont="1" applyFill="1" applyBorder="1" applyAlignment="1">
      <alignment/>
    </xf>
    <xf numFmtId="10" fontId="22" fillId="0" borderId="26" xfId="80" applyNumberFormat="1" applyFont="1" applyFill="1" applyBorder="1" applyAlignment="1">
      <alignment/>
    </xf>
    <xf numFmtId="0" fontId="22" fillId="0" borderId="30" xfId="0" applyFont="1" applyFill="1" applyBorder="1" applyAlignment="1">
      <alignment/>
    </xf>
    <xf numFmtId="10" fontId="22" fillId="0" borderId="29" xfId="80" applyNumberFormat="1" applyFont="1" applyFill="1" applyBorder="1" applyAlignment="1">
      <alignment/>
    </xf>
    <xf numFmtId="10" fontId="22" fillId="0" borderId="19" xfId="80" applyNumberFormat="1" applyFont="1" applyFill="1" applyBorder="1" applyAlignment="1">
      <alignment/>
    </xf>
    <xf numFmtId="37" fontId="22" fillId="0" borderId="0" xfId="0" applyNumberFormat="1" applyFont="1" applyFill="1" applyBorder="1" applyAlignment="1">
      <alignment/>
    </xf>
    <xf numFmtId="0" fontId="22" fillId="0" borderId="32" xfId="0" applyFont="1" applyFill="1" applyBorder="1" applyAlignment="1" quotePrefix="1">
      <alignment horizontal="left" indent="1"/>
    </xf>
    <xf numFmtId="37" fontId="22" fillId="0" borderId="33" xfId="0" applyNumberFormat="1" applyFont="1" applyFill="1" applyBorder="1" applyAlignment="1">
      <alignment/>
    </xf>
    <xf numFmtId="10" fontId="22" fillId="0" borderId="34" xfId="80" applyNumberFormat="1" applyFont="1" applyFill="1" applyBorder="1" applyAlignment="1">
      <alignment/>
    </xf>
    <xf numFmtId="10" fontId="22" fillId="0" borderId="0" xfId="0" applyNumberFormat="1" applyFont="1" applyFill="1" applyBorder="1" applyAlignment="1">
      <alignment/>
    </xf>
    <xf numFmtId="10" fontId="22" fillId="0" borderId="33" xfId="0" applyNumberFormat="1" applyFont="1" applyFill="1" applyBorder="1" applyAlignment="1">
      <alignment/>
    </xf>
    <xf numFmtId="0" fontId="22" fillId="0" borderId="27" xfId="0" applyFont="1" applyFill="1" applyBorder="1" applyAlignment="1">
      <alignment/>
    </xf>
    <xf numFmtId="10" fontId="22" fillId="0" borderId="10" xfId="80" applyNumberFormat="1" applyFont="1" applyFill="1" applyBorder="1" applyAlignment="1">
      <alignment/>
    </xf>
    <xf numFmtId="10" fontId="22" fillId="0" borderId="28" xfId="80" applyNumberFormat="1" applyFont="1" applyFill="1" applyBorder="1" applyAlignment="1">
      <alignment/>
    </xf>
    <xf numFmtId="43" fontId="22" fillId="0" borderId="0" xfId="43" applyFont="1" applyAlignment="1" quotePrefix="1">
      <alignment horizontal="left"/>
    </xf>
    <xf numFmtId="10" fontId="22" fillId="0" borderId="0" xfId="43" applyNumberFormat="1" applyFont="1" applyFill="1" applyBorder="1" applyAlignment="1">
      <alignment/>
    </xf>
    <xf numFmtId="0" fontId="22" fillId="0" borderId="0" xfId="0" applyFont="1" applyFill="1" applyBorder="1" applyAlignment="1">
      <alignment horizontal="center" wrapText="1"/>
    </xf>
    <xf numFmtId="165" fontId="26" fillId="0" borderId="0" xfId="52" applyNumberFormat="1" applyFont="1" applyFill="1" applyAlignment="1">
      <alignment/>
    </xf>
    <xf numFmtId="9" fontId="22" fillId="0" borderId="9" xfId="80" applyFont="1" applyFill="1" applyBorder="1" applyAlignment="1">
      <alignment/>
    </xf>
    <xf numFmtId="0" fontId="23" fillId="0" borderId="0" xfId="0" applyFont="1" applyFill="1" applyAlignment="1" quotePrefix="1">
      <alignment horizontal="left" wrapText="1"/>
    </xf>
    <xf numFmtId="0" fontId="22" fillId="0" borderId="0" xfId="0" applyFont="1" applyFill="1" applyBorder="1" applyAlignment="1" quotePrefix="1">
      <alignment horizontal="center" wrapText="1"/>
    </xf>
    <xf numFmtId="43" fontId="22" fillId="0" borderId="0" xfId="43" applyFont="1" applyFill="1" applyBorder="1" applyAlignment="1" quotePrefix="1">
      <alignment horizontal="left"/>
    </xf>
    <xf numFmtId="43" fontId="22" fillId="0" borderId="33" xfId="43" applyFont="1" applyFill="1" applyBorder="1" applyAlignment="1" quotePrefix="1">
      <alignment horizontal="left"/>
    </xf>
    <xf numFmtId="0" fontId="22" fillId="0" borderId="20" xfId="0" applyFont="1" applyFill="1" applyBorder="1" applyAlignment="1">
      <alignment/>
    </xf>
    <xf numFmtId="0" fontId="22" fillId="0" borderId="0" xfId="0" applyFont="1" applyFill="1" applyBorder="1" applyAlignment="1" quotePrefix="1">
      <alignment horizontal="center"/>
    </xf>
    <xf numFmtId="43" fontId="22" fillId="0" borderId="33" xfId="43" applyFont="1" applyFill="1" applyBorder="1" applyAlignment="1">
      <alignment horizontal="center"/>
    </xf>
    <xf numFmtId="0" fontId="22" fillId="0" borderId="21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left" vertical="center" wrapText="1"/>
    </xf>
    <xf numFmtId="8" fontId="0" fillId="0" borderId="39" xfId="0" applyNumberForma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" xfId="0" applyBorder="1" applyAlignment="1" quotePrefix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6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 quotePrefix="1">
      <alignment horizontal="center" vertical="center" wrapText="1"/>
    </xf>
    <xf numFmtId="0" fontId="0" fillId="0" borderId="4" xfId="0" applyFont="1" applyBorder="1" applyAlignment="1" quotePrefix="1">
      <alignment horizontal="center" vertical="center" wrapText="1"/>
    </xf>
    <xf numFmtId="165" fontId="22" fillId="0" borderId="0" xfId="52" applyNumberFormat="1" applyFont="1" applyFill="1" applyAlignment="1">
      <alignment horizontal="left"/>
    </xf>
    <xf numFmtId="0" fontId="23" fillId="0" borderId="0" xfId="0" applyFont="1" applyFill="1" applyAlignment="1" quotePrefix="1">
      <alignment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Fill="1" applyAlignment="1">
      <alignment horizontal="left" vertical="center" wrapText="1"/>
    </xf>
    <xf numFmtId="0" fontId="23" fillId="0" borderId="0" xfId="0" applyFont="1" applyFill="1" applyAlignment="1" quotePrefix="1">
      <alignment horizontal="left" vertical="center"/>
    </xf>
    <xf numFmtId="0" fontId="22" fillId="0" borderId="20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left"/>
    </xf>
    <xf numFmtId="0" fontId="22" fillId="0" borderId="21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23" fillId="0" borderId="0" xfId="0" applyFont="1" applyFill="1" applyAlignment="1" quotePrefix="1">
      <alignment horizontal="center" vertical="center" wrapText="1"/>
    </xf>
    <xf numFmtId="0" fontId="23" fillId="0" borderId="0" xfId="0" applyFont="1" applyFill="1" applyAlignment="1" quotePrefix="1">
      <alignment horizontal="left" vertical="center" wrapText="1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Alignment="1">
      <alignment horizontal="center" vertical="center" wrapText="1"/>
    </xf>
    <xf numFmtId="0" fontId="22" fillId="0" borderId="21" xfId="0" applyFont="1" applyFill="1" applyBorder="1" applyAlignment="1" quotePrefix="1">
      <alignment horizontal="left"/>
    </xf>
    <xf numFmtId="0" fontId="22" fillId="0" borderId="20" xfId="0" applyFont="1" applyFill="1" applyBorder="1" applyAlignment="1" quotePrefix="1">
      <alignment horizontal="center"/>
    </xf>
    <xf numFmtId="0" fontId="22" fillId="0" borderId="21" xfId="0" applyFont="1" applyFill="1" applyBorder="1" applyAlignment="1" quotePrefix="1">
      <alignment horizontal="center"/>
    </xf>
    <xf numFmtId="0" fontId="22" fillId="0" borderId="22" xfId="0" applyFont="1" applyFill="1" applyBorder="1" applyAlignment="1" quotePrefix="1">
      <alignment horizont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heckCell" xfId="42"/>
    <cellStyle name="Comma" xfId="43"/>
    <cellStyle name="Comma [0]" xfId="44"/>
    <cellStyle name="Comma0" xfId="45"/>
    <cellStyle name="Comma0 - Style2" xfId="46"/>
    <cellStyle name="Comma0 - Style5" xfId="47"/>
    <cellStyle name="Comma0_00COS Ind Allocators" xfId="48"/>
    <cellStyle name="Comma1 - Style1" xfId="49"/>
    <cellStyle name="Curren - Style2" xfId="50"/>
    <cellStyle name="Curren - Style6" xfId="51"/>
    <cellStyle name="Currency" xfId="52"/>
    <cellStyle name="Currency [0]" xfId="53"/>
    <cellStyle name="Currency0" xfId="54"/>
    <cellStyle name="Date" xfId="55"/>
    <cellStyle name="Explanatory Text" xfId="56"/>
    <cellStyle name="Fixed" xfId="57"/>
    <cellStyle name="Followed Hyperlink" xfId="58"/>
    <cellStyle name="Good" xfId="59"/>
    <cellStyle name="Grey" xfId="60"/>
    <cellStyle name="Heading 1" xfId="61"/>
    <cellStyle name="Heading 2" xfId="62"/>
    <cellStyle name="Heading 3" xfId="63"/>
    <cellStyle name="Heading 4" xfId="64"/>
    <cellStyle name="Heading1" xfId="65"/>
    <cellStyle name="Heading2" xfId="66"/>
    <cellStyle name="Hyperlink" xfId="67"/>
    <cellStyle name="Input" xfId="68"/>
    <cellStyle name="Input [yellow]" xfId="69"/>
    <cellStyle name="Input Cells" xfId="70"/>
    <cellStyle name="Input Cells Percent" xfId="71"/>
    <cellStyle name="LINKED" xfId="72"/>
    <cellStyle name="Linked Cell" xfId="73"/>
    <cellStyle name="Neutral" xfId="74"/>
    <cellStyle name="Normal - Style1" xfId="75"/>
    <cellStyle name="Note" xfId="76"/>
    <cellStyle name="Output" xfId="77"/>
    <cellStyle name="Percen - Style1" xfId="78"/>
    <cellStyle name="Percen - Style3" xfId="79"/>
    <cellStyle name="Percent" xfId="80"/>
    <cellStyle name="Percent [2]" xfId="81"/>
    <cellStyle name="Processing" xfId="82"/>
    <cellStyle name="purple - Style8" xfId="83"/>
    <cellStyle name="RED" xfId="84"/>
    <cellStyle name="Red - Style7" xfId="85"/>
    <cellStyle name="Report" xfId="86"/>
    <cellStyle name="Report Bar" xfId="87"/>
    <cellStyle name="Report Heading" xfId="88"/>
    <cellStyle name="Report Percent" xfId="89"/>
    <cellStyle name="Report Unit Cost" xfId="90"/>
    <cellStyle name="Reports Total" xfId="91"/>
    <cellStyle name="Reports Unit Cost Total" xfId="92"/>
    <cellStyle name="StmtTtl1" xfId="93"/>
    <cellStyle name="StmtTtl2" xfId="94"/>
    <cellStyle name="Style 1" xfId="95"/>
    <cellStyle name="Sub-total" xfId="96"/>
    <cellStyle name="Title" xfId="97"/>
    <cellStyle name="Title: Major" xfId="98"/>
    <cellStyle name="Title: Minor" xfId="99"/>
    <cellStyle name="Title: Worksheet" xfId="100"/>
    <cellStyle name="Total" xfId="101"/>
    <cellStyle name="Total4 - Style4" xfId="102"/>
    <cellStyle name="Warning Tex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externalLink" Target="externalLinks/externalLink1.xml" /><Relationship Id="rId48" Type="http://schemas.openxmlformats.org/officeDocument/2006/relationships/externalLink" Target="externalLinks/externalLink2.xml" /><Relationship Id="rId49" Type="http://schemas.openxmlformats.org/officeDocument/2006/relationships/externalLink" Target="externalLinks/externalLink3.xml" /><Relationship Id="rId50" Type="http://schemas.openxmlformats.org/officeDocument/2006/relationships/externalLink" Target="externalLinks/externalLink4.xml" /><Relationship Id="rId51" Type="http://schemas.openxmlformats.org/officeDocument/2006/relationships/externalLink" Target="externalLinks/externalLink5.xml" /><Relationship Id="rId5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boljh\Local%20Settings\MSN%20Rate%20v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NT\Temporary%20Internet%20Files\OLK93\FCR%20for%20PSE%20S40%20V0%20%20HM%20edi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GrpRates\Public\RASANEN\#2005%20GRC\Update%206-30-06\COS%20Update%207-7-06\ECOS%20Model%20-%20UPDATE%20(JAH-5)%207-7-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GrpRates\Public\RASANEN\#2005%20GRC\COS%20Inputs\COS%20Model\ECOS%20Model%20-%20FINAL%20COMPAN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GrpRates\Public\RASANEN\#2008%20GRC\Proposed%20Revenue\Sch%2040\Sch%2040%20Prod%20&amp;%20Tran%20Rate%20Calc%20Examp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3">
        <row r="20">
          <cell r="B20">
            <v>0.1312</v>
          </cell>
        </row>
        <row r="21">
          <cell r="B21">
            <v>0.038234</v>
          </cell>
        </row>
        <row r="54">
          <cell r="E54">
            <v>0.23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2">
        <row r="10">
          <cell r="G10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1">
        <row r="8">
          <cell r="C8">
            <v>2</v>
          </cell>
        </row>
        <row r="24">
          <cell r="F24">
            <v>0.0876</v>
          </cell>
        </row>
        <row r="39">
          <cell r="F39">
            <v>0.6207334</v>
          </cell>
        </row>
        <row r="40">
          <cell r="F40">
            <v>0.6207334</v>
          </cell>
        </row>
        <row r="41">
          <cell r="F41">
            <v>0.6207334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1">
        <row r="8">
          <cell r="C8">
            <v>2</v>
          </cell>
        </row>
        <row r="24">
          <cell r="F24">
            <v>0.0876</v>
          </cell>
        </row>
        <row r="25">
          <cell r="F25">
            <v>0.03408125</v>
          </cell>
        </row>
        <row r="39">
          <cell r="F39">
            <v>0.6207334</v>
          </cell>
        </row>
        <row r="40">
          <cell r="F40">
            <v>0.6207334</v>
          </cell>
        </row>
        <row r="41">
          <cell r="F41">
            <v>0.6207334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od &amp; Trans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comments" Target="../comments33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comments" Target="../comments3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comments" Target="../comments3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comments" Target="../comments3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9"/>
  <sheetViews>
    <sheetView tabSelected="1" zoomScale="87" zoomScaleNormal="87" zoomScalePageLayoutView="0" workbookViewId="0" topLeftCell="A1">
      <selection activeCell="D3" sqref="D3"/>
    </sheetView>
  </sheetViews>
  <sheetFormatPr defaultColWidth="8.8515625" defaultRowHeight="12.75"/>
  <cols>
    <col min="1" max="1" width="30.28125" style="2" customWidth="1"/>
    <col min="2" max="2" width="8.7109375" style="2" customWidth="1"/>
    <col min="3" max="3" width="15.28125" style="2" bestFit="1" customWidth="1"/>
    <col min="4" max="4" width="18.8515625" style="2" bestFit="1" customWidth="1"/>
    <col min="5" max="5" width="15.8515625" style="2" bestFit="1" customWidth="1"/>
    <col min="6" max="6" width="14.140625" style="2" customWidth="1"/>
    <col min="7" max="7" width="11.28125" style="2" customWidth="1"/>
    <col min="8" max="8" width="8.8515625" style="2" customWidth="1"/>
    <col min="9" max="9" width="13.8515625" style="2" bestFit="1" customWidth="1"/>
    <col min="10" max="10" width="15.00390625" style="2" bestFit="1" customWidth="1"/>
    <col min="11" max="11" width="12.140625" style="2" customWidth="1"/>
    <col min="12" max="12" width="15.140625" style="2" customWidth="1"/>
    <col min="13" max="14" width="13.00390625" style="2" customWidth="1"/>
    <col min="15" max="15" width="3.00390625" style="2" customWidth="1"/>
    <col min="16" max="20" width="8.8515625" style="2" customWidth="1"/>
    <col min="21" max="21" width="9.140625" style="2" customWidth="1"/>
    <col min="22" max="16384" width="8.8515625" style="2" customWidth="1"/>
  </cols>
  <sheetData>
    <row r="1" ht="12.75">
      <c r="A1" s="263"/>
    </row>
    <row r="2" spans="1:15" ht="12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.75">
      <c r="A5" s="10" t="s">
        <v>482</v>
      </c>
      <c r="B5" s="1"/>
      <c r="C5" s="1"/>
      <c r="D5" s="376">
        <v>165100000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>
      <c r="A6" s="10" t="s">
        <v>481</v>
      </c>
      <c r="B6" s="1"/>
      <c r="C6" s="1"/>
      <c r="D6" s="376">
        <v>130000000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s="5" customFormat="1" ht="76.5">
      <c r="A8" s="3" t="s">
        <v>3</v>
      </c>
      <c r="B8" s="3" t="s">
        <v>4</v>
      </c>
      <c r="C8" s="3" t="s">
        <v>5</v>
      </c>
      <c r="D8" s="4" t="s">
        <v>6</v>
      </c>
      <c r="E8" s="4" t="s">
        <v>483</v>
      </c>
      <c r="F8" s="3" t="s">
        <v>474</v>
      </c>
      <c r="G8" s="3" t="s">
        <v>480</v>
      </c>
      <c r="H8" s="4" t="s">
        <v>8</v>
      </c>
      <c r="I8" s="4" t="s">
        <v>9</v>
      </c>
      <c r="J8" s="4" t="s">
        <v>10</v>
      </c>
      <c r="K8" s="348" t="s">
        <v>475</v>
      </c>
      <c r="L8" s="348" t="s">
        <v>469</v>
      </c>
      <c r="M8" s="4" t="s">
        <v>473</v>
      </c>
      <c r="N8" s="4" t="s">
        <v>472</v>
      </c>
      <c r="O8" s="352"/>
    </row>
    <row r="9" spans="1:14" s="8" customFormat="1" ht="25.5">
      <c r="A9" s="6"/>
      <c r="B9" s="7"/>
      <c r="C9" s="7" t="s">
        <v>11</v>
      </c>
      <c r="D9" s="7" t="s">
        <v>12</v>
      </c>
      <c r="E9" s="8" t="s">
        <v>13</v>
      </c>
      <c r="F9" s="7" t="s">
        <v>14</v>
      </c>
      <c r="G9" s="8" t="s">
        <v>15</v>
      </c>
      <c r="H9" s="8" t="s">
        <v>16</v>
      </c>
      <c r="I9" s="9" t="s">
        <v>17</v>
      </c>
      <c r="J9" s="9" t="s">
        <v>18</v>
      </c>
      <c r="K9" s="8" t="s">
        <v>477</v>
      </c>
      <c r="L9" s="8" t="s">
        <v>478</v>
      </c>
      <c r="M9" s="8" t="s">
        <v>476</v>
      </c>
      <c r="N9" s="8" t="s">
        <v>479</v>
      </c>
    </row>
    <row r="10" spans="1:6" s="8" customFormat="1" ht="12.75">
      <c r="A10" s="6"/>
      <c r="B10" s="7"/>
      <c r="C10" s="7"/>
      <c r="D10" s="7"/>
      <c r="F10" s="7"/>
    </row>
    <row r="11" spans="1:15" ht="12.75">
      <c r="A11" s="10" t="s">
        <v>19</v>
      </c>
      <c r="B11" s="11">
        <v>7</v>
      </c>
      <c r="C11" s="12">
        <f>+'Summary Proforma Proposed'!C8</f>
        <v>10688799626.4513</v>
      </c>
      <c r="D11" s="13">
        <f>+'Summary Proforma Proposed'!D8</f>
        <v>984090382.6754009</v>
      </c>
      <c r="F11" s="347">
        <f>D11/(D$34-D$24)</f>
        <v>0.547010975400445</v>
      </c>
      <c r="G11" s="15">
        <v>1</v>
      </c>
      <c r="H11" s="16">
        <f>+$H$38*$H$39*G11</f>
        <v>0.10349538028669164</v>
      </c>
      <c r="I11" s="13">
        <f>+D11*H11</f>
        <v>101848808.39146651</v>
      </c>
      <c r="J11" s="13">
        <f>+D11+I11</f>
        <v>1085939191.0668674</v>
      </c>
      <c r="K11" s="20">
        <f>J11/$J$35</f>
        <v>0.5557725735975949</v>
      </c>
      <c r="L11" s="17">
        <f>+K11*$E$43</f>
        <v>1066431573.7335918</v>
      </c>
      <c r="M11" s="17">
        <f>+L11-D11</f>
        <v>82341191.05819094</v>
      </c>
      <c r="N11" s="14">
        <f>+M11/D11</f>
        <v>0.08367238671140527</v>
      </c>
      <c r="O11" s="14"/>
    </row>
    <row r="12" spans="2:15" ht="12.75">
      <c r="B12" s="11"/>
      <c r="C12" s="19"/>
      <c r="D12" s="17"/>
      <c r="F12" s="20"/>
      <c r="I12" s="17"/>
      <c r="J12" s="17"/>
      <c r="K12" s="17"/>
      <c r="L12" s="17"/>
      <c r="M12" s="17"/>
      <c r="N12" s="17"/>
      <c r="O12" s="17"/>
    </row>
    <row r="13" spans="1:15" ht="12.75">
      <c r="A13" s="2" t="s">
        <v>20</v>
      </c>
      <c r="B13" s="11"/>
      <c r="C13" s="19"/>
      <c r="D13" s="17"/>
      <c r="F13" s="20"/>
      <c r="I13" s="17"/>
      <c r="J13" s="17"/>
      <c r="K13" s="17"/>
      <c r="L13" s="17"/>
      <c r="M13" s="17"/>
      <c r="N13" s="17"/>
      <c r="O13" s="17"/>
    </row>
    <row r="14" spans="1:15" ht="12.75">
      <c r="A14" s="22" t="s">
        <v>21</v>
      </c>
      <c r="B14" s="11">
        <v>24</v>
      </c>
      <c r="C14" s="23">
        <f>+'Summary Proforma Proposed'!C12</f>
        <v>2617272033.8314</v>
      </c>
      <c r="D14" s="17">
        <f>+'Summary Proforma Proposed'!D12</f>
        <v>225492779.55570355</v>
      </c>
      <c r="F14" s="347">
        <f>D14/(D$34-D$24)</f>
        <v>0.12534115510323868</v>
      </c>
      <c r="G14" s="15">
        <v>1</v>
      </c>
      <c r="H14" s="16">
        <f>+$H$38*$H$39*G14</f>
        <v>0.10349538028669164</v>
      </c>
      <c r="I14" s="17">
        <f>+D14*H14</f>
        <v>23337460.972020663</v>
      </c>
      <c r="J14" s="17">
        <f>+D14+I14</f>
        <v>248830240.5277242</v>
      </c>
      <c r="K14" s="20">
        <f>J14/$J$35</f>
        <v>0.12734877266114467</v>
      </c>
      <c r="L14" s="17">
        <f>+K14*$E$43</f>
        <v>244360298.607318</v>
      </c>
      <c r="M14" s="17">
        <f>+L14-D14</f>
        <v>18867519.051614463</v>
      </c>
      <c r="N14" s="14">
        <f>+M14/D14</f>
        <v>0.08367238671140516</v>
      </c>
      <c r="O14" s="14"/>
    </row>
    <row r="15" spans="1:15" ht="12.75">
      <c r="A15" s="22" t="s">
        <v>22</v>
      </c>
      <c r="B15" s="11" t="s">
        <v>23</v>
      </c>
      <c r="C15" s="23">
        <f>SUM('Summary Proforma Proposed'!C13,'Summary Proforma Proposed'!C15)</f>
        <v>3074814765.24367</v>
      </c>
      <c r="D15" s="17">
        <f>SUM('Summary Proforma Proposed'!D13,'Summary Proforma Proposed'!D15)</f>
        <v>260900473.45207682</v>
      </c>
      <c r="F15" s="347">
        <f>D15/(D$34-D$24)</f>
        <v>0.14502267777220285</v>
      </c>
      <c r="G15" s="15">
        <v>0.5</v>
      </c>
      <c r="H15" s="16">
        <f>+$H$38*$H$39*G15</f>
        <v>0.05174769014334582</v>
      </c>
      <c r="I15" s="17">
        <f>+D15*H15</f>
        <v>13500996.858450294</v>
      </c>
      <c r="J15" s="17">
        <f>+D15+I15</f>
        <v>274401470.3105271</v>
      </c>
      <c r="K15" s="20">
        <f>J15/$J$35</f>
        <v>0.1404358665825655</v>
      </c>
      <c r="L15" s="17">
        <f>+K15*$E$43</f>
        <v>269472171.39347905</v>
      </c>
      <c r="M15" s="17">
        <f>+L15-D15</f>
        <v>8571697.941402227</v>
      </c>
      <c r="N15" s="14">
        <f>+M15/D15</f>
        <v>0.03285428281515445</v>
      </c>
      <c r="O15" s="14"/>
    </row>
    <row r="16" spans="1:15" ht="12.75">
      <c r="A16" s="22" t="s">
        <v>24</v>
      </c>
      <c r="B16" s="11">
        <v>26</v>
      </c>
      <c r="C16" s="23">
        <f>+'Summary Proforma Proposed'!C14</f>
        <v>2097575464.5002759</v>
      </c>
      <c r="D16" s="17">
        <f>+'Summary Proforma Proposed'!D14</f>
        <v>159068092.2753655</v>
      </c>
      <c r="F16" s="347">
        <f>D16/(D$34-D$24)</f>
        <v>0.08841869999184446</v>
      </c>
      <c r="G16" s="15">
        <v>0.5</v>
      </c>
      <c r="H16" s="16">
        <f>+$H$38*$H$39*G16</f>
        <v>0.05174769014334582</v>
      </c>
      <c r="I16" s="17">
        <f>+D16*H16</f>
        <v>8231406.350758755</v>
      </c>
      <c r="J16" s="17">
        <f>+D16+I16</f>
        <v>167299498.62612426</v>
      </c>
      <c r="K16" s="20">
        <f>J16/$J$35</f>
        <v>0.08562217265745872</v>
      </c>
      <c r="L16" s="17">
        <f>+K16*$E$43</f>
        <v>164294160.36584747</v>
      </c>
      <c r="M16" s="17">
        <f>+L16-D16</f>
        <v>5226068.090481967</v>
      </c>
      <c r="N16" s="14">
        <f>+M16/D16</f>
        <v>0.032854282815154595</v>
      </c>
      <c r="O16" s="14"/>
    </row>
    <row r="17" spans="1:15" ht="12.75">
      <c r="A17" s="24" t="s">
        <v>25</v>
      </c>
      <c r="B17" s="11"/>
      <c r="C17" s="25">
        <f>SUM(C14:C16)</f>
        <v>7789662263.575345</v>
      </c>
      <c r="D17" s="13">
        <f>SUM(D14:D16)</f>
        <v>645461345.2831459</v>
      </c>
      <c r="F17" s="20"/>
      <c r="I17" s="13">
        <f>SUM(I14:I16)</f>
        <v>45069864.18122971</v>
      </c>
      <c r="J17" s="13">
        <f>SUM(J14:J16)</f>
        <v>690531209.4643755</v>
      </c>
      <c r="K17" s="20">
        <f>J17/$J$35</f>
        <v>0.35340681190116885</v>
      </c>
      <c r="L17" s="17">
        <f>+K17*$E$43</f>
        <v>678126630.3666445</v>
      </c>
      <c r="M17" s="17">
        <f>+L17-D17</f>
        <v>32665285.083498597</v>
      </c>
      <c r="N17" s="17"/>
      <c r="O17" s="17"/>
    </row>
    <row r="18" spans="2:15" ht="12.75">
      <c r="B18" s="11"/>
      <c r="C18" s="26"/>
      <c r="D18" s="17"/>
      <c r="F18" s="20"/>
      <c r="I18" s="17"/>
      <c r="J18" s="17"/>
      <c r="K18" s="17"/>
      <c r="L18" s="17"/>
      <c r="M18" s="17"/>
      <c r="N18" s="17"/>
      <c r="O18" s="17"/>
    </row>
    <row r="19" spans="1:15" ht="12.75">
      <c r="A19" s="2" t="s">
        <v>26</v>
      </c>
      <c r="B19" s="11"/>
      <c r="C19" s="26"/>
      <c r="D19" s="17"/>
      <c r="F19" s="20"/>
      <c r="I19" s="17"/>
      <c r="J19" s="17"/>
      <c r="K19" s="17"/>
      <c r="L19" s="17"/>
      <c r="M19" s="17"/>
      <c r="N19" s="17"/>
      <c r="O19" s="17"/>
    </row>
    <row r="20" spans="1:15" ht="12.75">
      <c r="A20" s="22" t="s">
        <v>27</v>
      </c>
      <c r="B20" s="11" t="s">
        <v>28</v>
      </c>
      <c r="C20" s="23">
        <f>SUM('Summary Proforma Proposed'!C19:C20)</f>
        <v>1375418238.026316</v>
      </c>
      <c r="D20" s="17">
        <f>SUM('Summary Proforma Proposed'!D19:D20)</f>
        <v>99475260.27929789</v>
      </c>
      <c r="F20" s="347">
        <f>D20/(D$34-D$24)</f>
        <v>0.0552937617433664</v>
      </c>
      <c r="G20" s="15">
        <v>1</v>
      </c>
      <c r="H20" s="16">
        <f>+$H$38*$H$39*G20</f>
        <v>0.10349538028669164</v>
      </c>
      <c r="I20" s="17">
        <f>+D20*H20</f>
        <v>10295229.891723566</v>
      </c>
      <c r="J20" s="17">
        <f>+D20+I20</f>
        <v>109770490.17102146</v>
      </c>
      <c r="K20" s="20">
        <f>J20/$J$35</f>
        <v>0.0561794143993294</v>
      </c>
      <c r="L20" s="17">
        <f>+K20*$E$43</f>
        <v>107798592.725605</v>
      </c>
      <c r="M20" s="17">
        <f>+L20-D20</f>
        <v>8323332.446307108</v>
      </c>
      <c r="N20" s="14">
        <f>+M20/D20</f>
        <v>0.0836723867114053</v>
      </c>
      <c r="O20" s="14"/>
    </row>
    <row r="21" spans="1:15" ht="12.75">
      <c r="A21" s="27" t="s">
        <v>29</v>
      </c>
      <c r="B21" s="11">
        <v>43</v>
      </c>
      <c r="C21" s="23">
        <f>+'Summary Proforma Proposed'!C21</f>
        <v>166310246.19</v>
      </c>
      <c r="D21" s="17">
        <f>+'Summary Proforma Proposed'!D21</f>
        <v>12849515.74653046</v>
      </c>
      <c r="F21" s="347">
        <f>D21/(D$34-D$24)</f>
        <v>0.007142459946437095</v>
      </c>
      <c r="G21" s="15">
        <v>1</v>
      </c>
      <c r="H21" s="16">
        <f>+$H$38*$H$39*G21</f>
        <v>0.10349538028669164</v>
      </c>
      <c r="I21" s="17">
        <f>+D21*H21</f>
        <v>1329865.5186870024</v>
      </c>
      <c r="J21" s="17">
        <f>+D21+I21</f>
        <v>14179381.265217463</v>
      </c>
      <c r="K21" s="20">
        <f>J21/$J$35</f>
        <v>0.007256862338718359</v>
      </c>
      <c r="L21" s="17">
        <f>+K21*$E$43</f>
        <v>13924665.397128448</v>
      </c>
      <c r="M21" s="17">
        <f>+L21-D21</f>
        <v>1075149.6505979877</v>
      </c>
      <c r="N21" s="14">
        <f>+M21/D21</f>
        <v>0.08367238671140524</v>
      </c>
      <c r="O21" s="14"/>
    </row>
    <row r="22" spans="1:15" ht="12.75">
      <c r="A22" s="10" t="s">
        <v>30</v>
      </c>
      <c r="B22" s="11"/>
      <c r="C22" s="25">
        <f>SUM(C20:C21)</f>
        <v>1541728484.216316</v>
      </c>
      <c r="D22" s="13">
        <f>SUM(D20:D21)</f>
        <v>112324776.02582835</v>
      </c>
      <c r="F22" s="20"/>
      <c r="I22" s="13">
        <f>SUM(I20:I21)</f>
        <v>11625095.410410568</v>
      </c>
      <c r="J22" s="13">
        <f>SUM(J20:J21)</f>
        <v>123949871.43623893</v>
      </c>
      <c r="K22" s="20">
        <f>J22/$J$35</f>
        <v>0.06343627673804776</v>
      </c>
      <c r="L22" s="17">
        <f>+K22*$E$43</f>
        <v>121723258.12273344</v>
      </c>
      <c r="M22" s="17">
        <f>+L22-D22</f>
        <v>9398482.096905097</v>
      </c>
      <c r="N22" s="14">
        <f>+M22/D22</f>
        <v>0.08367238671140531</v>
      </c>
      <c r="O22" s="14"/>
    </row>
    <row r="23" spans="2:6" ht="12.75">
      <c r="B23" s="11"/>
      <c r="C23" s="28"/>
      <c r="D23" s="29"/>
      <c r="F23" s="30"/>
    </row>
    <row r="24" spans="1:23" ht="12.75">
      <c r="A24" s="10" t="s">
        <v>31</v>
      </c>
      <c r="B24" s="11">
        <v>40</v>
      </c>
      <c r="C24" s="31">
        <f>+'Summary Proforma Proposed'!C24</f>
        <v>616521098.9719381</v>
      </c>
      <c r="D24" s="13">
        <f>+'Summary Proforma Proposed'!D24</f>
        <v>38977060.8036143</v>
      </c>
      <c r="F24" s="20"/>
      <c r="H24" s="16">
        <f>(I24/D24)</f>
        <v>0.03945603928820569</v>
      </c>
      <c r="I24" s="32">
        <v>1537880.442406188</v>
      </c>
      <c r="J24" s="13">
        <f>+D24+I24</f>
        <v>40514941.24602049</v>
      </c>
      <c r="K24" s="17"/>
      <c r="L24" s="17">
        <f>+J24</f>
        <v>40514941.24602049</v>
      </c>
      <c r="M24" s="17">
        <f>+I24</f>
        <v>1537880.442406188</v>
      </c>
      <c r="N24" s="14">
        <f>+M24/D24</f>
        <v>0.03945603928820569</v>
      </c>
      <c r="O24" s="14" t="s">
        <v>486</v>
      </c>
      <c r="P24" s="2" t="s">
        <v>485</v>
      </c>
      <c r="V24" s="2">
        <f>'Sch 40 Prod &amp; Trans Charges'!D20</f>
        <v>0</v>
      </c>
      <c r="W24" s="2" t="s">
        <v>484</v>
      </c>
    </row>
    <row r="25" spans="2:6" ht="12.75">
      <c r="B25" s="11"/>
      <c r="C25" s="28"/>
      <c r="D25" s="29"/>
      <c r="F25" s="30"/>
    </row>
    <row r="26" spans="1:15" ht="12.75">
      <c r="A26" s="24" t="s">
        <v>32</v>
      </c>
      <c r="B26" s="11" t="s">
        <v>33</v>
      </c>
      <c r="C26" s="31">
        <f>+'Summary Proforma Proposed'!C29</f>
        <v>559457418</v>
      </c>
      <c r="D26" s="13">
        <f>+'Summary Proforma Proposed'!D29</f>
        <v>31895957.965524245</v>
      </c>
      <c r="F26" s="347">
        <f>D26/(D$34-D$24)</f>
        <v>0.01772950877806515</v>
      </c>
      <c r="G26" s="15">
        <v>1</v>
      </c>
      <c r="H26" s="16">
        <f>+$H$38*$H$39*G26</f>
        <v>0.10349538028669164</v>
      </c>
      <c r="I26" s="13">
        <f>+D26*H26</f>
        <v>3301084.2992502633</v>
      </c>
      <c r="J26" s="13">
        <f>+D26+I26</f>
        <v>35197042.26477451</v>
      </c>
      <c r="K26" s="20">
        <f>J26/$J$35</f>
        <v>0.01801348631989149</v>
      </c>
      <c r="L26" s="17">
        <f>+K26*$E$43</f>
        <v>34564768.894946314</v>
      </c>
      <c r="M26" s="17">
        <f>+L26-D26</f>
        <v>2668810.9294220693</v>
      </c>
      <c r="N26" s="14">
        <f>+M26/D26</f>
        <v>0.08367238671140519</v>
      </c>
      <c r="O26" s="14"/>
    </row>
    <row r="27" spans="2:15" ht="12.75">
      <c r="B27" s="11"/>
      <c r="C27" s="28"/>
      <c r="D27" s="29"/>
      <c r="F27" s="30"/>
      <c r="I27" s="33"/>
      <c r="J27" s="33"/>
      <c r="K27" s="33"/>
      <c r="L27" s="33"/>
      <c r="M27" s="33"/>
      <c r="N27" s="33"/>
      <c r="O27" s="33"/>
    </row>
    <row r="28" spans="1:15" ht="12.75">
      <c r="A28" s="24" t="s">
        <v>34</v>
      </c>
      <c r="B28" s="11">
        <v>449</v>
      </c>
      <c r="C28" s="31">
        <f>SUM('Summary Proforma Proposed'!C42)</f>
        <v>2114957127</v>
      </c>
      <c r="D28" s="13">
        <f>SUM('Summary Proforma Proposed'!D42)</f>
        <v>8667087.28415802</v>
      </c>
      <c r="F28" s="347">
        <f>D28/(D$34-D$24)</f>
        <v>0.004817638656623142</v>
      </c>
      <c r="G28" s="15">
        <v>0</v>
      </c>
      <c r="H28" s="16">
        <f>+$H$38*$H$39*G28</f>
        <v>0</v>
      </c>
      <c r="I28" s="13">
        <f>+D28*H28</f>
        <v>0</v>
      </c>
      <c r="J28" s="13">
        <f>+D28+I28</f>
        <v>8667087.28415802</v>
      </c>
      <c r="K28" s="17"/>
      <c r="L28" s="17">
        <f>+J28</f>
        <v>8667087.28415802</v>
      </c>
      <c r="M28" s="17">
        <f>+I28</f>
        <v>0</v>
      </c>
      <c r="N28" s="14">
        <f>+M28/D28</f>
        <v>0</v>
      </c>
      <c r="O28" s="14"/>
    </row>
    <row r="29" spans="2:9" ht="12.75">
      <c r="B29" s="11"/>
      <c r="C29" s="28"/>
      <c r="D29" s="29"/>
      <c r="F29" s="30"/>
      <c r="I29" s="33"/>
    </row>
    <row r="30" spans="1:15" ht="12.75">
      <c r="A30" s="2" t="s">
        <v>35</v>
      </c>
      <c r="B30" s="11" t="s">
        <v>36</v>
      </c>
      <c r="C30" s="31">
        <f>+'Summary Proforma Proposed'!C31</f>
        <v>79343267.5189</v>
      </c>
      <c r="D30" s="13">
        <f>+'Summary Proforma Proposed'!D31</f>
        <v>15450313.556139601</v>
      </c>
      <c r="F30" s="347">
        <f>D30/(D$34-D$24)</f>
        <v>0.008588124868784882</v>
      </c>
      <c r="G30" s="15">
        <v>1</v>
      </c>
      <c r="H30" s="16">
        <f>+$H$38*$H$39*G30</f>
        <v>0.10349538028669164</v>
      </c>
      <c r="I30" s="13">
        <f>+D30*H30</f>
        <v>1599036.0770412951</v>
      </c>
      <c r="J30" s="13">
        <f>+D30+I30</f>
        <v>17049349.633180898</v>
      </c>
      <c r="K30" s="20">
        <f>J30/$J$35</f>
        <v>0.008725682802265393</v>
      </c>
      <c r="L30" s="17">
        <f>+K30*$E$43</f>
        <v>16743078.166821381</v>
      </c>
      <c r="M30" s="17">
        <f>+L30-D30</f>
        <v>1292764.6106817797</v>
      </c>
      <c r="N30" s="14">
        <f>+M30/D30</f>
        <v>0.08367238671140526</v>
      </c>
      <c r="O30" s="14"/>
    </row>
    <row r="31" spans="2:15" ht="12.75">
      <c r="B31" s="11"/>
      <c r="C31" s="28"/>
      <c r="D31" s="29"/>
      <c r="F31" s="30"/>
      <c r="I31" s="33"/>
      <c r="J31" s="33"/>
      <c r="K31" s="33"/>
      <c r="L31" s="33"/>
      <c r="M31" s="33"/>
      <c r="N31" s="33"/>
      <c r="O31" s="33"/>
    </row>
    <row r="32" spans="1:15" ht="12.75">
      <c r="A32" s="2" t="s">
        <v>37</v>
      </c>
      <c r="B32" s="34" t="s">
        <v>38</v>
      </c>
      <c r="C32" s="31">
        <f>+'Summary Proforma Proposed'!C37</f>
        <v>155516511</v>
      </c>
      <c r="D32" s="13">
        <f>+'Summary Proforma Proposed'!D37</f>
        <v>1142381.40744</v>
      </c>
      <c r="F32" s="347">
        <f>D32/(D$34-D$24)</f>
        <v>0.000634997738992443</v>
      </c>
      <c r="G32" s="15">
        <v>1</v>
      </c>
      <c r="H32" s="16">
        <f>+$H$38*$H$39*G32</f>
        <v>0.10349538028669164</v>
      </c>
      <c r="I32" s="17">
        <f>+D32*H32</f>
        <v>118231.19819544883</v>
      </c>
      <c r="J32" s="13">
        <f>+D32+I32</f>
        <v>1260612.6056354488</v>
      </c>
      <c r="K32" s="20">
        <f>J32/$J$35</f>
        <v>0.0006451686410316161</v>
      </c>
      <c r="L32" s="17">
        <f>+K32*$E$43</f>
        <v>1237967.186335239</v>
      </c>
      <c r="M32" s="17">
        <f>+L32-D32</f>
        <v>95585.77889523911</v>
      </c>
      <c r="N32" s="14">
        <f>+M32/D32</f>
        <v>0.08367238671140528</v>
      </c>
      <c r="O32" s="14"/>
    </row>
    <row r="33" spans="2:6" ht="12.75">
      <c r="B33" s="11"/>
      <c r="C33" s="18"/>
      <c r="D33" s="29"/>
      <c r="F33" s="29"/>
    </row>
    <row r="34" spans="1:15" ht="13.5" thickBot="1">
      <c r="A34" s="2" t="s">
        <v>39</v>
      </c>
      <c r="B34" s="11"/>
      <c r="C34" s="35">
        <f>SUM(C32,C30,C28,C24,C26,C22,C17,C11)</f>
        <v>23545985796.7338</v>
      </c>
      <c r="D34" s="36">
        <f>SUM(D32,D30,D28,D24,D26,D22,D17,D11)</f>
        <v>1838009305.0012512</v>
      </c>
      <c r="E34" s="37">
        <f>+D5</f>
        <v>165100000</v>
      </c>
      <c r="F34" s="38">
        <f>SUM(F11:F32)</f>
        <v>1</v>
      </c>
      <c r="G34" s="36"/>
      <c r="H34" s="38">
        <f>+E34/D34</f>
        <v>0.08982544296743243</v>
      </c>
      <c r="I34" s="36">
        <f>SUM(I32,I30,I28,I24,I26,I22,I17,I11)</f>
        <v>165100000</v>
      </c>
      <c r="J34" s="36">
        <f>SUM(J32,J30,J28,J24,J26,J22,J17,J11)</f>
        <v>2003109305.0012512</v>
      </c>
      <c r="K34" s="350">
        <f>SUM(K32,K30,K28,K24,K26,K22,K17,K11)</f>
        <v>1</v>
      </c>
      <c r="L34" s="36">
        <f>SUM(L32,L30,L28,L24,L26,L22,L17,L11)</f>
        <v>1968009305.0012512</v>
      </c>
      <c r="M34" s="36">
        <f>SUM(M32,M30,M28,M24,M26,M22,M17,M11)</f>
        <v>129999999.99999991</v>
      </c>
      <c r="N34" s="14">
        <f>+M34/D34</f>
        <v>0.07072869524994674</v>
      </c>
      <c r="O34" s="14"/>
    </row>
    <row r="35" spans="2:15" ht="13.5" thickTop="1">
      <c r="B35" s="11"/>
      <c r="C35" s="39"/>
      <c r="D35" s="29"/>
      <c r="F35" s="29"/>
      <c r="I35" s="2" t="s">
        <v>468</v>
      </c>
      <c r="J35" s="40">
        <f>J34-J24-J28</f>
        <v>1953927276.4710727</v>
      </c>
      <c r="K35" s="20"/>
      <c r="L35" s="20"/>
      <c r="M35" s="20"/>
      <c r="N35" s="20"/>
      <c r="O35" s="20"/>
    </row>
    <row r="36" spans="2:15" ht="13.5" thickBot="1">
      <c r="B36" s="11"/>
      <c r="C36" s="11"/>
      <c r="I36" s="40">
        <f>I34-E34</f>
        <v>0</v>
      </c>
      <c r="J36" s="40"/>
      <c r="K36" s="40"/>
      <c r="L36" s="40"/>
      <c r="M36" s="40"/>
      <c r="N36" s="40"/>
      <c r="O36" s="40"/>
    </row>
    <row r="37" spans="1:11" ht="12.75">
      <c r="A37" s="42" t="s">
        <v>40</v>
      </c>
      <c r="B37" s="43"/>
      <c r="C37" s="43"/>
      <c r="D37" s="44"/>
      <c r="E37" s="45">
        <v>1</v>
      </c>
      <c r="F37" s="44"/>
      <c r="G37" s="45"/>
      <c r="H37" s="46">
        <f>E34/(D34)</f>
        <v>0.08982544296743243</v>
      </c>
      <c r="K37" s="272"/>
    </row>
    <row r="38" spans="1:15" ht="12.75">
      <c r="A38" s="47" t="s">
        <v>41</v>
      </c>
      <c r="B38" s="48"/>
      <c r="C38" s="48"/>
      <c r="D38" s="33"/>
      <c r="E38" s="33"/>
      <c r="F38" s="33"/>
      <c r="G38" s="33"/>
      <c r="H38" s="49">
        <f>(E34-I24)/(D34-D24)</f>
        <v>0.09091672485867092</v>
      </c>
      <c r="J38" s="40"/>
      <c r="K38" s="40"/>
      <c r="L38" s="40"/>
      <c r="M38" s="40"/>
      <c r="N38" s="40"/>
      <c r="O38" s="40"/>
    </row>
    <row r="39" spans="1:15" ht="13.5" thickBot="1">
      <c r="A39" s="50" t="s">
        <v>42</v>
      </c>
      <c r="B39" s="48"/>
      <c r="C39" s="48"/>
      <c r="D39" s="33"/>
      <c r="E39" s="33"/>
      <c r="F39" s="33"/>
      <c r="G39" s="33"/>
      <c r="H39" s="51">
        <f>1/SUMPRODUCT($G$11:$G$32,$F$11:$F$32)</f>
        <v>1.138353591680454</v>
      </c>
      <c r="J39" s="40"/>
      <c r="K39" s="40"/>
      <c r="L39" s="40"/>
      <c r="M39" s="40"/>
      <c r="N39" s="40"/>
      <c r="O39" s="40"/>
    </row>
    <row r="40" spans="1:15" ht="13.5" thickBot="1">
      <c r="A40" s="52" t="s">
        <v>43</v>
      </c>
      <c r="B40" s="53"/>
      <c r="C40" s="53"/>
      <c r="D40" s="54"/>
      <c r="E40" s="54"/>
      <c r="F40" s="54"/>
      <c r="G40" s="54"/>
      <c r="H40" s="55">
        <f>H39*H38</f>
        <v>0.10349538028669164</v>
      </c>
      <c r="J40" s="40"/>
      <c r="K40" s="40"/>
      <c r="L40" s="40"/>
      <c r="M40" s="40"/>
      <c r="N40" s="40"/>
      <c r="O40" s="40"/>
    </row>
    <row r="42" spans="1:5" ht="12.75">
      <c r="A42" s="2" t="s">
        <v>470</v>
      </c>
      <c r="B42" s="11"/>
      <c r="C42" s="17"/>
      <c r="E42" s="349">
        <f>+D6</f>
        <v>130000000</v>
      </c>
    </row>
    <row r="43" spans="1:9" ht="12.75">
      <c r="A43" s="2" t="s">
        <v>471</v>
      </c>
      <c r="B43" s="11"/>
      <c r="C43" s="56"/>
      <c r="E43" s="40">
        <f>+J35-E34+E42</f>
        <v>1918827276.4710727</v>
      </c>
      <c r="I43" s="236">
        <f>'Sch 40 Prod &amp; Trans Charges'!D20</f>
        <v>0</v>
      </c>
    </row>
    <row r="44" spans="2:3" ht="12.75">
      <c r="B44" s="11"/>
      <c r="C44" s="56"/>
    </row>
    <row r="45" spans="1:3" ht="12.75">
      <c r="A45" s="2" t="s">
        <v>487</v>
      </c>
      <c r="B45" s="11"/>
      <c r="C45" s="11"/>
    </row>
    <row r="46" spans="1:6" ht="12.75" customHeight="1">
      <c r="A46" s="377"/>
      <c r="B46" s="377"/>
      <c r="C46" s="377"/>
      <c r="D46" s="377"/>
      <c r="E46" s="377"/>
      <c r="F46" s="377"/>
    </row>
    <row r="47" spans="2:3" ht="12.75">
      <c r="B47" s="11"/>
      <c r="C47" s="11"/>
    </row>
    <row r="48" spans="2:3" ht="12.75">
      <c r="B48" s="11"/>
      <c r="C48" s="11"/>
    </row>
    <row r="49" spans="2:3" ht="12.75">
      <c r="B49" s="11"/>
      <c r="C49" s="11"/>
    </row>
    <row r="50" spans="2:3" ht="12.75">
      <c r="B50" s="11"/>
      <c r="C50" s="11"/>
    </row>
    <row r="51" spans="2:3" ht="12.75">
      <c r="B51" s="11"/>
      <c r="C51" s="11"/>
    </row>
    <row r="52" spans="2:3" ht="12.75">
      <c r="B52" s="11"/>
      <c r="C52" s="11"/>
    </row>
    <row r="53" spans="2:3" ht="12.75">
      <c r="B53" s="11"/>
      <c r="C53" s="11"/>
    </row>
    <row r="54" spans="2:3" ht="12.75">
      <c r="B54" s="11"/>
      <c r="C54" s="11"/>
    </row>
    <row r="55" spans="2:3" ht="12.75">
      <c r="B55" s="11"/>
      <c r="C55" s="11"/>
    </row>
    <row r="56" spans="2:3" ht="12.75">
      <c r="B56" s="11"/>
      <c r="C56" s="11"/>
    </row>
    <row r="57" spans="2:3" ht="12.75">
      <c r="B57" s="11"/>
      <c r="C57" s="11"/>
    </row>
    <row r="58" spans="2:3" ht="12.75">
      <c r="B58" s="11"/>
      <c r="C58" s="11"/>
    </row>
    <row r="59" spans="2:3" ht="12.75">
      <c r="B59" s="11"/>
      <c r="C59" s="11"/>
    </row>
  </sheetData>
  <sheetProtection/>
  <printOptions/>
  <pageMargins left="0.46" right="0.27" top="1.5" bottom="1" header="0.5" footer="0.5"/>
  <pageSetup fitToHeight="1" fitToWidth="1" horizontalDpi="600" verticalDpi="600" orientation="landscape" scale="64" r:id="rId3"/>
  <headerFooter alignWithMargins="0">
    <oddHeader>&amp;L&amp;"Times New Roman,Regular"Puget Sound Energy
Docket UE-0702300/UG-072301&amp;R&amp;"Times New Roman,Regular"Electric Rate Spread and Rate Design 
Exhibit A to Multiparty Settlement&amp;"Arial,Regular"
</oddHeader>
    <oddFooter>&amp;R&amp;"Times New Roman,Regular"Page &amp;P of &amp;N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27.8515625" style="58" bestFit="1" customWidth="1"/>
    <col min="2" max="2" width="14.00390625" style="58" bestFit="1" customWidth="1"/>
    <col min="3" max="3" width="11.7109375" style="58" bestFit="1" customWidth="1"/>
    <col min="4" max="4" width="13.28125" style="58" bestFit="1" customWidth="1"/>
    <col min="5" max="5" width="11.28125" style="58" bestFit="1" customWidth="1"/>
    <col min="6" max="6" width="13.28125" style="58" bestFit="1" customWidth="1"/>
    <col min="7" max="7" width="9.7109375" style="58" bestFit="1" customWidth="1"/>
    <col min="8" max="8" width="7.8515625" style="58" bestFit="1" customWidth="1"/>
    <col min="9" max="16384" width="9.140625" style="58" customWidth="1"/>
  </cols>
  <sheetData>
    <row r="1" spans="1:8" ht="12.75">
      <c r="A1" s="57" t="str">
        <f>+'Residential Sch 7'!A1</f>
        <v>Puget Sound Energy</v>
      </c>
      <c r="B1" s="57"/>
      <c r="C1" s="57"/>
      <c r="D1" s="57"/>
      <c r="E1" s="57"/>
      <c r="F1" s="57"/>
      <c r="G1" s="57"/>
      <c r="H1" s="57"/>
    </row>
    <row r="2" spans="1:8" ht="12.75">
      <c r="A2" s="57" t="str">
        <f>+'Residential Sch 7'!A2</f>
        <v>Proforma and Proposed Revenue</v>
      </c>
      <c r="B2" s="57"/>
      <c r="C2" s="57"/>
      <c r="D2" s="57"/>
      <c r="E2" s="57"/>
      <c r="F2" s="57"/>
      <c r="G2" s="57"/>
      <c r="H2" s="57"/>
    </row>
    <row r="3" spans="1:8" ht="12.75">
      <c r="A3" s="57" t="str">
        <f>+'Residential Sch 7'!A3</f>
        <v>Twelve Months ended September 30, 2007</v>
      </c>
      <c r="B3" s="57"/>
      <c r="C3" s="57"/>
      <c r="D3" s="57"/>
      <c r="E3" s="57"/>
      <c r="F3" s="57"/>
      <c r="G3" s="57"/>
      <c r="H3" s="57"/>
    </row>
    <row r="4" spans="1:8" ht="12.75">
      <c r="A4" s="57" t="s">
        <v>265</v>
      </c>
      <c r="B4" s="57"/>
      <c r="C4" s="57"/>
      <c r="D4" s="57"/>
      <c r="E4" s="57"/>
      <c r="F4" s="57"/>
      <c r="G4" s="57"/>
      <c r="H4" s="57"/>
    </row>
    <row r="5" spans="1:8" ht="12.75">
      <c r="A5" s="57" t="s">
        <v>266</v>
      </c>
      <c r="B5" s="57"/>
      <c r="C5" s="57"/>
      <c r="D5" s="57"/>
      <c r="E5" s="57"/>
      <c r="F5" s="57"/>
      <c r="G5" s="57"/>
      <c r="H5" s="57"/>
    </row>
    <row r="7" spans="3:8" ht="12.75">
      <c r="C7" s="97" t="str">
        <f>+'Residential Sch 7'!E7</f>
        <v>Proforma</v>
      </c>
      <c r="D7" s="98"/>
      <c r="E7" s="99" t="str">
        <f>+'Residential Sch 7'!G7</f>
        <v>Proposed</v>
      </c>
      <c r="F7" s="98"/>
      <c r="G7" s="100"/>
      <c r="H7" s="100"/>
    </row>
    <row r="8" spans="2:8" ht="12.75">
      <c r="B8" s="67" t="s">
        <v>267</v>
      </c>
      <c r="C8" s="128" t="str">
        <f>+'Residential Sch 7'!E8</f>
        <v>Rates Effective 9-1-07</v>
      </c>
      <c r="D8" s="105"/>
      <c r="E8" s="104" t="str">
        <f>+'Residential Sch 7'!G8</f>
        <v>Rates Effective 2008</v>
      </c>
      <c r="F8" s="105"/>
      <c r="G8" s="106" t="str">
        <f>+'Residential Sch 7'!I8</f>
        <v>Differences</v>
      </c>
      <c r="H8" s="107"/>
    </row>
    <row r="9" spans="1:8" ht="12.75">
      <c r="A9" s="108"/>
      <c r="B9" s="101" t="s">
        <v>268</v>
      </c>
      <c r="C9" s="106" t="str">
        <f>+'Residential Sch 7'!E9</f>
        <v>Charge</v>
      </c>
      <c r="D9" s="98" t="str">
        <f>+'Residential Sch 7'!F9</f>
        <v>Revenue</v>
      </c>
      <c r="E9" s="109" t="str">
        <f>+'Residential Sch 7'!G9</f>
        <v>Charge</v>
      </c>
      <c r="F9" s="98" t="str">
        <f>+'Residential Sch 7'!H9</f>
        <v>Revenue</v>
      </c>
      <c r="G9" s="99" t="str">
        <f>+'Residential Sch 7'!I9</f>
        <v>$</v>
      </c>
      <c r="H9" s="98" t="str">
        <f>+'Residential Sch 7'!J9</f>
        <v>%</v>
      </c>
    </row>
    <row r="10" spans="1:8" ht="12.75">
      <c r="A10" s="58" t="s">
        <v>58</v>
      </c>
      <c r="B10" s="129">
        <v>12</v>
      </c>
      <c r="C10" s="110">
        <v>295</v>
      </c>
      <c r="D10" s="74">
        <f>+C10*B10</f>
        <v>3540</v>
      </c>
      <c r="E10" s="111">
        <f>+'Rate Design Sch 35'!$F$7</f>
        <v>325</v>
      </c>
      <c r="F10" s="74">
        <f>+E10*B10</f>
        <v>3900</v>
      </c>
      <c r="G10" s="116">
        <f>+F10-D10</f>
        <v>360</v>
      </c>
      <c r="H10" s="113">
        <f>+G10/D10</f>
        <v>0.1016949152542373</v>
      </c>
    </row>
    <row r="11" spans="4:6" ht="12.75">
      <c r="D11" s="92"/>
      <c r="F11" s="92"/>
    </row>
    <row r="12" spans="1:8" ht="12.75">
      <c r="A12" s="79" t="s">
        <v>249</v>
      </c>
      <c r="B12" s="73">
        <v>4820400</v>
      </c>
      <c r="C12" s="93">
        <v>0.041345</v>
      </c>
      <c r="D12" s="74">
        <f>+C12*B12</f>
        <v>199299.438</v>
      </c>
      <c r="E12" s="93">
        <f>+'Rate Design Sch 35'!$F$10</f>
        <v>0.04793</v>
      </c>
      <c r="F12" s="74">
        <f>+E12*B12</f>
        <v>231041.772</v>
      </c>
      <c r="G12" s="116">
        <f>+F12-D12</f>
        <v>31742.334000000003</v>
      </c>
      <c r="H12" s="113">
        <f>+G12/D12</f>
        <v>0.15926956101100498</v>
      </c>
    </row>
    <row r="13" ht="12.75">
      <c r="B13" s="71"/>
    </row>
    <row r="14" spans="1:8" ht="12.75">
      <c r="A14" s="79" t="s">
        <v>256</v>
      </c>
      <c r="B14" s="114">
        <v>1057.2</v>
      </c>
      <c r="C14" s="110">
        <v>3.82</v>
      </c>
      <c r="D14" s="92">
        <f>+C14*B14</f>
        <v>4038.504</v>
      </c>
      <c r="E14" s="111">
        <f>+'Rate Design Sch 35'!$F$17</f>
        <v>4.3</v>
      </c>
      <c r="F14" s="92">
        <f>+E14*B14</f>
        <v>4545.96</v>
      </c>
      <c r="G14" s="90">
        <f>+F14-D14</f>
        <v>507.45600000000013</v>
      </c>
      <c r="H14" s="112">
        <f>+G14/D14</f>
        <v>0.12565445026178013</v>
      </c>
    </row>
    <row r="15" spans="1:8" ht="12.75">
      <c r="A15" s="79" t="s">
        <v>257</v>
      </c>
      <c r="B15" s="114">
        <v>7998.6</v>
      </c>
      <c r="C15" s="110">
        <v>2.54</v>
      </c>
      <c r="D15" s="92">
        <f>+C15*B15</f>
        <v>20316.444</v>
      </c>
      <c r="E15" s="111">
        <f>+'Rate Design Sch 35'!$F$18</f>
        <v>2.86</v>
      </c>
      <c r="F15" s="92">
        <f>+E15*B15</f>
        <v>22875.996</v>
      </c>
      <c r="G15" s="90">
        <f>+F15-D15</f>
        <v>2559.5519999999997</v>
      </c>
      <c r="H15" s="112">
        <f>+G15/D15</f>
        <v>0.12598425196850394</v>
      </c>
    </row>
    <row r="16" spans="1:8" ht="12.75">
      <c r="A16" s="79" t="s">
        <v>252</v>
      </c>
      <c r="B16" s="73">
        <f>SUM(B14:B15)</f>
        <v>9055.800000000001</v>
      </c>
      <c r="D16" s="74">
        <f>SUM(D14:D15)</f>
        <v>24354.948</v>
      </c>
      <c r="F16" s="74">
        <f>SUM(F14:F15)</f>
        <v>27421.956</v>
      </c>
      <c r="G16" s="74">
        <f>SUM(G14:G15)</f>
        <v>3067.008</v>
      </c>
      <c r="H16" s="113">
        <f>+G16/D16</f>
        <v>0.1259295647028275</v>
      </c>
    </row>
    <row r="17" spans="2:8" ht="12.75">
      <c r="B17" s="76"/>
      <c r="D17" s="77"/>
      <c r="F17" s="77"/>
      <c r="G17" s="77"/>
      <c r="H17" s="115"/>
    </row>
    <row r="18" spans="1:8" ht="12.75">
      <c r="A18" s="79" t="s">
        <v>253</v>
      </c>
      <c r="B18" s="129">
        <v>3270600</v>
      </c>
      <c r="C18" s="131">
        <v>0.00096</v>
      </c>
      <c r="D18" s="74">
        <f>+C18*B18</f>
        <v>3139.7760000000003</v>
      </c>
      <c r="E18" s="131">
        <f>+'Rate Design Sch 35'!$F$21</f>
        <v>0.00104</v>
      </c>
      <c r="F18" s="74">
        <f>+E18*B18</f>
        <v>3401.4239999999995</v>
      </c>
      <c r="G18" s="116">
        <f>+F18-D18</f>
        <v>261.64799999999923</v>
      </c>
      <c r="H18" s="113">
        <f>+G18/D18</f>
        <v>0.08333333333333308</v>
      </c>
    </row>
    <row r="19" spans="1:8" ht="12.75">
      <c r="A19" s="79"/>
      <c r="B19" s="133"/>
      <c r="C19" s="131"/>
      <c r="D19" s="77"/>
      <c r="E19" s="131"/>
      <c r="F19" s="77"/>
      <c r="G19" s="134"/>
      <c r="H19" s="115"/>
    </row>
    <row r="20" spans="1:8" ht="12.75">
      <c r="A20" s="72" t="s">
        <v>236</v>
      </c>
      <c r="B20" s="129">
        <f>+B12</f>
        <v>4820400</v>
      </c>
      <c r="C20" s="93">
        <v>0.0030930000000000003</v>
      </c>
      <c r="D20" s="74">
        <f>+C20*B20</f>
        <v>14909.497200000002</v>
      </c>
      <c r="E20" s="93">
        <v>0</v>
      </c>
      <c r="F20" s="74">
        <f>+E20*B20</f>
        <v>0</v>
      </c>
      <c r="G20" s="116">
        <f>+F20-D20</f>
        <v>-14909.497200000002</v>
      </c>
      <c r="H20" s="113">
        <f>+G20/D20</f>
        <v>-1</v>
      </c>
    </row>
    <row r="21" ht="12.75">
      <c r="B21" s="71"/>
    </row>
    <row r="22" spans="1:8" ht="12.75">
      <c r="A22" s="72" t="s">
        <v>258</v>
      </c>
      <c r="B22" s="73">
        <v>43818</v>
      </c>
      <c r="C22" s="93">
        <v>0.04976189586238959</v>
      </c>
      <c r="D22" s="74">
        <f>+C22*B22</f>
        <v>2180.466752898187</v>
      </c>
      <c r="E22" s="93">
        <f>+'Rate Design Sch 35'!$F$12</f>
        <v>0.053926</v>
      </c>
      <c r="F22" s="74">
        <f>+E22*B22</f>
        <v>2362.9294680000003</v>
      </c>
      <c r="G22" s="116">
        <f>+F22-D22</f>
        <v>182.46271510181305</v>
      </c>
      <c r="H22" s="113">
        <f>+G22/D22</f>
        <v>0.0836805765826473</v>
      </c>
    </row>
    <row r="23" ht="12.75">
      <c r="B23" s="71"/>
    </row>
    <row r="24" spans="1:8" ht="13.5" thickBot="1">
      <c r="A24" s="58" t="s">
        <v>71</v>
      </c>
      <c r="B24" s="91">
        <f>SUM(B12,B22)</f>
        <v>4864218</v>
      </c>
      <c r="D24" s="118">
        <f>SUM(D18,D16,D12,D10,D20,D22)</f>
        <v>247424.1259528982</v>
      </c>
      <c r="F24" s="118">
        <f>SUM(F18,F16,F12,F10,F20,F22)</f>
        <v>268128.081468</v>
      </c>
      <c r="G24" s="118">
        <f>SUM(G18,G16,G12,G10,G20,G22)</f>
        <v>20703.955515101818</v>
      </c>
      <c r="H24" s="119">
        <f>+G24/D24</f>
        <v>0.08367799799378983</v>
      </c>
    </row>
    <row r="25" ht="13.5" thickTop="1"/>
    <row r="26" spans="1:6" ht="12.75" hidden="1">
      <c r="A26" s="58" t="s">
        <v>117</v>
      </c>
      <c r="D26" s="92">
        <v>245243.6592</v>
      </c>
      <c r="F26" s="92">
        <f>+'Rate Design Sch 35'!$H$29</f>
        <v>268126.6931013605</v>
      </c>
    </row>
    <row r="27" spans="1:6" ht="12.75" hidden="1">
      <c r="A27" s="58" t="s">
        <v>117</v>
      </c>
      <c r="D27" s="90">
        <f>+D26-(D24-D22)</f>
        <v>0</v>
      </c>
      <c r="F27" s="90">
        <f>+F26-F24</f>
        <v>-1.38836663949769</v>
      </c>
    </row>
    <row r="28" ht="12.75" hidden="1"/>
    <row r="29" ht="12.75" hidden="1">
      <c r="D29" s="90"/>
    </row>
    <row r="30" ht="12.75" hidden="1"/>
    <row r="31" spans="1:4" ht="12.75" hidden="1">
      <c r="A31" s="79" t="str">
        <f>+'Residential Sch 7'!$A$29</f>
        <v>Schedule 95 Effective 9-1-07</v>
      </c>
      <c r="C31" s="93">
        <f>+C20</f>
        <v>0.0030930000000000003</v>
      </c>
      <c r="D31" s="92">
        <f>+C31*$B$12</f>
        <v>14909.497200000002</v>
      </c>
    </row>
  </sheetData>
  <sheetProtection/>
  <printOptions/>
  <pageMargins left="0.46" right="0.27" top="1.5" bottom="1" header="0.5" footer="0.5"/>
  <pageSetup fitToHeight="1" fitToWidth="1" horizontalDpi="600" verticalDpi="600" orientation="landscape" r:id="rId1"/>
  <headerFooter alignWithMargins="0">
    <oddHeader>&amp;L&amp;"Times New Roman,Regular"Puget Sound Energy
Docket UE-0702300/UG-072301&amp;R&amp;"Times New Roman,Regular"Electric Rate Spread and Rate Design 
Exhibit A to Multiparty Settlement&amp;"Arial,Regular"
</oddHeader>
    <oddFooter>&amp;R&amp;"Times New Roman,Regular"Page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24.140625" style="58" bestFit="1" customWidth="1"/>
    <col min="2" max="2" width="12.28125" style="58" bestFit="1" customWidth="1"/>
    <col min="3" max="3" width="11.28125" style="58" bestFit="1" customWidth="1"/>
    <col min="4" max="4" width="15.00390625" style="58" bestFit="1" customWidth="1"/>
    <col min="5" max="5" width="10.7109375" style="58" bestFit="1" customWidth="1"/>
    <col min="6" max="6" width="15.00390625" style="58" bestFit="1" customWidth="1"/>
    <col min="7" max="7" width="10.7109375" style="58" bestFit="1" customWidth="1"/>
    <col min="8" max="8" width="12.28125" style="58" bestFit="1" customWidth="1"/>
    <col min="9" max="9" width="11.7109375" style="58" customWidth="1"/>
    <col min="10" max="10" width="7.8515625" style="58" bestFit="1" customWidth="1"/>
    <col min="11" max="16384" width="9.140625" style="58" customWidth="1"/>
  </cols>
  <sheetData>
    <row r="1" spans="1:10" ht="12.75">
      <c r="A1" s="57" t="str">
        <f>+'Residential Sch 7'!A1</f>
        <v>Puget Sound Energy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2.75">
      <c r="A2" s="57" t="str">
        <f>+'Residential Sch 7'!A2</f>
        <v>Proforma and Proposed Revenue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2.75">
      <c r="A3" s="57" t="str">
        <f>+'Residential Sch 7'!A3</f>
        <v>Twelve Months ended September 30, 2007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ht="12.75">
      <c r="A4" s="57" t="s">
        <v>269</v>
      </c>
      <c r="B4" s="57"/>
      <c r="C4" s="57"/>
      <c r="D4" s="57"/>
      <c r="E4" s="57"/>
      <c r="F4" s="57"/>
      <c r="G4" s="57"/>
      <c r="H4" s="57"/>
      <c r="I4" s="57"/>
      <c r="J4" s="57"/>
    </row>
    <row r="5" spans="1:10" ht="12.75">
      <c r="A5" s="57" t="s">
        <v>270</v>
      </c>
      <c r="B5" s="57"/>
      <c r="C5" s="57"/>
      <c r="D5" s="57"/>
      <c r="E5" s="57"/>
      <c r="F5" s="57"/>
      <c r="G5" s="57"/>
      <c r="H5" s="57"/>
      <c r="I5" s="57"/>
      <c r="J5" s="57"/>
    </row>
    <row r="7" spans="2:10" ht="12.75">
      <c r="B7" s="94" t="s">
        <v>222</v>
      </c>
      <c r="C7" s="95"/>
      <c r="D7" s="96"/>
      <c r="E7" s="97" t="str">
        <f>+'Residential Sch 7'!E7</f>
        <v>Proforma</v>
      </c>
      <c r="F7" s="98"/>
      <c r="G7" s="99" t="str">
        <f>+'Residential Sch 7'!G7</f>
        <v>Proposed</v>
      </c>
      <c r="H7" s="98"/>
      <c r="I7" s="100"/>
      <c r="J7" s="100"/>
    </row>
    <row r="8" spans="3:10" ht="12.75">
      <c r="C8" s="89" t="s">
        <v>223</v>
      </c>
      <c r="D8" s="101"/>
      <c r="E8" s="128" t="str">
        <f>+'Residential Sch 7'!E8</f>
        <v>Rates Effective 9-1-07</v>
      </c>
      <c r="F8" s="105"/>
      <c r="G8" s="104" t="str">
        <f>+'Residential Sch 7'!G8</f>
        <v>Rates Effective 2008</v>
      </c>
      <c r="H8" s="105"/>
      <c r="I8" s="106" t="str">
        <f>+'Residential Sch 7'!I8</f>
        <v>Differences</v>
      </c>
      <c r="J8" s="107"/>
    </row>
    <row r="9" spans="1:10" ht="12.75">
      <c r="A9" s="108"/>
      <c r="B9" s="108"/>
      <c r="C9" s="108" t="s">
        <v>227</v>
      </c>
      <c r="D9" s="108" t="s">
        <v>228</v>
      </c>
      <c r="E9" s="106" t="str">
        <f>+'Residential Sch 7'!E9</f>
        <v>Charge</v>
      </c>
      <c r="F9" s="107" t="str">
        <f>+'Residential Sch 7'!F9</f>
        <v>Revenue</v>
      </c>
      <c r="G9" s="109" t="str">
        <f>+'Residential Sch 7'!G9</f>
        <v>Charge</v>
      </c>
      <c r="H9" s="107" t="str">
        <f>+'Residential Sch 7'!H9</f>
        <v>Revenue</v>
      </c>
      <c r="I9" s="109" t="str">
        <f>+'Residential Sch 7'!I9</f>
        <v>$</v>
      </c>
      <c r="J9" s="107" t="str">
        <f>+'Residential Sch 7'!J9</f>
        <v>%</v>
      </c>
    </row>
    <row r="10" spans="1:10" ht="12.75">
      <c r="A10" s="58" t="s">
        <v>58</v>
      </c>
      <c r="B10" s="129">
        <v>2202</v>
      </c>
      <c r="C10" s="129"/>
      <c r="D10" s="129">
        <f>SUM(B10:C10)</f>
        <v>2202</v>
      </c>
      <c r="E10" s="110">
        <v>295</v>
      </c>
      <c r="F10" s="74">
        <f>+E10*D10</f>
        <v>649590</v>
      </c>
      <c r="G10" s="110">
        <f>+'Rate Design Sch 43'!$F$7</f>
        <v>325</v>
      </c>
      <c r="H10" s="74">
        <f>+G10*D10</f>
        <v>715650</v>
      </c>
      <c r="I10" s="116">
        <f>+H10-F10</f>
        <v>66060</v>
      </c>
      <c r="J10" s="113">
        <f>+I10/F10</f>
        <v>0.1016949152542373</v>
      </c>
    </row>
    <row r="11" spans="6:8" ht="12.75">
      <c r="F11" s="92"/>
      <c r="H11" s="92"/>
    </row>
    <row r="12" spans="1:10" ht="12.75">
      <c r="A12" s="79" t="s">
        <v>249</v>
      </c>
      <c r="B12" s="73">
        <v>167594812.19</v>
      </c>
      <c r="C12" s="73">
        <v>-1684428</v>
      </c>
      <c r="D12" s="129">
        <f>SUM(B12:C12)</f>
        <v>165910384.19</v>
      </c>
      <c r="E12" s="93">
        <v>0.049375</v>
      </c>
      <c r="F12" s="74">
        <f>+E12*D12</f>
        <v>8191825.21938125</v>
      </c>
      <c r="G12" s="93">
        <f>+'Rate Design Sch 43'!$F$12</f>
        <v>0.055383</v>
      </c>
      <c r="H12" s="74">
        <f>+G12*D12</f>
        <v>9188614.80759477</v>
      </c>
      <c r="I12" s="116">
        <f>+H12-F12</f>
        <v>996789.5882135201</v>
      </c>
      <c r="J12" s="113">
        <f>+I12/F12</f>
        <v>0.12168101265822785</v>
      </c>
    </row>
    <row r="13" spans="2:4" ht="12.75">
      <c r="B13" s="71"/>
      <c r="C13" s="71"/>
      <c r="D13" s="71"/>
    </row>
    <row r="14" spans="1:10" ht="12.75">
      <c r="A14" s="79" t="s">
        <v>252</v>
      </c>
      <c r="B14" s="73">
        <v>825740</v>
      </c>
      <c r="C14" s="73"/>
      <c r="D14" s="129">
        <f>SUM(B14:C14)</f>
        <v>825740</v>
      </c>
      <c r="E14" s="110">
        <v>4.04</v>
      </c>
      <c r="F14" s="74">
        <f>+E14*D14</f>
        <v>3335989.6</v>
      </c>
      <c r="G14" s="110">
        <f>+'Rate Design Sch 43'!$F$17</f>
        <v>4.55</v>
      </c>
      <c r="H14" s="74">
        <f>+G14*D14</f>
        <v>3757117</v>
      </c>
      <c r="I14" s="116">
        <f>+H14-F14</f>
        <v>421127.3999999999</v>
      </c>
      <c r="J14" s="113">
        <f>+I14/F14</f>
        <v>0.1262376237623762</v>
      </c>
    </row>
    <row r="15" spans="2:10" ht="12.75">
      <c r="B15" s="76"/>
      <c r="C15" s="76"/>
      <c r="D15" s="76"/>
      <c r="F15" s="77"/>
      <c r="H15" s="77"/>
      <c r="I15" s="77"/>
      <c r="J15" s="115"/>
    </row>
    <row r="16" spans="1:10" ht="12.75">
      <c r="A16" s="79" t="s">
        <v>253</v>
      </c>
      <c r="B16" s="129">
        <v>79336168.76</v>
      </c>
      <c r="C16" s="129"/>
      <c r="D16" s="129">
        <f>SUM(B16:C16)</f>
        <v>79336168.76</v>
      </c>
      <c r="E16" s="131">
        <v>0.00265</v>
      </c>
      <c r="F16" s="74">
        <f>+E16*D16</f>
        <v>210240.847214</v>
      </c>
      <c r="G16" s="131">
        <f>+'Rate Design Sch 43'!$F$19</f>
        <v>0.00287</v>
      </c>
      <c r="H16" s="74">
        <f>+G16*D16</f>
        <v>227694.80434120004</v>
      </c>
      <c r="I16" s="116">
        <f>+H16-F16</f>
        <v>17453.957127200032</v>
      </c>
      <c r="J16" s="113">
        <f>+I16/F16</f>
        <v>0.08301886792452845</v>
      </c>
    </row>
    <row r="17" ht="12.75">
      <c r="D17" s="71"/>
    </row>
    <row r="18" spans="1:10" ht="12.75">
      <c r="A18" s="72" t="s">
        <v>236</v>
      </c>
      <c r="D18" s="129">
        <f>+D12</f>
        <v>165910384.19</v>
      </c>
      <c r="E18" s="93">
        <v>0.0025859999999999998</v>
      </c>
      <c r="F18" s="74">
        <f>+E18*D18</f>
        <v>429044.25351534</v>
      </c>
      <c r="G18" s="93">
        <v>0</v>
      </c>
      <c r="H18" s="74">
        <f>+G18*D18</f>
        <v>0</v>
      </c>
      <c r="I18" s="116">
        <f>+H18-F18</f>
        <v>-429044.25351534</v>
      </c>
      <c r="J18" s="113">
        <f>+I18/F18</f>
        <v>-1</v>
      </c>
    </row>
    <row r="19" ht="12.75">
      <c r="D19" s="71"/>
    </row>
    <row r="20" spans="1:10" ht="12.75">
      <c r="A20" s="72" t="s">
        <v>258</v>
      </c>
      <c r="D20" s="73">
        <v>399862</v>
      </c>
      <c r="E20" s="93">
        <v>0.08209288809606893</v>
      </c>
      <c r="F20" s="74">
        <f>+E20*D20</f>
        <v>32825.82641987032</v>
      </c>
      <c r="G20" s="93">
        <f>+'Rate Design Sch 43'!$F$14</f>
        <v>0.088962</v>
      </c>
      <c r="H20" s="74">
        <f>+G20*D20</f>
        <v>35572.523243999996</v>
      </c>
      <c r="I20" s="116">
        <f>+H20-F20</f>
        <v>2746.696824129678</v>
      </c>
      <c r="J20" s="113">
        <f>+I20/F20</f>
        <v>0.0836748720046552</v>
      </c>
    </row>
    <row r="21" ht="12.75">
      <c r="D21" s="71"/>
    </row>
    <row r="22" spans="1:10" ht="13.5" thickBot="1">
      <c r="A22" s="58" t="s">
        <v>71</v>
      </c>
      <c r="D22" s="91">
        <f>SUM(D20,D12)</f>
        <v>166310246.19</v>
      </c>
      <c r="F22" s="118">
        <f>SUM(F16,F14,F12,F10,F18,F20)</f>
        <v>12849515.74653046</v>
      </c>
      <c r="H22" s="118">
        <f>SUM(H16,H14,H12,H10,H18,H20)</f>
        <v>13924649.135179969</v>
      </c>
      <c r="I22" s="118">
        <f>SUM(I16,I14,I12,I10,I18,I20)</f>
        <v>1075133.3886495098</v>
      </c>
      <c r="J22" s="119">
        <f>+I22/F22</f>
        <v>0.08367112114242982</v>
      </c>
    </row>
    <row r="23" ht="13.5" thickTop="1"/>
    <row r="25" spans="1:7" ht="12.75">
      <c r="A25" s="58" t="s">
        <v>271</v>
      </c>
      <c r="E25" s="136">
        <f>+'Primary Sch 31'!E14-'Primary Sch 43'!E14</f>
        <v>3.3099999999999996</v>
      </c>
      <c r="G25" s="136">
        <f>+'Primary Sch 31'!G14-'Primary Sch 43'!G14</f>
        <v>3.7199999999999998</v>
      </c>
    </row>
    <row r="27" spans="1:8" ht="12.75">
      <c r="A27" s="58" t="s">
        <v>117</v>
      </c>
      <c r="F27" s="92">
        <v>12816689.92011059</v>
      </c>
      <c r="H27" s="92">
        <f>+'Rate Design Sch 43'!$H$24</f>
        <v>13924665.397128448</v>
      </c>
    </row>
    <row r="28" spans="1:8" ht="12.75">
      <c r="A28" s="58" t="s">
        <v>117</v>
      </c>
      <c r="F28" s="90">
        <f>+F27-(F22-F20)</f>
        <v>0</v>
      </c>
      <c r="H28" s="90">
        <f>+H27-H22</f>
        <v>16.26194847933948</v>
      </c>
    </row>
    <row r="31" spans="1:6" ht="12.75">
      <c r="A31" s="79" t="str">
        <f>+'Residential Sch 7'!$A$29</f>
        <v>Schedule 95 Effective 9-1-07</v>
      </c>
      <c r="E31" s="93">
        <f>+E18</f>
        <v>0.0025859999999999998</v>
      </c>
      <c r="F31" s="92">
        <f>+E31*$D$12</f>
        <v>429044.25351534</v>
      </c>
    </row>
  </sheetData>
  <sheetProtection/>
  <printOptions/>
  <pageMargins left="0.46" right="0.27" top="1.5" bottom="1" header="0.5" footer="0.5"/>
  <pageSetup fitToHeight="1" fitToWidth="1" horizontalDpi="600" verticalDpi="600" orientation="landscape" r:id="rId1"/>
  <headerFooter alignWithMargins="0">
    <oddHeader>&amp;L&amp;"Times New Roman,Regular"Puget Sound Energy
Docket UE-0702300/UG-072301&amp;R&amp;"Times New Roman,Regular"Electric Rate Spread and Rate Design 
Exhibit A to Multiparty Settlement&amp;"Arial,Regular"
</oddHeader>
    <oddFooter>&amp;R&amp;"Times New Roman,Regular"Page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38.57421875" style="2" bestFit="1" customWidth="1"/>
    <col min="2" max="2" width="12.28125" style="2" bestFit="1" customWidth="1"/>
    <col min="3" max="3" width="11.28125" style="2" bestFit="1" customWidth="1"/>
    <col min="4" max="4" width="12.28125" style="2" bestFit="1" customWidth="1"/>
    <col min="5" max="5" width="19.140625" style="2" bestFit="1" customWidth="1"/>
    <col min="6" max="6" width="12.28125" style="2" bestFit="1" customWidth="1"/>
    <col min="7" max="7" width="11.28125" style="2" bestFit="1" customWidth="1"/>
    <col min="8" max="8" width="12.28125" style="2" bestFit="1" customWidth="1"/>
    <col min="9" max="9" width="12.8515625" style="2" bestFit="1" customWidth="1"/>
    <col min="10" max="10" width="11.28125" style="2" bestFit="1" customWidth="1"/>
    <col min="11" max="11" width="9.140625" style="2" customWidth="1"/>
    <col min="12" max="12" width="11.28125" style="2" customWidth="1"/>
    <col min="13" max="13" width="9.140625" style="2" customWidth="1"/>
    <col min="14" max="14" width="11.140625" style="2" bestFit="1" customWidth="1"/>
    <col min="15" max="16384" width="9.140625" style="2" customWidth="1"/>
  </cols>
  <sheetData>
    <row r="1" spans="1:10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 t="str">
        <f>+'Residential Sch 7'!A2</f>
        <v>Proforma and Proposed Revenue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 t="str">
        <f>+'Residential Sch 7'!A3</f>
        <v>Twelve Months ended September 30, 2007</v>
      </c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 t="s">
        <v>272</v>
      </c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 t="s">
        <v>273</v>
      </c>
      <c r="B5" s="1"/>
      <c r="C5" s="1"/>
      <c r="D5" s="1"/>
      <c r="E5" s="1"/>
      <c r="F5" s="1"/>
      <c r="G5" s="1"/>
      <c r="H5" s="1"/>
      <c r="I5" s="1"/>
      <c r="J5" s="1"/>
    </row>
    <row r="7" spans="2:10" ht="12.75">
      <c r="B7" s="137" t="s">
        <v>222</v>
      </c>
      <c r="C7" s="138"/>
      <c r="D7" s="139"/>
      <c r="E7" s="140" t="str">
        <f>+'Residential Sch 7'!E7</f>
        <v>Proforma</v>
      </c>
      <c r="F7" s="141"/>
      <c r="G7" s="142" t="str">
        <f>+'Residential Sch 7'!G7</f>
        <v>Proposed</v>
      </c>
      <c r="H7" s="141"/>
      <c r="I7" s="33"/>
      <c r="J7" s="33"/>
    </row>
    <row r="8" spans="3:10" ht="12.75">
      <c r="C8" s="34" t="s">
        <v>223</v>
      </c>
      <c r="D8" s="48"/>
      <c r="E8" s="143" t="str">
        <f>+'Residential Sch 7'!E8</f>
        <v>Rates Effective 9-1-07</v>
      </c>
      <c r="F8" s="144"/>
      <c r="G8" s="145" t="str">
        <f>+'Residential Sch 7'!G8</f>
        <v>Rates Effective 2008</v>
      </c>
      <c r="H8" s="144"/>
      <c r="I8" s="146" t="str">
        <f>+'Residential Sch 7'!I8</f>
        <v>Differences</v>
      </c>
      <c r="J8" s="147"/>
    </row>
    <row r="9" spans="1:10" ht="12.75">
      <c r="A9" s="148"/>
      <c r="B9" s="148"/>
      <c r="C9" s="148" t="s">
        <v>227</v>
      </c>
      <c r="D9" s="148" t="s">
        <v>228</v>
      </c>
      <c r="E9" s="146" t="str">
        <f>+'Residential Sch 7'!E9</f>
        <v>Charge</v>
      </c>
      <c r="F9" s="147" t="str">
        <f>+'Residential Sch 7'!F9</f>
        <v>Revenue</v>
      </c>
      <c r="G9" s="149" t="str">
        <f>+'Residential Sch 7'!G9</f>
        <v>Charge</v>
      </c>
      <c r="H9" s="147" t="str">
        <f>+'Residential Sch 7'!H9</f>
        <v>Revenue</v>
      </c>
      <c r="I9" s="149" t="str">
        <f>+'Residential Sch 7'!I9</f>
        <v>$</v>
      </c>
      <c r="J9" s="147" t="str">
        <f>+'Residential Sch 7'!J9</f>
        <v>%</v>
      </c>
    </row>
    <row r="11" ht="12.75">
      <c r="A11" s="24" t="s">
        <v>274</v>
      </c>
    </row>
    <row r="12" spans="1:8" ht="12.75">
      <c r="A12" s="27" t="s">
        <v>275</v>
      </c>
      <c r="B12" s="18">
        <v>372</v>
      </c>
      <c r="C12" s="18"/>
      <c r="D12" s="18">
        <f>SUM(B12:C12)</f>
        <v>372</v>
      </c>
      <c r="E12" s="150">
        <v>27.2</v>
      </c>
      <c r="F12" s="29">
        <f>+E12*D12</f>
        <v>10118.4</v>
      </c>
      <c r="G12" s="150">
        <f>+'Sch 40 Tariff Summary'!B9</f>
        <v>50</v>
      </c>
      <c r="H12" s="29">
        <f>+G12*D12</f>
        <v>18600</v>
      </c>
    </row>
    <row r="13" spans="1:8" ht="12.75">
      <c r="A13" s="22" t="s">
        <v>276</v>
      </c>
      <c r="B13" s="18">
        <v>456</v>
      </c>
      <c r="C13" s="18"/>
      <c r="D13" s="18">
        <f>SUM(B13:C13)</f>
        <v>456</v>
      </c>
      <c r="E13" s="150">
        <v>48</v>
      </c>
      <c r="F13" s="29">
        <f>+E13*D13</f>
        <v>21888</v>
      </c>
      <c r="G13" s="150">
        <f>+'Sch 40 Tariff Summary'!B8</f>
        <v>100</v>
      </c>
      <c r="H13" s="29">
        <f>+G13*D13</f>
        <v>45600</v>
      </c>
    </row>
    <row r="14" spans="1:8" ht="12.75">
      <c r="A14" s="27" t="s">
        <v>26</v>
      </c>
      <c r="B14" s="18">
        <v>288</v>
      </c>
      <c r="C14" s="18"/>
      <c r="D14" s="18">
        <f>SUM(B14:C14)</f>
        <v>288</v>
      </c>
      <c r="E14" s="150">
        <v>295</v>
      </c>
      <c r="F14" s="29">
        <f>+E14*D14</f>
        <v>84960</v>
      </c>
      <c r="G14" s="150">
        <f>+'Sch 40 Tariff Summary'!B7</f>
        <v>325</v>
      </c>
      <c r="H14" s="29">
        <f>+G14*D14</f>
        <v>93600</v>
      </c>
    </row>
    <row r="15" spans="2:10" ht="12.75">
      <c r="B15" s="12">
        <f>SUM(B12:B14)</f>
        <v>1116</v>
      </c>
      <c r="C15" s="18"/>
      <c r="D15" s="12">
        <f>SUM(D12:D14)</f>
        <v>1116</v>
      </c>
      <c r="F15" s="13">
        <f>SUM(F12:F14)</f>
        <v>116966.4</v>
      </c>
      <c r="H15" s="13">
        <f>SUM(H12:H14)</f>
        <v>157800</v>
      </c>
      <c r="I15" s="151">
        <f>+H15-F15</f>
        <v>40833.600000000006</v>
      </c>
      <c r="J15" s="117">
        <f>+I15/F15</f>
        <v>0.34910538411030867</v>
      </c>
    </row>
    <row r="16" spans="1:10" ht="12.75">
      <c r="A16" s="24" t="s">
        <v>277</v>
      </c>
      <c r="B16" s="19"/>
      <c r="C16" s="18"/>
      <c r="D16" s="19"/>
      <c r="F16" s="17"/>
      <c r="H16" s="17"/>
      <c r="I16" s="152"/>
      <c r="J16" s="153"/>
    </row>
    <row r="17" ht="12.75">
      <c r="A17" s="27" t="s">
        <v>5</v>
      </c>
    </row>
    <row r="18" spans="1:8" ht="12.75">
      <c r="A18" s="154" t="s">
        <v>20</v>
      </c>
      <c r="B18" s="18">
        <v>157874960</v>
      </c>
      <c r="C18" s="18">
        <v>710691.5182537066</v>
      </c>
      <c r="D18" s="18">
        <f>SUM(B18:C18)</f>
        <v>158585651.5182537</v>
      </c>
      <c r="E18" s="155">
        <v>0.053517</v>
      </c>
      <c r="F18" s="29">
        <f>+E18*D18</f>
        <v>8487028.312302385</v>
      </c>
      <c r="G18" s="155">
        <f>+'Sch 40 Tariff Summary'!B21</f>
        <v>0.055714</v>
      </c>
      <c r="H18" s="29">
        <f>+G18*D18</f>
        <v>8835440.988687987</v>
      </c>
    </row>
    <row r="19" spans="1:8" ht="12.75">
      <c r="A19" s="156" t="s">
        <v>26</v>
      </c>
      <c r="B19" s="18">
        <v>456592500</v>
      </c>
      <c r="C19" s="18">
        <v>-1458024.5463155962</v>
      </c>
      <c r="D19" s="18">
        <f>SUM(B19:C19)</f>
        <v>455134475.4536844</v>
      </c>
      <c r="E19" s="155">
        <v>0.051909</v>
      </c>
      <c r="F19" s="29">
        <f>+E19*D19</f>
        <v>23625575.4863253</v>
      </c>
      <c r="G19" s="155">
        <f>+'Sch 40 Tariff Summary'!B20</f>
        <v>0.054144</v>
      </c>
      <c r="H19" s="29">
        <f>+G19*D19</f>
        <v>24642801.038964286</v>
      </c>
    </row>
    <row r="20" spans="1:8" ht="12.75">
      <c r="A20" s="27"/>
      <c r="B20" s="12">
        <f>SUM(B18:B19)</f>
        <v>614467460</v>
      </c>
      <c r="C20" s="12">
        <f>SUM(C18:C19)</f>
        <v>-747333.0280618896</v>
      </c>
      <c r="D20" s="12">
        <f>SUM(D18:D19)</f>
        <v>613720126.9719381</v>
      </c>
      <c r="F20" s="13">
        <f>SUM(F18:F19)</f>
        <v>32112603.798627686</v>
      </c>
      <c r="H20" s="13">
        <f>SUM(H18:H19)</f>
        <v>33478242.02765227</v>
      </c>
    </row>
    <row r="21" spans="1:8" ht="12.75">
      <c r="A21" s="27"/>
      <c r="B21" s="19"/>
      <c r="C21" s="19"/>
      <c r="D21" s="19"/>
      <c r="F21" s="17"/>
      <c r="H21" s="17"/>
    </row>
    <row r="22" spans="1:10" ht="12.75">
      <c r="A22" s="156" t="s">
        <v>278</v>
      </c>
      <c r="B22" s="19"/>
      <c r="C22" s="19"/>
      <c r="D22" s="19"/>
      <c r="E22" s="19"/>
      <c r="F22" s="19"/>
      <c r="H22" s="17"/>
      <c r="I22" s="152"/>
      <c r="J22" s="153"/>
    </row>
    <row r="23" spans="1:8" ht="12.75">
      <c r="A23" s="157" t="s">
        <v>20</v>
      </c>
      <c r="B23" s="19"/>
      <c r="C23" s="19"/>
      <c r="D23" s="18">
        <f>+D18</f>
        <v>158585651.5182537</v>
      </c>
      <c r="E23" s="155">
        <v>0</v>
      </c>
      <c r="F23" s="29">
        <f>+E23*D23</f>
        <v>0</v>
      </c>
      <c r="G23" s="155">
        <v>0</v>
      </c>
      <c r="H23" s="29">
        <f>+G23*D23</f>
        <v>0</v>
      </c>
    </row>
    <row r="24" spans="1:8" ht="12.75">
      <c r="A24" s="158" t="s">
        <v>26</v>
      </c>
      <c r="B24" s="19"/>
      <c r="C24" s="19"/>
      <c r="D24" s="18">
        <f>+D19</f>
        <v>455134475.4536844</v>
      </c>
      <c r="E24" s="155">
        <v>0</v>
      </c>
      <c r="F24" s="29">
        <f>+E24*D24</f>
        <v>0</v>
      </c>
      <c r="G24" s="155">
        <v>0</v>
      </c>
      <c r="H24" s="29">
        <f>+G24*D24</f>
        <v>0</v>
      </c>
    </row>
    <row r="25" spans="1:13" ht="12.75">
      <c r="A25" s="27"/>
      <c r="B25" s="19"/>
      <c r="C25" s="19"/>
      <c r="D25" s="12">
        <f>SUM(D23:D24)</f>
        <v>613720126.9719381</v>
      </c>
      <c r="F25" s="13">
        <f>SUM(F23:F24)</f>
        <v>0</v>
      </c>
      <c r="H25" s="13">
        <f>SUM(H23:H24)</f>
        <v>0</v>
      </c>
      <c r="I25" s="151">
        <f>+H25-F25+H20-F20</f>
        <v>1365638.2290245853</v>
      </c>
      <c r="J25" s="117">
        <f>+I25/SUM(F20,F25)</f>
        <v>0.04252654931341771</v>
      </c>
      <c r="L25" s="2" t="s">
        <v>466</v>
      </c>
      <c r="M25" s="2">
        <v>100</v>
      </c>
    </row>
    <row r="26" spans="1:13" ht="12.75">
      <c r="A26" s="22" t="s">
        <v>279</v>
      </c>
      <c r="B26" s="19"/>
      <c r="C26" s="19"/>
      <c r="L26" s="2" t="s">
        <v>467</v>
      </c>
      <c r="M26" s="2">
        <v>179</v>
      </c>
    </row>
    <row r="27" spans="1:8" ht="12.75">
      <c r="A27" s="154" t="s">
        <v>20</v>
      </c>
      <c r="B27" s="19">
        <v>298481</v>
      </c>
      <c r="C27" s="19"/>
      <c r="D27" s="18">
        <f>SUM(B27:C27)</f>
        <v>298481</v>
      </c>
      <c r="E27" s="150">
        <v>3.42</v>
      </c>
      <c r="F27" s="29">
        <f>+E27*D27</f>
        <v>1020805.02</v>
      </c>
      <c r="G27" s="150">
        <f>+'Sch 40 Tariff Summary'!B16</f>
        <v>4.12</v>
      </c>
      <c r="H27" s="29">
        <f>+G27*D27</f>
        <v>1229741.72</v>
      </c>
    </row>
    <row r="28" spans="1:8" ht="12.75">
      <c r="A28" s="156" t="s">
        <v>26</v>
      </c>
      <c r="B28" s="18">
        <v>795981</v>
      </c>
      <c r="D28" s="18">
        <f>SUM(B28:C28)</f>
        <v>795981</v>
      </c>
      <c r="E28" s="150">
        <v>3.32</v>
      </c>
      <c r="F28" s="29">
        <f>+E28*D28</f>
        <v>2642656.92</v>
      </c>
      <c r="G28" s="150">
        <f>+'Sch 40 Tariff Summary'!B15</f>
        <v>4</v>
      </c>
      <c r="H28" s="29">
        <f>+G28*D28</f>
        <v>3183924</v>
      </c>
    </row>
    <row r="29" spans="1:14" ht="12.75">
      <c r="A29" s="27"/>
      <c r="B29" s="12">
        <f>SUM(B27:B28)</f>
        <v>1094462</v>
      </c>
      <c r="C29" s="18"/>
      <c r="D29" s="12">
        <f>SUM(D27:D28)</f>
        <v>1094462</v>
      </c>
      <c r="F29" s="13">
        <f>SUM(F26:F28)</f>
        <v>3663461.94</v>
      </c>
      <c r="H29" s="13">
        <f>SUM(H26:H28)</f>
        <v>4413665.72</v>
      </c>
      <c r="I29" s="151">
        <f>+H29-F29</f>
        <v>750203.7799999998</v>
      </c>
      <c r="J29" s="117">
        <f>+I29/F29</f>
        <v>0.2047800119905162</v>
      </c>
      <c r="L29" s="40">
        <f>I29+I25+I15</f>
        <v>2156675.609024585</v>
      </c>
      <c r="M29" s="2">
        <f>M25/M26</f>
        <v>0.5586592178770949</v>
      </c>
      <c r="N29" s="213">
        <f>M29*L29</f>
        <v>1204846.708952282</v>
      </c>
    </row>
    <row r="30" ht="12.75">
      <c r="A30" s="27" t="s">
        <v>280</v>
      </c>
    </row>
    <row r="31" spans="1:8" ht="12.75">
      <c r="A31" s="154" t="s">
        <v>20</v>
      </c>
      <c r="B31" s="19">
        <v>52230182.00000001</v>
      </c>
      <c r="C31" s="19"/>
      <c r="D31" s="18">
        <f>SUM(B31:C31)</f>
        <v>52230182.00000001</v>
      </c>
      <c r="E31" s="159">
        <v>0.00115</v>
      </c>
      <c r="F31" s="29">
        <f>+E31*D31</f>
        <v>60064.70930000001</v>
      </c>
      <c r="G31" s="159">
        <f>+'Sch 40 Tariff Summary'!B25/100</f>
        <v>0.00119</v>
      </c>
      <c r="H31" s="29">
        <f>+G31*D31</f>
        <v>62153.91658000001</v>
      </c>
    </row>
    <row r="32" spans="1:8" ht="12.75">
      <c r="A32" s="156" t="s">
        <v>26</v>
      </c>
      <c r="B32" s="18">
        <v>161716500</v>
      </c>
      <c r="D32" s="18">
        <f>SUM(B32:C32)</f>
        <v>161716500</v>
      </c>
      <c r="E32" s="159">
        <v>0.00094</v>
      </c>
      <c r="F32" s="29">
        <f>+E32*D32</f>
        <v>152013.51</v>
      </c>
      <c r="G32" s="159">
        <f>+'Sch 40 Tariff Summary'!B24/100</f>
        <v>0.00102</v>
      </c>
      <c r="H32" s="29">
        <f>+G32*D32</f>
        <v>164950.83000000002</v>
      </c>
    </row>
    <row r="33" spans="2:10" ht="12.75">
      <c r="B33" s="12">
        <f>SUM(B31:B32)</f>
        <v>213946682</v>
      </c>
      <c r="C33" s="18"/>
      <c r="D33" s="12">
        <f>SUM(D31:D32)</f>
        <v>213946682</v>
      </c>
      <c r="F33" s="13">
        <f>SUM(F30:F32)</f>
        <v>212078.21930000003</v>
      </c>
      <c r="H33" s="13">
        <f>SUM(H30:H32)</f>
        <v>227104.74658000004</v>
      </c>
      <c r="I33" s="151">
        <f>+H33-F33</f>
        <v>15026.52728000001</v>
      </c>
      <c r="J33" s="117">
        <f>+I33/F33</f>
        <v>0.07085370355144248</v>
      </c>
    </row>
    <row r="35" ht="12.75">
      <c r="A35" s="24" t="s">
        <v>281</v>
      </c>
    </row>
    <row r="36" spans="1:10" ht="12.75">
      <c r="A36" s="27" t="s">
        <v>282</v>
      </c>
      <c r="F36" s="13">
        <v>2694871.7789336005</v>
      </c>
      <c r="G36" s="15"/>
      <c r="H36" s="13">
        <v>2061050.0850352002</v>
      </c>
      <c r="I36" s="151">
        <f>+H36-F36</f>
        <v>-633821.6938984003</v>
      </c>
      <c r="J36" s="117">
        <f>+I36/F36</f>
        <v>-0.23519549199079617</v>
      </c>
    </row>
    <row r="38" spans="1:10" ht="12.75">
      <c r="A38" s="24" t="s">
        <v>237</v>
      </c>
      <c r="D38" s="12">
        <v>2800972</v>
      </c>
      <c r="E38" s="155">
        <v>0.06322043446097123</v>
      </c>
      <c r="F38" s="13">
        <f>+E38*D38</f>
        <v>177078.66675301548</v>
      </c>
      <c r="G38" s="155">
        <f>+E38</f>
        <v>0.06322043446097123</v>
      </c>
      <c r="H38" s="13">
        <f>+G38*D38</f>
        <v>177078.66675301548</v>
      </c>
      <c r="I38" s="151">
        <f>+H38-F38</f>
        <v>0</v>
      </c>
      <c r="J38" s="117">
        <f>+I38/F38</f>
        <v>0</v>
      </c>
    </row>
    <row r="40" spans="1:14" ht="13.5" thickBot="1">
      <c r="A40" s="2" t="s">
        <v>283</v>
      </c>
      <c r="D40" s="35">
        <f>SUM(D38,D20)</f>
        <v>616521098.9719381</v>
      </c>
      <c r="F40" s="160">
        <f>SUM(F36,F33,F29,F25,F20,F15,F38)</f>
        <v>38977060.8036143</v>
      </c>
      <c r="H40" s="160">
        <f>SUM(H36,H33,H29,H25,H20,H15,H38)</f>
        <v>40514941.24602049</v>
      </c>
      <c r="I40" s="160">
        <f>SUM(I36,I33,I29,I25,I15,I38)</f>
        <v>1537880.442406185</v>
      </c>
      <c r="J40" s="161">
        <f>+I40/F40</f>
        <v>0.03945603928820561</v>
      </c>
      <c r="N40" s="213">
        <f>N29+I36</f>
        <v>571025.0150538818</v>
      </c>
    </row>
    <row r="41" ht="13.5" thickTop="1"/>
    <row r="42" spans="1:6" ht="12.75">
      <c r="A42" s="2" t="s">
        <v>117</v>
      </c>
      <c r="F42" s="29">
        <v>38799979.76095569</v>
      </c>
    </row>
    <row r="43" spans="1:6" ht="12.75">
      <c r="A43" s="2" t="s">
        <v>117</v>
      </c>
      <c r="F43" s="40">
        <f>+F42-(F40-F38)</f>
        <v>-2.3759055957198143</v>
      </c>
    </row>
    <row r="45" ht="12.75">
      <c r="A45" s="24"/>
    </row>
    <row r="46" spans="1:5" ht="12.75">
      <c r="A46" s="24" t="str">
        <f>+'Residential Sch 7'!$A$29</f>
        <v>Schedule 95 Effective 9-1-07</v>
      </c>
      <c r="E46" s="155"/>
    </row>
    <row r="47" spans="1:6" ht="12.75">
      <c r="A47" s="157" t="s">
        <v>284</v>
      </c>
      <c r="E47" s="155">
        <f>+E23</f>
        <v>0</v>
      </c>
      <c r="F47" s="29">
        <f>+E47*D18</f>
        <v>0</v>
      </c>
    </row>
    <row r="48" spans="1:6" ht="12.75">
      <c r="A48" s="158" t="s">
        <v>26</v>
      </c>
      <c r="E48" s="155">
        <f>+E24</f>
        <v>0</v>
      </c>
      <c r="F48" s="29">
        <f>+E48*D19</f>
        <v>0</v>
      </c>
    </row>
    <row r="49" ht="12.75">
      <c r="F49" s="40">
        <f>SUM(F47:F48)</f>
        <v>0</v>
      </c>
    </row>
  </sheetData>
  <sheetProtection/>
  <printOptions/>
  <pageMargins left="0.46" right="0.27" top="1.5" bottom="1" header="0.5" footer="0.5"/>
  <pageSetup fitToHeight="1" fitToWidth="1" horizontalDpi="600" verticalDpi="600" orientation="landscape" scale="86" r:id="rId1"/>
  <headerFooter alignWithMargins="0">
    <oddHeader>&amp;L&amp;"Times New Roman,Regular"Puget Sound Energy
Docket UE-0702300/UG-072301&amp;R&amp;"Times New Roman,Regular"Electric Rate Spread and Rate Design 
Exhibit A to Multiparty Settlement&amp;"Arial,Regular"
</oddHeader>
    <oddFooter>&amp;R&amp;"Times New Roman,Regular"Page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27.8515625" style="58" bestFit="1" customWidth="1"/>
    <col min="2" max="2" width="15.00390625" style="58" bestFit="1" customWidth="1"/>
    <col min="3" max="3" width="11.8515625" style="58" bestFit="1" customWidth="1"/>
    <col min="4" max="4" width="14.00390625" style="58" bestFit="1" customWidth="1"/>
    <col min="5" max="5" width="11.421875" style="58" bestFit="1" customWidth="1"/>
    <col min="6" max="6" width="14.00390625" style="58" bestFit="1" customWidth="1"/>
    <col min="7" max="7" width="11.8515625" style="58" bestFit="1" customWidth="1"/>
    <col min="8" max="8" width="7.8515625" style="58" bestFit="1" customWidth="1"/>
    <col min="9" max="16384" width="9.140625" style="58" customWidth="1"/>
  </cols>
  <sheetData>
    <row r="1" spans="1:8" ht="12.75">
      <c r="A1" s="57" t="str">
        <f>+'Residential Sch 7'!A1</f>
        <v>Puget Sound Energy</v>
      </c>
      <c r="B1" s="57"/>
      <c r="C1" s="57"/>
      <c r="D1" s="57"/>
      <c r="E1" s="57"/>
      <c r="F1" s="57"/>
      <c r="G1" s="57"/>
      <c r="H1" s="57"/>
    </row>
    <row r="2" spans="1:8" ht="12.75">
      <c r="A2" s="57" t="str">
        <f>+'Residential Sch 7'!A2</f>
        <v>Proforma and Proposed Revenue</v>
      </c>
      <c r="B2" s="57"/>
      <c r="C2" s="57"/>
      <c r="D2" s="57"/>
      <c r="E2" s="57"/>
      <c r="F2" s="57"/>
      <c r="G2" s="57"/>
      <c r="H2" s="57"/>
    </row>
    <row r="3" spans="1:8" ht="12.75">
      <c r="A3" s="57" t="str">
        <f>+'Residential Sch 7'!A3</f>
        <v>Twelve Months ended September 30, 2007</v>
      </c>
      <c r="B3" s="57"/>
      <c r="C3" s="57"/>
      <c r="D3" s="57"/>
      <c r="E3" s="57"/>
      <c r="F3" s="57"/>
      <c r="G3" s="57"/>
      <c r="H3" s="57"/>
    </row>
    <row r="4" spans="1:8" ht="12.75">
      <c r="A4" s="57" t="s">
        <v>285</v>
      </c>
      <c r="B4" s="57"/>
      <c r="C4" s="57"/>
      <c r="D4" s="57"/>
      <c r="E4" s="57"/>
      <c r="F4" s="57"/>
      <c r="G4" s="57"/>
      <c r="H4" s="57"/>
    </row>
    <row r="5" spans="1:8" ht="12.75">
      <c r="A5" s="57" t="s">
        <v>286</v>
      </c>
      <c r="B5" s="57"/>
      <c r="C5" s="57"/>
      <c r="D5" s="57"/>
      <c r="E5" s="57"/>
      <c r="F5" s="57"/>
      <c r="G5" s="57"/>
      <c r="H5" s="57"/>
    </row>
    <row r="7" spans="3:8" ht="12.75">
      <c r="C7" s="97" t="str">
        <f>+'Residential Sch 7'!E7</f>
        <v>Proforma</v>
      </c>
      <c r="D7" s="98"/>
      <c r="E7" s="99" t="str">
        <f>+'Residential Sch 7'!G7</f>
        <v>Proposed</v>
      </c>
      <c r="F7" s="98"/>
      <c r="G7" s="100"/>
      <c r="H7" s="100"/>
    </row>
    <row r="8" spans="3:8" ht="12.75">
      <c r="C8" s="128" t="str">
        <f>+'Residential Sch 7'!E8</f>
        <v>Rates Effective 9-1-07</v>
      </c>
      <c r="D8" s="105"/>
      <c r="E8" s="104" t="str">
        <f>+'Residential Sch 7'!G8</f>
        <v>Rates Effective 2008</v>
      </c>
      <c r="F8" s="105"/>
      <c r="G8" s="106" t="str">
        <f>+'Residential Sch 7'!I8</f>
        <v>Differences</v>
      </c>
      <c r="H8" s="107"/>
    </row>
    <row r="9" spans="1:8" ht="12.75">
      <c r="A9" s="108"/>
      <c r="B9" s="108"/>
      <c r="C9" s="106" t="str">
        <f>+'Residential Sch 7'!E9</f>
        <v>Charge</v>
      </c>
      <c r="D9" s="107" t="str">
        <f>+'Residential Sch 7'!F9</f>
        <v>Revenue</v>
      </c>
      <c r="E9" s="109" t="str">
        <f>+'Residential Sch 7'!G9</f>
        <v>Charge</v>
      </c>
      <c r="F9" s="107" t="str">
        <f>+'Residential Sch 7'!H9</f>
        <v>Revenue</v>
      </c>
      <c r="G9" s="109" t="str">
        <f>+'Residential Sch 7'!I9</f>
        <v>$</v>
      </c>
      <c r="H9" s="107" t="str">
        <f>+'Residential Sch 7'!J9</f>
        <v>%</v>
      </c>
    </row>
    <row r="10" spans="1:8" ht="12.75">
      <c r="A10" s="79" t="s">
        <v>249</v>
      </c>
      <c r="B10" s="73">
        <v>51158005</v>
      </c>
      <c r="C10" s="93">
        <v>0.046901</v>
      </c>
      <c r="D10" s="74">
        <f>+C10*B10</f>
        <v>2399361.592505</v>
      </c>
      <c r="E10" s="93">
        <f>+'Rate Design Sch 46'!$F$8</f>
        <v>0.053203</v>
      </c>
      <c r="F10" s="74">
        <f>+E10*B10</f>
        <v>2721759.340015</v>
      </c>
      <c r="G10" s="74">
        <f>+F10-D10</f>
        <v>322397.74751000013</v>
      </c>
      <c r="H10" s="113">
        <f>+G10/D10</f>
        <v>0.1343681371399331</v>
      </c>
    </row>
    <row r="11" ht="12.75">
      <c r="B11" s="71"/>
    </row>
    <row r="12" spans="1:8" ht="12.75">
      <c r="A12" s="79" t="s">
        <v>287</v>
      </c>
      <c r="B12" s="73">
        <v>167256</v>
      </c>
      <c r="C12" s="110">
        <v>1.78</v>
      </c>
      <c r="D12" s="74">
        <f>+C12*B12</f>
        <v>297715.68</v>
      </c>
      <c r="E12" s="110">
        <f>+'Rate Design Sch 46'!$F$13</f>
        <v>2</v>
      </c>
      <c r="F12" s="74">
        <f>+E12*B12</f>
        <v>334512</v>
      </c>
      <c r="G12" s="74">
        <f>+F12-D12</f>
        <v>36796.32000000001</v>
      </c>
      <c r="H12" s="113">
        <f>+G12/D12</f>
        <v>0.12359550561797755</v>
      </c>
    </row>
    <row r="13" spans="2:8" ht="12.75">
      <c r="B13" s="76"/>
      <c r="D13" s="77"/>
      <c r="F13" s="77"/>
      <c r="G13" s="77"/>
      <c r="H13" s="115"/>
    </row>
    <row r="14" spans="1:8" ht="12.75">
      <c r="A14" s="72" t="s">
        <v>236</v>
      </c>
      <c r="B14" s="73">
        <f>+B10</f>
        <v>51158005</v>
      </c>
      <c r="C14" s="93">
        <v>0.002768</v>
      </c>
      <c r="D14" s="74">
        <f>+C14*B14</f>
        <v>141605.35784</v>
      </c>
      <c r="E14" s="93">
        <v>0</v>
      </c>
      <c r="F14" s="74">
        <f>+E14*B14</f>
        <v>0</v>
      </c>
      <c r="G14" s="74">
        <f>+F14-D14</f>
        <v>-141605.35784</v>
      </c>
      <c r="H14" s="113">
        <f>+G14/D14</f>
        <v>-1</v>
      </c>
    </row>
    <row r="15" spans="2:8" ht="12.75">
      <c r="B15" s="76"/>
      <c r="D15" s="77"/>
      <c r="F15" s="77"/>
      <c r="G15" s="77"/>
      <c r="H15" s="115"/>
    </row>
    <row r="16" spans="1:8" ht="12.75">
      <c r="A16" s="72" t="s">
        <v>237</v>
      </c>
      <c r="B16" s="73">
        <v>206407</v>
      </c>
      <c r="C16" s="93">
        <v>0.05570290574882803</v>
      </c>
      <c r="D16" s="74">
        <f>+C16*B16</f>
        <v>11497.469666898347</v>
      </c>
      <c r="E16" s="93">
        <f>+'Rate Design Sch 46'!$F$10</f>
        <v>0.060364</v>
      </c>
      <c r="F16" s="74">
        <f>+E16*B16</f>
        <v>12459.552148</v>
      </c>
      <c r="G16" s="74">
        <f>+F16-D16</f>
        <v>962.0824811016537</v>
      </c>
      <c r="H16" s="113">
        <f>+G16/D16</f>
        <v>0.08367775771320587</v>
      </c>
    </row>
    <row r="17" spans="2:8" ht="12.75">
      <c r="B17" s="76"/>
      <c r="D17" s="77"/>
      <c r="F17" s="77"/>
      <c r="G17" s="77"/>
      <c r="H17" s="115"/>
    </row>
    <row r="18" spans="1:8" ht="13.5" thickBot="1">
      <c r="A18" s="58" t="s">
        <v>71</v>
      </c>
      <c r="B18" s="91">
        <f>SUM(B10,B16)</f>
        <v>51364412</v>
      </c>
      <c r="D18" s="118">
        <f>SUM(D12,D10,D14,D16)</f>
        <v>2850180.1000118987</v>
      </c>
      <c r="F18" s="118">
        <f>SUM(F12,F10,F14,F16)</f>
        <v>3068730.892163</v>
      </c>
      <c r="G18" s="118">
        <f>SUM(G12,G10,G14,G16)</f>
        <v>218550.79215110178</v>
      </c>
      <c r="H18" s="119">
        <f>+G18/D18</f>
        <v>0.07667964285842477</v>
      </c>
    </row>
    <row r="19" ht="13.5" thickTop="1"/>
    <row r="20" ht="12.75">
      <c r="B20" s="127"/>
    </row>
    <row r="21" spans="2:7" ht="12.75">
      <c r="B21" s="71"/>
      <c r="F21" s="90"/>
      <c r="G21" s="135"/>
    </row>
    <row r="22" spans="2:7" ht="12.75">
      <c r="B22" s="162"/>
      <c r="F22" s="90"/>
      <c r="G22" s="135"/>
    </row>
    <row r="23" spans="1:6" ht="12.75">
      <c r="A23" s="79" t="s">
        <v>288</v>
      </c>
      <c r="D23" s="163">
        <v>0.9</v>
      </c>
      <c r="E23" s="93">
        <f>+E10*D23</f>
        <v>0.0478827</v>
      </c>
      <c r="F23" s="110"/>
    </row>
    <row r="24" spans="1:6" ht="12.75">
      <c r="A24" s="58" t="s">
        <v>289</v>
      </c>
      <c r="D24" s="58">
        <v>12</v>
      </c>
      <c r="E24" s="136">
        <f>+D24*E12</f>
        <v>24</v>
      </c>
      <c r="F24" s="110"/>
    </row>
    <row r="27" ht="12.75" hidden="1"/>
    <row r="28" spans="1:6" ht="12.75" hidden="1">
      <c r="A28" s="58" t="s">
        <v>290</v>
      </c>
      <c r="D28" s="92">
        <v>2838682.630345</v>
      </c>
      <c r="F28" s="92"/>
    </row>
    <row r="29" spans="1:6" ht="12.75" hidden="1">
      <c r="A29" s="58" t="s">
        <v>290</v>
      </c>
      <c r="D29" s="90">
        <f>+D28-(D18-D16)</f>
        <v>0</v>
      </c>
      <c r="F29" s="90"/>
    </row>
    <row r="30" ht="12.75" hidden="1"/>
    <row r="32" spans="1:4" ht="12.75" hidden="1">
      <c r="A32" s="79" t="str">
        <f>+'Residential Sch 7'!$A$29</f>
        <v>Schedule 95 Effective 9-1-07</v>
      </c>
      <c r="C32" s="93">
        <f>+C14</f>
        <v>0.002768</v>
      </c>
      <c r="D32" s="92">
        <f>+C32*$B$10</f>
        <v>141605.35784</v>
      </c>
    </row>
  </sheetData>
  <sheetProtection/>
  <printOptions/>
  <pageMargins left="0.46" right="0.27" top="1.5" bottom="1" header="0.5" footer="0.5"/>
  <pageSetup fitToHeight="1" fitToWidth="1" horizontalDpi="600" verticalDpi="600" orientation="landscape" r:id="rId1"/>
  <headerFooter alignWithMargins="0">
    <oddHeader>&amp;L&amp;"Times New Roman,Regular"Puget Sound Energy
Docket UE-0702300/UG-072301&amp;R&amp;"Times New Roman,Regular"Electric Rate Spread and Rate Design 
Exhibit A to Multiparty Settlement&amp;"Arial,Regular"
</oddHeader>
    <oddFooter>&amp;R&amp;"Times New Roman,Regular"Page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27.8515625" style="58" bestFit="1" customWidth="1"/>
    <col min="2" max="2" width="14.00390625" style="58" bestFit="1" customWidth="1"/>
    <col min="3" max="3" width="11.8515625" style="58" bestFit="1" customWidth="1"/>
    <col min="4" max="4" width="15.00390625" style="58" bestFit="1" customWidth="1"/>
    <col min="5" max="5" width="11.421875" style="58" bestFit="1" customWidth="1"/>
    <col min="6" max="6" width="15.00390625" style="58" bestFit="1" customWidth="1"/>
    <col min="7" max="7" width="12.8515625" style="58" bestFit="1" customWidth="1"/>
    <col min="8" max="8" width="7.8515625" style="58" bestFit="1" customWidth="1"/>
    <col min="9" max="16384" width="9.140625" style="58" customWidth="1"/>
  </cols>
  <sheetData>
    <row r="1" spans="1:8" ht="12.75">
      <c r="A1" s="57" t="str">
        <f>+'Residential Sch 7'!A1</f>
        <v>Puget Sound Energy</v>
      </c>
      <c r="B1" s="57"/>
      <c r="C1" s="57"/>
      <c r="D1" s="57"/>
      <c r="E1" s="57"/>
      <c r="F1" s="57"/>
      <c r="G1" s="57"/>
      <c r="H1" s="57"/>
    </row>
    <row r="2" spans="1:8" ht="12.75">
      <c r="A2" s="57" t="str">
        <f>+'Residential Sch 7'!A2</f>
        <v>Proforma and Proposed Revenue</v>
      </c>
      <c r="B2" s="57"/>
      <c r="C2" s="57"/>
      <c r="D2" s="57"/>
      <c r="E2" s="57"/>
      <c r="F2" s="57"/>
      <c r="G2" s="57"/>
      <c r="H2" s="57"/>
    </row>
    <row r="3" spans="1:8" ht="12.75">
      <c r="A3" s="57" t="str">
        <f>+'Residential Sch 7'!$A$3</f>
        <v>Twelve Months ended September 30, 2007</v>
      </c>
      <c r="B3" s="57"/>
      <c r="C3" s="57"/>
      <c r="D3" s="57"/>
      <c r="E3" s="57"/>
      <c r="F3" s="57"/>
      <c r="G3" s="57"/>
      <c r="H3" s="57"/>
    </row>
    <row r="4" spans="1:8" ht="12.75">
      <c r="A4" s="57" t="s">
        <v>291</v>
      </c>
      <c r="B4" s="57"/>
      <c r="C4" s="57"/>
      <c r="D4" s="57"/>
      <c r="E4" s="57"/>
      <c r="F4" s="57"/>
      <c r="G4" s="57"/>
      <c r="H4" s="57"/>
    </row>
    <row r="5" spans="1:8" ht="12.75">
      <c r="A5" s="57" t="s">
        <v>292</v>
      </c>
      <c r="B5" s="57"/>
      <c r="C5" s="57"/>
      <c r="D5" s="57"/>
      <c r="E5" s="57"/>
      <c r="F5" s="57"/>
      <c r="G5" s="57"/>
      <c r="H5" s="57"/>
    </row>
    <row r="7" spans="3:8" ht="12.75">
      <c r="C7" s="97" t="str">
        <f>+'Residential Sch 7'!E7</f>
        <v>Proforma</v>
      </c>
      <c r="D7" s="98"/>
      <c r="E7" s="99" t="str">
        <f>+'Residential Sch 7'!G7</f>
        <v>Proposed</v>
      </c>
      <c r="F7" s="98"/>
      <c r="G7" s="100"/>
      <c r="H7" s="100"/>
    </row>
    <row r="8" spans="3:8" ht="12.75">
      <c r="C8" s="128" t="str">
        <f>+'Residential Sch 7'!E8</f>
        <v>Rates Effective 9-1-07</v>
      </c>
      <c r="D8" s="105"/>
      <c r="E8" s="104" t="str">
        <f>+'Residential Sch 7'!G8</f>
        <v>Rates Effective 2008</v>
      </c>
      <c r="F8" s="105"/>
      <c r="G8" s="106" t="str">
        <f>+'Residential Sch 7'!I8</f>
        <v>Differences</v>
      </c>
      <c r="H8" s="107"/>
    </row>
    <row r="9" spans="1:8" ht="12.75">
      <c r="A9" s="108"/>
      <c r="B9" s="108"/>
      <c r="C9" s="106" t="str">
        <f>+'Residential Sch 7'!E9</f>
        <v>Charge</v>
      </c>
      <c r="D9" s="107" t="str">
        <f>+'Residential Sch 7'!F9</f>
        <v>Revenue</v>
      </c>
      <c r="E9" s="109" t="str">
        <f>+'Residential Sch 7'!G9</f>
        <v>Charge</v>
      </c>
      <c r="F9" s="107" t="str">
        <f>+'Residential Sch 7'!H9</f>
        <v>Revenue</v>
      </c>
      <c r="G9" s="109" t="str">
        <f>+'Residential Sch 7'!I9</f>
        <v>$</v>
      </c>
      <c r="H9" s="107" t="str">
        <f>+'Residential Sch 7'!J9</f>
        <v>%</v>
      </c>
    </row>
    <row r="10" spans="1:8" ht="12.75">
      <c r="A10" s="79" t="s">
        <v>249</v>
      </c>
      <c r="B10" s="73">
        <v>506155235</v>
      </c>
      <c r="C10" s="93">
        <v>0.046901</v>
      </c>
      <c r="D10" s="74">
        <f>+C10*B10</f>
        <v>23739186.676735</v>
      </c>
      <c r="E10" s="93">
        <f>+'Rate Design Sch 49'!$F$8</f>
        <v>0.053203</v>
      </c>
      <c r="F10" s="74">
        <f>+E10*B10</f>
        <v>26928976.967705</v>
      </c>
      <c r="G10" s="74">
        <f>+F10-D10</f>
        <v>3189790.2909700014</v>
      </c>
      <c r="H10" s="113">
        <f>+G10/D10</f>
        <v>0.13436813713993312</v>
      </c>
    </row>
    <row r="11" ht="12.75">
      <c r="B11" s="71"/>
    </row>
    <row r="12" spans="1:8" ht="12.75">
      <c r="A12" s="79" t="s">
        <v>287</v>
      </c>
      <c r="B12" s="73">
        <v>1259430.44</v>
      </c>
      <c r="C12" s="110">
        <v>3.14</v>
      </c>
      <c r="D12" s="74">
        <f>+C12*B12</f>
        <v>3954611.5816</v>
      </c>
      <c r="E12" s="110">
        <f>+'Rate Design Sch 49'!$F$13</f>
        <v>3.53</v>
      </c>
      <c r="F12" s="74">
        <f>+E12*B12</f>
        <v>4445789.453199999</v>
      </c>
      <c r="G12" s="74">
        <f>+F12-D12</f>
        <v>491177.87159999926</v>
      </c>
      <c r="H12" s="113">
        <f>+G12/D12</f>
        <v>0.12420382165605076</v>
      </c>
    </row>
    <row r="13" spans="2:8" ht="12.75">
      <c r="B13" s="76"/>
      <c r="D13" s="77"/>
      <c r="F13" s="77"/>
      <c r="G13" s="77"/>
      <c r="H13" s="115"/>
    </row>
    <row r="14" spans="1:8" ht="12.75">
      <c r="A14" s="72" t="s">
        <v>236</v>
      </c>
      <c r="B14" s="73">
        <f>+B10</f>
        <v>506155235</v>
      </c>
      <c r="C14" s="93">
        <v>0.002451</v>
      </c>
      <c r="D14" s="74">
        <f>+C14*B14</f>
        <v>1240586.480985</v>
      </c>
      <c r="E14" s="93">
        <v>0</v>
      </c>
      <c r="F14" s="74">
        <f>+E14*B14</f>
        <v>0</v>
      </c>
      <c r="G14" s="74">
        <f>+F14-D14</f>
        <v>-1240586.480985</v>
      </c>
      <c r="H14" s="113">
        <f>+G14/D14</f>
        <v>-1</v>
      </c>
    </row>
    <row r="15" spans="2:8" ht="12.75">
      <c r="B15" s="76"/>
      <c r="D15" s="77"/>
      <c r="F15" s="77"/>
      <c r="G15" s="77"/>
      <c r="H15" s="115"/>
    </row>
    <row r="16" spans="1:8" ht="12.75">
      <c r="A16" s="72" t="s">
        <v>237</v>
      </c>
      <c r="B16" s="73">
        <v>1937771</v>
      </c>
      <c r="C16" s="93">
        <v>0.05748518591327201</v>
      </c>
      <c r="D16" s="74">
        <f>+C16*B16</f>
        <v>111393.12619234702</v>
      </c>
      <c r="E16" s="93">
        <f>+'Rate Design Sch 49'!$F$10</f>
        <v>0.062295</v>
      </c>
      <c r="F16" s="74">
        <f>+E16*B16</f>
        <v>120713.444445</v>
      </c>
      <c r="G16" s="74">
        <f>+F16-D16</f>
        <v>9320.318252652985</v>
      </c>
      <c r="H16" s="113">
        <f>+G16/D16</f>
        <v>0.08367049719530463</v>
      </c>
    </row>
    <row r="17" spans="2:8" ht="12.75">
      <c r="B17" s="76"/>
      <c r="D17" s="77"/>
      <c r="F17" s="77"/>
      <c r="G17" s="77"/>
      <c r="H17" s="115"/>
    </row>
    <row r="18" spans="1:8" ht="13.5" thickBot="1">
      <c r="A18" s="58" t="s">
        <v>71</v>
      </c>
      <c r="B18" s="91">
        <f>SUM(B10,B16)</f>
        <v>508093006</v>
      </c>
      <c r="D18" s="118">
        <f>SUM(D12,D10,D14,D16)</f>
        <v>29045777.865512345</v>
      </c>
      <c r="F18" s="118">
        <f>SUM(F12,F10,F14,F16)</f>
        <v>31495479.86535</v>
      </c>
      <c r="G18" s="118">
        <f>SUM(G12,G10,G14,G16)</f>
        <v>2449701.9998376537</v>
      </c>
      <c r="H18" s="119">
        <f>+G18/D18</f>
        <v>0.08433934911918196</v>
      </c>
    </row>
    <row r="19" ht="13.5" thickTop="1"/>
    <row r="21" spans="1:7" ht="12.75" hidden="1">
      <c r="A21" s="58" t="s">
        <v>117</v>
      </c>
      <c r="B21" s="71"/>
      <c r="D21" s="92">
        <v>28934384.739320002</v>
      </c>
      <c r="F21" s="92">
        <f>+'Rate Design Sch 49'!$H$18</f>
        <v>34564768.894946314</v>
      </c>
      <c r="G21" s="135"/>
    </row>
    <row r="22" spans="1:7" ht="12.75" hidden="1">
      <c r="A22" s="58" t="s">
        <v>117</v>
      </c>
      <c r="B22" s="71"/>
      <c r="D22" s="90">
        <f>+D21-(D18-D16)</f>
        <v>0</v>
      </c>
      <c r="F22" s="90">
        <f>+F21-F18-'HV Sch 46'!F18</f>
        <v>558.1374333137646</v>
      </c>
      <c r="G22" s="135"/>
    </row>
    <row r="23" ht="12.75" hidden="1">
      <c r="D23" s="90"/>
    </row>
    <row r="24" ht="12.75" hidden="1"/>
    <row r="25" ht="12.75" hidden="1"/>
    <row r="26" ht="12.75" hidden="1"/>
    <row r="27" ht="12.75" hidden="1"/>
    <row r="28" spans="1:4" ht="12.75" hidden="1">
      <c r="A28" s="79" t="str">
        <f>+'Residential Sch 7'!$A$29</f>
        <v>Schedule 95 Effective 9-1-07</v>
      </c>
      <c r="C28" s="93">
        <f>+C14</f>
        <v>0.002451</v>
      </c>
      <c r="D28" s="92">
        <f>+C28*$B$10</f>
        <v>1240586.480985</v>
      </c>
    </row>
  </sheetData>
  <sheetProtection/>
  <printOptions/>
  <pageMargins left="0.46" right="0.27" top="1.5" bottom="1" header="0.5" footer="0.5"/>
  <pageSetup fitToHeight="1" fitToWidth="1" horizontalDpi="600" verticalDpi="600" orientation="landscape" r:id="rId1"/>
  <headerFooter alignWithMargins="0">
    <oddHeader>&amp;L&amp;"Times New Roman,Regular"Puget Sound Energy
Docket UE-0702300/UG-072301&amp;R&amp;"Times New Roman,Regular"Electric Rate Spread and Rate Design 
Exhibit A to Multiparty Settlement&amp;"Arial,Regular"
</oddHeader>
    <oddFooter>&amp;R&amp;"Times New Roman,Regular"Page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23.28125" style="58" bestFit="1" customWidth="1"/>
    <col min="2" max="2" width="13.8515625" style="58" bestFit="1" customWidth="1"/>
    <col min="3" max="5" width="15.00390625" style="58" bestFit="1" customWidth="1"/>
    <col min="6" max="6" width="9.8515625" style="58" bestFit="1" customWidth="1"/>
    <col min="7" max="16384" width="9.140625" style="58" customWidth="1"/>
  </cols>
  <sheetData>
    <row r="1" spans="1:6" ht="12.75">
      <c r="A1" s="57" t="s">
        <v>0</v>
      </c>
      <c r="B1" s="57"/>
      <c r="C1" s="57"/>
      <c r="D1" s="57"/>
      <c r="E1" s="57"/>
      <c r="F1" s="57"/>
    </row>
    <row r="2" spans="1:6" ht="12.75">
      <c r="A2" s="57" t="s">
        <v>293</v>
      </c>
      <c r="B2" s="57"/>
      <c r="C2" s="57"/>
      <c r="D2" s="57"/>
      <c r="E2" s="57"/>
      <c r="F2" s="57"/>
    </row>
    <row r="3" spans="1:6" ht="12.75">
      <c r="A3" s="57" t="s">
        <v>294</v>
      </c>
      <c r="B3" s="57"/>
      <c r="C3" s="57"/>
      <c r="D3" s="57"/>
      <c r="E3" s="57"/>
      <c r="F3" s="57"/>
    </row>
    <row r="4" spans="1:6" ht="12.75">
      <c r="A4" s="57" t="str">
        <f>+'Residential Sch 7'!$A$3</f>
        <v>Twelve Months ended September 30, 2007</v>
      </c>
      <c r="B4" s="57"/>
      <c r="C4" s="57"/>
      <c r="D4" s="57"/>
      <c r="E4" s="57"/>
      <c r="F4" s="57"/>
    </row>
    <row r="7" spans="1:6" s="61" customFormat="1" ht="38.25">
      <c r="A7" s="59" t="s">
        <v>4</v>
      </c>
      <c r="B7" s="59" t="s">
        <v>5</v>
      </c>
      <c r="C7" s="60" t="s">
        <v>295</v>
      </c>
      <c r="D7" s="60" t="s">
        <v>296</v>
      </c>
      <c r="E7" s="59" t="s">
        <v>297</v>
      </c>
      <c r="F7" s="59" t="s">
        <v>207</v>
      </c>
    </row>
    <row r="8" spans="1:6" s="61" customFormat="1" ht="12.75">
      <c r="A8" s="164" t="s">
        <v>298</v>
      </c>
      <c r="B8" s="165">
        <f>+'Lighting Summary'!B8</f>
        <v>7056.72</v>
      </c>
      <c r="C8" s="166">
        <f>+'Lighting Summary'!C8</f>
        <v>568.8</v>
      </c>
      <c r="D8" s="166">
        <f>+'Lighting Summary'!D8</f>
        <v>619.2</v>
      </c>
      <c r="E8" s="167">
        <f aca="true" t="shared" si="0" ref="E8:E19">+D8-C8</f>
        <v>50.40000000000009</v>
      </c>
      <c r="F8" s="168">
        <f aca="true" t="shared" si="1" ref="F8:F21">+E8/C8</f>
        <v>0.08860759493670903</v>
      </c>
    </row>
    <row r="9" spans="1:6" ht="12.75">
      <c r="A9" s="72" t="s">
        <v>299</v>
      </c>
      <c r="B9" s="165">
        <f>+'Lighting Summary'!B9</f>
        <v>405753.12</v>
      </c>
      <c r="C9" s="166">
        <f>+'Lighting Summary'!C9</f>
        <v>12772</v>
      </c>
      <c r="D9" s="166">
        <f>+'Lighting Summary'!D9</f>
        <v>13843</v>
      </c>
      <c r="E9" s="167">
        <f t="shared" si="0"/>
        <v>1071</v>
      </c>
      <c r="F9" s="168">
        <f t="shared" si="1"/>
        <v>0.08385530848731601</v>
      </c>
    </row>
    <row r="10" spans="1:6" ht="12.75">
      <c r="A10" s="72" t="s">
        <v>300</v>
      </c>
      <c r="B10" s="165">
        <f>+'Lighting Summary'!B10</f>
        <v>0</v>
      </c>
      <c r="C10" s="166">
        <f>+'Lighting Summary'!C10</f>
        <v>26260</v>
      </c>
      <c r="D10" s="166">
        <f>+'Lighting Summary'!D10</f>
        <v>28459</v>
      </c>
      <c r="E10" s="167">
        <f t="shared" si="0"/>
        <v>2199</v>
      </c>
      <c r="F10" s="168">
        <f t="shared" si="1"/>
        <v>0.08373952779893373</v>
      </c>
    </row>
    <row r="11" spans="1:6" ht="12.75">
      <c r="A11" s="79" t="s">
        <v>301</v>
      </c>
      <c r="B11" s="165">
        <f>+'Lighting Summary'!B11</f>
        <v>0</v>
      </c>
      <c r="C11" s="166">
        <f>+'Lighting Summary'!C11</f>
        <v>669570.3148896014</v>
      </c>
      <c r="D11" s="166">
        <f>+'Lighting Summary'!D11</f>
        <v>725367.8411304016</v>
      </c>
      <c r="E11" s="167">
        <f t="shared" si="0"/>
        <v>55797.52624080016</v>
      </c>
      <c r="F11" s="168">
        <f t="shared" si="1"/>
        <v>0.0833333333333334</v>
      </c>
    </row>
    <row r="12" spans="1:6" ht="12.75">
      <c r="A12" s="72" t="s">
        <v>302</v>
      </c>
      <c r="B12" s="165">
        <f>+'Lighting Summary'!B12</f>
        <v>8884359.386</v>
      </c>
      <c r="C12" s="166">
        <f>+'Lighting Summary'!C12</f>
        <v>846754</v>
      </c>
      <c r="D12" s="166">
        <f>+'Lighting Summary'!D12</f>
        <v>918087</v>
      </c>
      <c r="E12" s="167">
        <f t="shared" si="0"/>
        <v>71333</v>
      </c>
      <c r="F12" s="168">
        <f t="shared" si="1"/>
        <v>0.0842428851827095</v>
      </c>
    </row>
    <row r="13" spans="1:6" ht="12.75">
      <c r="A13" s="72" t="s">
        <v>303</v>
      </c>
      <c r="B13" s="165">
        <f>+'Lighting Summary'!B13</f>
        <v>47285571.4913</v>
      </c>
      <c r="C13" s="166">
        <f>+'Lighting Summary'!C13</f>
        <v>10851790</v>
      </c>
      <c r="D13" s="166">
        <f>+'Lighting Summary'!D13</f>
        <v>11759478</v>
      </c>
      <c r="E13" s="167">
        <f t="shared" si="0"/>
        <v>907688</v>
      </c>
      <c r="F13" s="168">
        <f t="shared" si="1"/>
        <v>0.08364408083827644</v>
      </c>
    </row>
    <row r="14" spans="1:6" ht="12.75">
      <c r="A14" s="79" t="s">
        <v>304</v>
      </c>
      <c r="B14" s="165">
        <f>+'Lighting Summary'!B14</f>
        <v>11434793.5232</v>
      </c>
      <c r="C14" s="166">
        <f>+'Lighting Summary'!C14</f>
        <v>1077465</v>
      </c>
      <c r="D14" s="166">
        <f>+'Lighting Summary'!D14</f>
        <v>1167579</v>
      </c>
      <c r="E14" s="167">
        <f t="shared" si="0"/>
        <v>90114</v>
      </c>
      <c r="F14" s="168">
        <f t="shared" si="1"/>
        <v>0.08363519928721583</v>
      </c>
    </row>
    <row r="15" spans="1:6" ht="12.75">
      <c r="A15" s="79" t="s">
        <v>305</v>
      </c>
      <c r="B15" s="165">
        <f>+'Lighting Summary'!B15</f>
        <v>4217522.1338</v>
      </c>
      <c r="C15" s="166">
        <f>+'Lighting Summary'!C15</f>
        <v>1059919</v>
      </c>
      <c r="D15" s="166">
        <f>+'Lighting Summary'!D15</f>
        <v>1148483</v>
      </c>
      <c r="E15" s="167">
        <f t="shared" si="0"/>
        <v>88564</v>
      </c>
      <c r="F15" s="168">
        <f t="shared" si="1"/>
        <v>0.08355732843736172</v>
      </c>
    </row>
    <row r="16" spans="1:6" ht="12.75">
      <c r="A16" s="79" t="s">
        <v>306</v>
      </c>
      <c r="B16" s="165">
        <f>+'Lighting Summary'!B16</f>
        <v>5012801.793</v>
      </c>
      <c r="C16" s="166">
        <f>+'Lighting Summary'!C16</f>
        <v>465474.44125000003</v>
      </c>
      <c r="D16" s="166">
        <f>+'Lighting Summary'!D16</f>
        <v>504349.22974999994</v>
      </c>
      <c r="E16" s="167">
        <f t="shared" si="0"/>
        <v>38874.78849999991</v>
      </c>
      <c r="F16" s="168">
        <f t="shared" si="1"/>
        <v>0.08351648351648332</v>
      </c>
    </row>
    <row r="17" spans="1:6" ht="12.75">
      <c r="A17" s="79" t="s">
        <v>307</v>
      </c>
      <c r="B17" s="165">
        <f>+'Lighting Summary'!B17</f>
        <v>2095409.3516</v>
      </c>
      <c r="C17" s="166">
        <f>+'Lighting Summary'!C17</f>
        <v>378369</v>
      </c>
      <c r="D17" s="166">
        <f>+'Lighting Summary'!D17</f>
        <v>410047</v>
      </c>
      <c r="E17" s="167">
        <f t="shared" si="0"/>
        <v>31678</v>
      </c>
      <c r="F17" s="168">
        <f t="shared" si="1"/>
        <v>0.0837225036934844</v>
      </c>
    </row>
    <row r="18" spans="1:6" ht="12.75">
      <c r="A18" s="79" t="s">
        <v>308</v>
      </c>
      <c r="B18" s="165">
        <f>+'Lighting Summary'!B18</f>
        <v>0</v>
      </c>
      <c r="C18" s="166">
        <f>+'Lighting Summary'!C18</f>
        <v>27488</v>
      </c>
      <c r="D18" s="166">
        <f>+'Lighting Summary'!D18</f>
        <v>29815</v>
      </c>
      <c r="E18" s="167">
        <f t="shared" si="0"/>
        <v>2327</v>
      </c>
      <c r="F18" s="168">
        <f t="shared" si="1"/>
        <v>0.08465512223515716</v>
      </c>
    </row>
    <row r="19" spans="1:6" ht="12.75">
      <c r="A19" s="58" t="s">
        <v>309</v>
      </c>
      <c r="B19" s="165">
        <f>+'Lighting Summary'!B19</f>
        <v>0</v>
      </c>
      <c r="C19" s="166">
        <f>+'Lighting Summary'!C19</f>
        <v>33883</v>
      </c>
      <c r="D19" s="166">
        <f>+'Lighting Summary'!D19</f>
        <v>36718</v>
      </c>
      <c r="E19" s="167">
        <f t="shared" si="0"/>
        <v>2835</v>
      </c>
      <c r="F19" s="168">
        <f t="shared" si="1"/>
        <v>0.08367027713012425</v>
      </c>
    </row>
    <row r="20" spans="1:6" ht="12.75">
      <c r="A20" s="72"/>
      <c r="B20" s="165"/>
      <c r="C20" s="166"/>
      <c r="D20" s="166"/>
      <c r="E20" s="167"/>
      <c r="F20" s="168"/>
    </row>
    <row r="21" spans="2:6" ht="12.75">
      <c r="B21" s="169">
        <f>SUM(B8:B20)</f>
        <v>79343267.5189</v>
      </c>
      <c r="C21" s="170">
        <f>SUM(C8:C20)</f>
        <v>15450313.556139601</v>
      </c>
      <c r="D21" s="170">
        <f>SUM(D8:D20)</f>
        <v>16742845.270880401</v>
      </c>
      <c r="E21" s="170">
        <f>SUM(E8:E20)</f>
        <v>1292531.7147408002</v>
      </c>
      <c r="F21" s="171">
        <f t="shared" si="1"/>
        <v>0.0836573128463906</v>
      </c>
    </row>
    <row r="22" spans="2:6" ht="12.75">
      <c r="B22" s="172"/>
      <c r="D22" s="173"/>
      <c r="E22" s="173"/>
      <c r="F22" s="174"/>
    </row>
    <row r="25" spans="3:6" ht="12.75" hidden="1">
      <c r="C25" s="92">
        <v>15450313.556139603</v>
      </c>
      <c r="F25" s="175"/>
    </row>
    <row r="26" ht="12.75" hidden="1">
      <c r="C26" s="176">
        <f>+C25-C21</f>
        <v>0</v>
      </c>
    </row>
    <row r="27" ht="12.75" hidden="1"/>
    <row r="28" ht="12.75" hidden="1"/>
  </sheetData>
  <sheetProtection/>
  <printOptions/>
  <pageMargins left="0.46" right="0.27" top="1.5" bottom="1" header="0.5" footer="0.5"/>
  <pageSetup fitToHeight="1" fitToWidth="1" horizontalDpi="600" verticalDpi="600" orientation="landscape" r:id="rId1"/>
  <headerFooter alignWithMargins="0">
    <oddHeader>&amp;L&amp;"Times New Roman,Regular"Puget Sound Energy
Docket UE-0702300/UG-072301&amp;R&amp;"Times New Roman,Regular"Electric Rate Spread and Rate Design 
Exhibit A to Multiparty Settlement&amp;"Arial,Regular"
</oddHeader>
    <oddFooter>&amp;R&amp;"Times New Roman,Regular"Page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32.57421875" style="58" customWidth="1"/>
    <col min="2" max="2" width="10.28125" style="58" bestFit="1" customWidth="1"/>
    <col min="3" max="3" width="11.28125" style="58" bestFit="1" customWidth="1"/>
    <col min="4" max="4" width="10.28125" style="58" bestFit="1" customWidth="1"/>
    <col min="5" max="5" width="11.28125" style="58" bestFit="1" customWidth="1"/>
    <col min="6" max="6" width="9.7109375" style="58" bestFit="1" customWidth="1"/>
    <col min="7" max="7" width="10.7109375" style="58" bestFit="1" customWidth="1"/>
    <col min="8" max="8" width="10.28125" style="58" bestFit="1" customWidth="1"/>
    <col min="9" max="9" width="9.28125" style="58" bestFit="1" customWidth="1"/>
    <col min="10" max="10" width="5.8515625" style="58" bestFit="1" customWidth="1"/>
    <col min="11" max="16384" width="9.140625" style="58" customWidth="1"/>
  </cols>
  <sheetData>
    <row r="1" spans="1:10" ht="12.75">
      <c r="A1" s="57" t="str">
        <f>+'Residential Sch 7'!A1</f>
        <v>Puget Sound Energy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2.75">
      <c r="A2" s="57" t="str">
        <f>+'Residential Sch 7'!A2</f>
        <v>Proforma and Proposed Revenue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2.75">
      <c r="A3" s="57" t="str">
        <f>+'Residential Sch 7'!A3</f>
        <v>Twelve Months ended September 30, 2007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ht="12.75">
      <c r="A4" s="57" t="s">
        <v>214</v>
      </c>
      <c r="B4" s="57"/>
      <c r="C4" s="57"/>
      <c r="D4" s="57"/>
      <c r="E4" s="57"/>
      <c r="F4" s="57"/>
      <c r="G4" s="57"/>
      <c r="H4" s="57"/>
      <c r="I4" s="57"/>
      <c r="J4" s="57"/>
    </row>
    <row r="5" spans="1:10" ht="12.75">
      <c r="A5" s="57"/>
      <c r="B5" s="57"/>
      <c r="C5" s="57"/>
      <c r="D5" s="57"/>
      <c r="E5" s="57"/>
      <c r="F5" s="57"/>
      <c r="G5" s="57"/>
      <c r="H5" s="57"/>
      <c r="I5" s="57"/>
      <c r="J5" s="57"/>
    </row>
    <row r="7" spans="2:10" ht="12.75">
      <c r="B7" s="94" t="s">
        <v>222</v>
      </c>
      <c r="C7" s="95"/>
      <c r="D7" s="96"/>
      <c r="E7" s="97" t="str">
        <f>+'Residential Sch 7'!E7</f>
        <v>Proforma</v>
      </c>
      <c r="F7" s="98"/>
      <c r="G7" s="99" t="str">
        <f>+'Residential Sch 7'!G7</f>
        <v>Proposed</v>
      </c>
      <c r="H7" s="98"/>
      <c r="I7" s="100"/>
      <c r="J7" s="100"/>
    </row>
    <row r="8" spans="3:10" ht="12.75">
      <c r="C8" s="89" t="s">
        <v>223</v>
      </c>
      <c r="D8" s="101"/>
      <c r="E8" s="128" t="str">
        <f>+'Residential Sch 7'!E8</f>
        <v>Rates Effective 9-1-07</v>
      </c>
      <c r="F8" s="105"/>
      <c r="G8" s="177" t="s">
        <v>310</v>
      </c>
      <c r="H8" s="105"/>
      <c r="I8" s="106" t="str">
        <f>+'Residential Sch 7'!I8</f>
        <v>Differences</v>
      </c>
      <c r="J8" s="107"/>
    </row>
    <row r="9" spans="1:10" ht="12.75">
      <c r="A9" s="108"/>
      <c r="B9" s="108"/>
      <c r="C9" s="108" t="s">
        <v>227</v>
      </c>
      <c r="D9" s="108" t="s">
        <v>228</v>
      </c>
      <c r="E9" s="106" t="str">
        <f>+'Residential Sch 7'!E9</f>
        <v>Charge</v>
      </c>
      <c r="F9" s="107" t="str">
        <f>+'Residential Sch 7'!F9</f>
        <v>Revenue</v>
      </c>
      <c r="G9" s="109" t="str">
        <f>+'Residential Sch 7'!G9</f>
        <v>Charge</v>
      </c>
      <c r="H9" s="107" t="str">
        <f>+'Residential Sch 7'!H9</f>
        <v>Revenue</v>
      </c>
      <c r="I9" s="109" t="str">
        <f>+'Residential Sch 7'!I9</f>
        <v>$</v>
      </c>
      <c r="J9" s="107" t="str">
        <f>+'Residential Sch 7'!J9</f>
        <v>%</v>
      </c>
    </row>
    <row r="10" spans="1:8" ht="13.5" thickBot="1">
      <c r="A10" s="79" t="s">
        <v>249</v>
      </c>
      <c r="B10" s="91">
        <v>7737868</v>
      </c>
      <c r="C10" s="91">
        <v>-85172</v>
      </c>
      <c r="D10" s="91">
        <f>+C10+B10</f>
        <v>7652696</v>
      </c>
      <c r="E10" s="93">
        <v>0.03514</v>
      </c>
      <c r="F10" s="83">
        <f>+E10*D10</f>
        <v>268915.73744</v>
      </c>
      <c r="G10" s="93">
        <f>+E10</f>
        <v>0.03514</v>
      </c>
      <c r="H10" s="83">
        <f>+G10*D10</f>
        <v>268915.73744</v>
      </c>
    </row>
    <row r="11" spans="2:4" ht="13.5" thickTop="1">
      <c r="B11" s="71"/>
      <c r="C11" s="71"/>
      <c r="D11" s="71"/>
    </row>
    <row r="12" spans="1:8" ht="13.5" thickBot="1">
      <c r="A12" s="79" t="s">
        <v>252</v>
      </c>
      <c r="B12" s="91">
        <v>16414.74</v>
      </c>
      <c r="C12" s="91"/>
      <c r="D12" s="91">
        <f>+C12+B12</f>
        <v>16414.74</v>
      </c>
      <c r="E12" s="110">
        <v>5.25</v>
      </c>
      <c r="F12" s="83">
        <f>+E12*D12</f>
        <v>86177.38500000001</v>
      </c>
      <c r="G12" s="110">
        <f>+E12</f>
        <v>5.25</v>
      </c>
      <c r="H12" s="83">
        <f>+G12*D12</f>
        <v>86177.38500000001</v>
      </c>
    </row>
    <row r="13" spans="2:8" ht="13.5" thickTop="1">
      <c r="B13" s="76"/>
      <c r="C13" s="76"/>
      <c r="D13" s="76"/>
      <c r="F13" s="77"/>
      <c r="H13" s="77"/>
    </row>
    <row r="14" spans="1:8" ht="13.5" thickBot="1">
      <c r="A14" s="79" t="s">
        <v>253</v>
      </c>
      <c r="B14" s="178">
        <v>2446340</v>
      </c>
      <c r="C14" s="178"/>
      <c r="D14" s="91">
        <f>+C14+B14</f>
        <v>2446340</v>
      </c>
      <c r="E14" s="131">
        <v>0.00025</v>
      </c>
      <c r="F14" s="83">
        <f>+E14*D14</f>
        <v>611.585</v>
      </c>
      <c r="G14" s="131">
        <f>+E14</f>
        <v>0.00025</v>
      </c>
      <c r="H14" s="83">
        <f>+G14*D14</f>
        <v>611.585</v>
      </c>
    </row>
    <row r="15" spans="2:4" ht="13.5" thickTop="1">
      <c r="B15" s="71"/>
      <c r="C15" s="71"/>
      <c r="D15" s="71"/>
    </row>
    <row r="16" spans="1:8" ht="13.5" thickBot="1">
      <c r="A16" s="79" t="s">
        <v>311</v>
      </c>
      <c r="B16" s="71"/>
      <c r="C16" s="71"/>
      <c r="D16" s="71"/>
      <c r="G16" s="93">
        <f>ROUND(+'Rate Spread'!$M$32/'Rate Spread'!$C$32,6)-0.000001</f>
        <v>0.000614</v>
      </c>
      <c r="H16" s="83">
        <f>+G16*D10</f>
        <v>4698.755344</v>
      </c>
    </row>
    <row r="17" spans="2:4" ht="13.5" thickTop="1">
      <c r="B17" s="71"/>
      <c r="C17" s="71"/>
      <c r="D17" s="71"/>
    </row>
    <row r="18" spans="1:10" ht="13.5" thickBot="1">
      <c r="A18" s="58" t="s">
        <v>71</v>
      </c>
      <c r="F18" s="118">
        <f>SUM(F10:F15)</f>
        <v>355704.70744</v>
      </c>
      <c r="H18" s="118">
        <f>SUM(H10:H16)</f>
        <v>360403.46278400003</v>
      </c>
      <c r="I18" s="118">
        <f>+H18-F18</f>
        <v>4698.755344000005</v>
      </c>
      <c r="J18" s="119">
        <f>+I18/F18</f>
        <v>0.013209708068855363</v>
      </c>
    </row>
    <row r="19" ht="13.5" thickTop="1"/>
    <row r="20" spans="1:6" ht="12.75" hidden="1">
      <c r="A20" s="58" t="s">
        <v>117</v>
      </c>
      <c r="F20" s="90">
        <v>355704.79591999995</v>
      </c>
    </row>
    <row r="21" spans="4:9" ht="12.75" hidden="1">
      <c r="D21" s="71"/>
      <c r="F21" s="90">
        <f>+F18-F20</f>
        <v>-0.08847999991849065</v>
      </c>
      <c r="H21" s="90"/>
      <c r="I21" s="93"/>
    </row>
    <row r="22" spans="4:9" ht="12.75">
      <c r="D22" s="71"/>
      <c r="H22" s="90"/>
      <c r="I22" s="93"/>
    </row>
    <row r="25" ht="12.75">
      <c r="F25" s="92"/>
    </row>
    <row r="26" ht="12.75">
      <c r="F26" s="90"/>
    </row>
  </sheetData>
  <sheetProtection/>
  <printOptions/>
  <pageMargins left="0.46" right="0.27" top="1.5" bottom="1" header="0.5" footer="0.5"/>
  <pageSetup fitToHeight="1" fitToWidth="1" horizontalDpi="600" verticalDpi="600" orientation="landscape" r:id="rId1"/>
  <headerFooter alignWithMargins="0">
    <oddHeader>&amp;L&amp;"Times New Roman,Regular"Puget Sound Energy
Docket UE-0702300/UG-072301&amp;R&amp;"Times New Roman,Regular"Electric Rate Spread and Rate Design 
Exhibit A to Multiparty Settlement&amp;"Arial,Regular"
</oddHeader>
    <oddFooter>&amp;R&amp;"Times New Roman,Regular"Page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29.8515625" style="58" bestFit="1" customWidth="1"/>
    <col min="2" max="2" width="14.00390625" style="58" bestFit="1" customWidth="1"/>
    <col min="3" max="3" width="11.7109375" style="58" bestFit="1" customWidth="1"/>
    <col min="4" max="4" width="13.28125" style="58" bestFit="1" customWidth="1"/>
    <col min="5" max="5" width="11.28125" style="58" bestFit="1" customWidth="1"/>
    <col min="6" max="6" width="13.28125" style="58" bestFit="1" customWidth="1"/>
    <col min="7" max="7" width="11.8515625" style="58" bestFit="1" customWidth="1"/>
    <col min="8" max="8" width="11.28125" style="58" bestFit="1" customWidth="1"/>
    <col min="9" max="16384" width="9.140625" style="58" customWidth="1"/>
  </cols>
  <sheetData>
    <row r="1" spans="1:8" ht="12.75">
      <c r="A1" s="57" t="str">
        <f>+'Residential Sch 7'!A1</f>
        <v>Puget Sound Energy</v>
      </c>
      <c r="B1" s="57"/>
      <c r="C1" s="57"/>
      <c r="D1" s="57"/>
      <c r="E1" s="57"/>
      <c r="F1" s="57"/>
      <c r="G1" s="57"/>
      <c r="H1" s="57"/>
    </row>
    <row r="2" spans="1:8" ht="12.75">
      <c r="A2" s="57" t="str">
        <f>+'Residential Sch 7'!A2</f>
        <v>Proforma and Proposed Revenue</v>
      </c>
      <c r="B2" s="57"/>
      <c r="C2" s="57"/>
      <c r="D2" s="57"/>
      <c r="E2" s="57"/>
      <c r="F2" s="57"/>
      <c r="G2" s="57"/>
      <c r="H2" s="57"/>
    </row>
    <row r="3" spans="1:8" ht="12.75">
      <c r="A3" s="57" t="str">
        <f>+'Residential Sch 7'!A3</f>
        <v>Twelve Months ended September 30, 2007</v>
      </c>
      <c r="B3" s="57"/>
      <c r="C3" s="57"/>
      <c r="D3" s="57"/>
      <c r="E3" s="57"/>
      <c r="F3" s="57"/>
      <c r="G3" s="57"/>
      <c r="H3" s="57"/>
    </row>
    <row r="4" spans="1:8" ht="12.75">
      <c r="A4" s="57" t="s">
        <v>312</v>
      </c>
      <c r="B4" s="57"/>
      <c r="C4" s="57"/>
      <c r="D4" s="57"/>
      <c r="E4" s="57"/>
      <c r="F4" s="57"/>
      <c r="G4" s="57"/>
      <c r="H4" s="57"/>
    </row>
    <row r="5" spans="1:8" ht="12.75">
      <c r="A5" s="57" t="s">
        <v>34</v>
      </c>
      <c r="B5" s="57"/>
      <c r="C5" s="57"/>
      <c r="D5" s="57"/>
      <c r="E5" s="57"/>
      <c r="F5" s="57"/>
      <c r="G5" s="57"/>
      <c r="H5" s="57"/>
    </row>
    <row r="7" spans="3:8" ht="12.75">
      <c r="C7" s="97" t="str">
        <f>+'Residential Sch 7'!E7</f>
        <v>Proforma</v>
      </c>
      <c r="D7" s="98"/>
      <c r="E7" s="99" t="str">
        <f>+'Residential Sch 7'!G7</f>
        <v>Proposed</v>
      </c>
      <c r="F7" s="98"/>
      <c r="G7" s="100"/>
      <c r="H7" s="100"/>
    </row>
    <row r="8" spans="3:8" ht="12.75">
      <c r="C8" s="128" t="str">
        <f>+'Residential Sch 7'!E8</f>
        <v>Rates Effective 9-1-07</v>
      </c>
      <c r="D8" s="105"/>
      <c r="E8" s="104" t="str">
        <f>+'Residential Sch 7'!G8</f>
        <v>Rates Effective 2008</v>
      </c>
      <c r="F8" s="105"/>
      <c r="G8" s="106" t="str">
        <f>+'Residential Sch 7'!I8</f>
        <v>Differences</v>
      </c>
      <c r="H8" s="107"/>
    </row>
    <row r="9" spans="1:8" ht="12.75">
      <c r="A9" s="108"/>
      <c r="B9" s="108"/>
      <c r="C9" s="106" t="str">
        <f>+'Residential Sch 7'!E9</f>
        <v>Charge</v>
      </c>
      <c r="D9" s="107" t="str">
        <f>+'Residential Sch 7'!F9</f>
        <v>Revenue</v>
      </c>
      <c r="E9" s="109" t="str">
        <f>+'Residential Sch 7'!G9</f>
        <v>Charge</v>
      </c>
      <c r="F9" s="107" t="str">
        <f>+'Residential Sch 7'!H9</f>
        <v>Revenue</v>
      </c>
      <c r="G9" s="109" t="str">
        <f>+'Residential Sch 7'!I9</f>
        <v>$</v>
      </c>
      <c r="H9" s="107" t="str">
        <f>+'Residential Sch 7'!J9</f>
        <v>%</v>
      </c>
    </row>
    <row r="10" spans="1:10" ht="12.75">
      <c r="A10" s="179" t="s">
        <v>313</v>
      </c>
      <c r="B10" s="101"/>
      <c r="C10" s="104"/>
      <c r="D10" s="104"/>
      <c r="E10" s="104"/>
      <c r="F10" s="104"/>
      <c r="G10" s="104"/>
      <c r="H10" s="104"/>
      <c r="I10" s="104"/>
      <c r="J10" s="104"/>
    </row>
    <row r="11" spans="1:8" ht="12.75">
      <c r="A11" s="66" t="s">
        <v>5</v>
      </c>
      <c r="B11" s="71">
        <v>117759347</v>
      </c>
      <c r="C11" s="136"/>
      <c r="D11" s="77"/>
      <c r="E11" s="111"/>
      <c r="F11" s="77"/>
      <c r="G11" s="134"/>
      <c r="H11" s="115"/>
    </row>
    <row r="12" spans="1:8" ht="12.75">
      <c r="A12" s="66" t="s">
        <v>314</v>
      </c>
      <c r="B12" s="133">
        <v>24</v>
      </c>
      <c r="C12" s="110">
        <v>709</v>
      </c>
      <c r="D12" s="77">
        <f>+C12*B12</f>
        <v>17016</v>
      </c>
      <c r="E12" s="111">
        <f>+'Rate Design Sch 449'!$E$8</f>
        <v>1000</v>
      </c>
      <c r="F12" s="77">
        <f>+E12*B12</f>
        <v>24000</v>
      </c>
      <c r="G12" s="134">
        <f>+F12-D12</f>
        <v>6984</v>
      </c>
      <c r="H12" s="115">
        <f>+G12/D12</f>
        <v>0.4104372355430183</v>
      </c>
    </row>
    <row r="13" spans="1:8" ht="12.75">
      <c r="A13" s="66" t="s">
        <v>315</v>
      </c>
      <c r="B13" s="114">
        <v>209738</v>
      </c>
      <c r="C13" s="180">
        <v>3.999</v>
      </c>
      <c r="D13" s="77">
        <f>+C13*B13</f>
        <v>838742.262</v>
      </c>
      <c r="E13" s="181">
        <f>+'Rate Design Sch 449'!$E$14</f>
        <v>3.979</v>
      </c>
      <c r="F13" s="77">
        <f>+E13*B13</f>
        <v>834547.502</v>
      </c>
      <c r="G13" s="134">
        <f>+F13-D13</f>
        <v>-4194.760000000009</v>
      </c>
      <c r="H13" s="115">
        <f>+G13/D13</f>
        <v>-0.005001250312578156</v>
      </c>
    </row>
    <row r="14" spans="1:8" ht="13.5" thickBot="1">
      <c r="A14" s="182" t="s">
        <v>316</v>
      </c>
      <c r="D14" s="118">
        <f>SUM(D12:D13)</f>
        <v>855758.262</v>
      </c>
      <c r="F14" s="118">
        <f>SUM(F12:F13)</f>
        <v>858547.502</v>
      </c>
      <c r="G14" s="118">
        <f>SUM(G12:G13)</f>
        <v>2789.2399999999907</v>
      </c>
      <c r="H14" s="119">
        <f>+G14/D14</f>
        <v>0.00325937840609477</v>
      </c>
    </row>
    <row r="15" ht="13.5" thickTop="1">
      <c r="D15" s="90"/>
    </row>
    <row r="16" spans="1:8" ht="12.75">
      <c r="A16" s="179" t="s">
        <v>317</v>
      </c>
      <c r="B16" s="101"/>
      <c r="C16" s="104"/>
      <c r="D16" s="104"/>
      <c r="E16" s="104"/>
      <c r="F16" s="104"/>
      <c r="G16" s="104"/>
      <c r="H16" s="104"/>
    </row>
    <row r="17" spans="1:8" ht="12.75">
      <c r="A17" s="66" t="s">
        <v>5</v>
      </c>
      <c r="B17" s="71">
        <v>1640214172</v>
      </c>
      <c r="C17" s="136"/>
      <c r="D17" s="77"/>
      <c r="E17" s="111"/>
      <c r="F17" s="77"/>
      <c r="G17" s="134"/>
      <c r="H17" s="115"/>
    </row>
    <row r="18" spans="1:8" ht="12.75">
      <c r="A18" s="66" t="s">
        <v>314</v>
      </c>
      <c r="B18" s="133">
        <v>168</v>
      </c>
      <c r="C18" s="110">
        <v>709</v>
      </c>
      <c r="D18" s="77">
        <f>+C18*B18</f>
        <v>119112</v>
      </c>
      <c r="E18" s="111">
        <f>+'Rate Design Sch 449'!$E$9</f>
        <v>1000</v>
      </c>
      <c r="F18" s="77">
        <f>+E18*B18</f>
        <v>168000</v>
      </c>
      <c r="G18" s="134">
        <f>+F18-D18</f>
        <v>48888</v>
      </c>
      <c r="H18" s="115">
        <f>+G18/D18</f>
        <v>0.4104372355430183</v>
      </c>
    </row>
    <row r="19" spans="1:8" ht="12.75">
      <c r="A19" s="66" t="s">
        <v>315</v>
      </c>
      <c r="B19" s="114">
        <v>2928917</v>
      </c>
      <c r="C19" s="180">
        <v>1.532</v>
      </c>
      <c r="D19" s="77">
        <f>+C19*B19-1022</f>
        <v>4486078.8440000005</v>
      </c>
      <c r="E19" s="181">
        <f>+'Rate Design Sch 449'!$E$15</f>
        <v>1.512</v>
      </c>
      <c r="F19" s="77">
        <f>+E19*B19</f>
        <v>4428522.504</v>
      </c>
      <c r="G19" s="134">
        <f>+F19-D19</f>
        <v>-57556.34000000078</v>
      </c>
      <c r="H19" s="115">
        <f>+G19/D19</f>
        <v>-0.012829988504767522</v>
      </c>
    </row>
    <row r="20" spans="1:8" ht="13.5" thickBot="1">
      <c r="A20" s="182" t="s">
        <v>318</v>
      </c>
      <c r="D20" s="118">
        <f>SUM(D18:D19)</f>
        <v>4605190.8440000005</v>
      </c>
      <c r="F20" s="118">
        <f>SUM(F18:F19)</f>
        <v>4596522.504</v>
      </c>
      <c r="G20" s="118">
        <f>SUM(G18:G19)</f>
        <v>-8668.340000000782</v>
      </c>
      <c r="H20" s="119">
        <f>+G20/D20</f>
        <v>-0.0018822976709628803</v>
      </c>
    </row>
    <row r="21" spans="1:8" ht="13.5" thickTop="1">
      <c r="A21" s="182"/>
      <c r="D21" s="134"/>
      <c r="F21" s="134"/>
      <c r="G21" s="134"/>
      <c r="H21" s="115"/>
    </row>
    <row r="22" spans="1:8" ht="12.75">
      <c r="A22" s="72" t="s">
        <v>188</v>
      </c>
      <c r="C22" s="93"/>
      <c r="D22" s="116">
        <v>2727171.9066523993</v>
      </c>
      <c r="E22" s="93"/>
      <c r="F22" s="116">
        <f>+D22</f>
        <v>2727171.9066523993</v>
      </c>
      <c r="G22" s="116">
        <f>+F22-D22</f>
        <v>0</v>
      </c>
      <c r="H22" s="113">
        <f>+G22/D22</f>
        <v>0</v>
      </c>
    </row>
    <row r="24" spans="1:8" ht="12.75">
      <c r="A24" s="72" t="s">
        <v>237</v>
      </c>
      <c r="B24" s="73">
        <f>+B35</f>
        <v>19025846</v>
      </c>
      <c r="C24" s="93">
        <f>+D24/B24</f>
        <v>-0.004643472884201838</v>
      </c>
      <c r="D24" s="116">
        <f>+D35</f>
        <v>-88346</v>
      </c>
      <c r="E24" s="93">
        <f>+F24/B24</f>
        <v>-0.004643</v>
      </c>
      <c r="F24" s="116">
        <f>SUM('Rate Design Sch 449'!$G$22:$G$23)</f>
        <v>-88337.002978</v>
      </c>
      <c r="G24" s="116">
        <f>+F24-D24</f>
        <v>8.997021999995923</v>
      </c>
      <c r="H24" s="113">
        <f>+G24/D24</f>
        <v>-0.00010183847599207573</v>
      </c>
    </row>
    <row r="26" spans="1:8" ht="13.5" thickBot="1">
      <c r="A26" s="58" t="s">
        <v>319</v>
      </c>
      <c r="B26" s="91">
        <f>SUM(B24,B17,B11)</f>
        <v>1776999365</v>
      </c>
      <c r="D26" s="118">
        <f>+D20+D14+D24+D22</f>
        <v>8099775.0126524</v>
      </c>
      <c r="F26" s="118">
        <f>+F20+F14+F24+F22</f>
        <v>8093904.9096743995</v>
      </c>
      <c r="G26" s="118">
        <f>+G20+G14+G24+G22</f>
        <v>-5870.102978000796</v>
      </c>
      <c r="H26" s="119">
        <f>+G26/D26</f>
        <v>-0.000724724201453904</v>
      </c>
    </row>
    <row r="27" ht="13.5" thickTop="1">
      <c r="B27" s="71"/>
    </row>
    <row r="28" spans="4:8" ht="13.5" thickBot="1">
      <c r="D28" s="90">
        <f>+D26+'Sch 459'!D20</f>
        <v>8667087.28415802</v>
      </c>
      <c r="F28" s="90">
        <f>+F26+'Sch 459'!F20</f>
        <v>8666506.60110802</v>
      </c>
      <c r="G28" s="90">
        <f>+G26+'Sch 459'!G20</f>
        <v>-580.6830500008036</v>
      </c>
      <c r="H28" s="119">
        <f>+G28/D28</f>
        <v>-6.69986387540131E-05</v>
      </c>
    </row>
    <row r="29" ht="13.5" thickTop="1">
      <c r="D29" s="92"/>
    </row>
    <row r="30" ht="12.75" hidden="1">
      <c r="D30" s="90">
        <f>+D20+'Sch 459'!D14</f>
        <v>5579857.86</v>
      </c>
    </row>
    <row r="31" ht="12.75" hidden="1"/>
    <row r="32" ht="12.75" hidden="1"/>
    <row r="33" spans="1:8" ht="12.75" hidden="1">
      <c r="A33" s="58" t="s">
        <v>320</v>
      </c>
      <c r="B33" s="114">
        <v>1218729</v>
      </c>
      <c r="D33" s="114">
        <v>-5659</v>
      </c>
      <c r="F33" s="114">
        <f>+E24*B33</f>
        <v>-5658.558747000001</v>
      </c>
      <c r="H33" s="90"/>
    </row>
    <row r="34" spans="1:6" ht="12.75" hidden="1">
      <c r="A34" s="58" t="s">
        <v>321</v>
      </c>
      <c r="B34" s="114">
        <v>17807117</v>
      </c>
      <c r="D34" s="114">
        <v>-82687</v>
      </c>
      <c r="F34" s="114">
        <f>+E24*B34</f>
        <v>-82678.444231</v>
      </c>
    </row>
    <row r="35" spans="2:6" ht="12.75" hidden="1">
      <c r="B35" s="71">
        <f>SUM(B33:B34)</f>
        <v>19025846</v>
      </c>
      <c r="D35" s="71">
        <f>SUM(D33:D34)</f>
        <v>-88346</v>
      </c>
      <c r="F35" s="71">
        <f>SUM(F33:F34)</f>
        <v>-88337.002978</v>
      </c>
    </row>
    <row r="36" ht="12.75" hidden="1">
      <c r="D36" s="71">
        <f>+D35+'Sch 459'!D18</f>
        <v>-105327</v>
      </c>
    </row>
    <row r="37" ht="12.75" hidden="1"/>
    <row r="38" ht="12.75" hidden="1">
      <c r="D38" s="90"/>
    </row>
    <row r="39" ht="12.75" hidden="1">
      <c r="D39" s="90">
        <f>+D14+D33</f>
        <v>850099.262</v>
      </c>
    </row>
    <row r="40" spans="4:5" ht="12.75" hidden="1">
      <c r="D40" s="90">
        <f>+D20+D24+'Sch 459'!D16+'Sch 459'!D14</f>
        <v>5101138.115505621</v>
      </c>
      <c r="E40" s="90"/>
    </row>
    <row r="41" spans="2:4" ht="12.75" hidden="1">
      <c r="B41" s="71">
        <f>+B34+B17+'Sch 459'!B20</f>
        <v>1995979051</v>
      </c>
      <c r="D41" s="90">
        <f>+D22+'Sch 459'!D16</f>
        <v>2336798.1621580194</v>
      </c>
    </row>
    <row r="42" ht="12.75" hidden="1">
      <c r="D42" s="90">
        <f>SUM(D39:D41)</f>
        <v>8288035.539663641</v>
      </c>
    </row>
  </sheetData>
  <sheetProtection/>
  <printOptions/>
  <pageMargins left="0.46" right="0.27" top="1.5" bottom="1" header="0.5" footer="0.5"/>
  <pageSetup fitToHeight="1" fitToWidth="1" horizontalDpi="600" verticalDpi="600" orientation="landscape" r:id="rId1"/>
  <headerFooter alignWithMargins="0">
    <oddHeader>&amp;L&amp;"Times New Roman,Regular"Puget Sound Energy
Docket UE-0702300/UG-072301&amp;R&amp;"Times New Roman,Regular"Electric Rate Spread and Rate Design 
Exhibit A to Multiparty Settlement&amp;"Arial,Regular"
</oddHeader>
    <oddFooter>&amp;R&amp;"Times New Roman,Regular"Page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29.8515625" style="58" bestFit="1" customWidth="1"/>
    <col min="2" max="2" width="14.00390625" style="58" bestFit="1" customWidth="1"/>
    <col min="3" max="3" width="11.7109375" style="58" bestFit="1" customWidth="1"/>
    <col min="4" max="4" width="13.28125" style="58" bestFit="1" customWidth="1"/>
    <col min="5" max="5" width="11.28125" style="58" bestFit="1" customWidth="1"/>
    <col min="6" max="6" width="13.28125" style="58" bestFit="1" customWidth="1"/>
    <col min="7" max="7" width="11.8515625" style="58" bestFit="1" customWidth="1"/>
    <col min="8" max="8" width="7.8515625" style="58" bestFit="1" customWidth="1"/>
    <col min="9" max="16384" width="9.140625" style="58" customWidth="1"/>
  </cols>
  <sheetData>
    <row r="1" spans="1:8" ht="12.75">
      <c r="A1" s="57" t="str">
        <f>+'Residential Sch 7'!A1</f>
        <v>Puget Sound Energy</v>
      </c>
      <c r="B1" s="57"/>
      <c r="C1" s="57"/>
      <c r="D1" s="57"/>
      <c r="E1" s="57"/>
      <c r="F1" s="57"/>
      <c r="G1" s="57"/>
      <c r="H1" s="57"/>
    </row>
    <row r="2" spans="1:8" ht="12.75">
      <c r="A2" s="57" t="str">
        <f>+'Residential Sch 7'!A2</f>
        <v>Proforma and Proposed Revenue</v>
      </c>
      <c r="B2" s="57"/>
      <c r="C2" s="57"/>
      <c r="D2" s="57"/>
      <c r="E2" s="57"/>
      <c r="F2" s="57"/>
      <c r="G2" s="57"/>
      <c r="H2" s="57"/>
    </row>
    <row r="3" spans="1:8" ht="12.75">
      <c r="A3" s="57" t="str">
        <f>+'Residential Sch 7'!A3</f>
        <v>Twelve Months ended September 30, 2007</v>
      </c>
      <c r="B3" s="57"/>
      <c r="C3" s="57"/>
      <c r="D3" s="57"/>
      <c r="E3" s="57"/>
      <c r="F3" s="57"/>
      <c r="G3" s="57"/>
      <c r="H3" s="57"/>
    </row>
    <row r="4" spans="1:8" ht="12.75">
      <c r="A4" s="57" t="s">
        <v>322</v>
      </c>
      <c r="B4" s="57"/>
      <c r="C4" s="57"/>
      <c r="D4" s="57"/>
      <c r="E4" s="57"/>
      <c r="F4" s="57"/>
      <c r="G4" s="57"/>
      <c r="H4" s="57"/>
    </row>
    <row r="5" spans="1:8" ht="12.75">
      <c r="A5" s="57" t="s">
        <v>323</v>
      </c>
      <c r="B5" s="57"/>
      <c r="C5" s="57"/>
      <c r="D5" s="57"/>
      <c r="E5" s="57"/>
      <c r="F5" s="57"/>
      <c r="G5" s="57"/>
      <c r="H5" s="57"/>
    </row>
    <row r="7" spans="3:8" ht="12.75">
      <c r="C7" s="97" t="str">
        <f>+'Residential Sch 7'!E7</f>
        <v>Proforma</v>
      </c>
      <c r="D7" s="98"/>
      <c r="E7" s="99" t="str">
        <f>+'Residential Sch 7'!G7</f>
        <v>Proposed</v>
      </c>
      <c r="F7" s="98"/>
      <c r="G7" s="100"/>
      <c r="H7" s="100"/>
    </row>
    <row r="8" spans="3:8" ht="12.75">
      <c r="C8" s="128" t="str">
        <f>+'Residential Sch 7'!E8</f>
        <v>Rates Effective 9-1-07</v>
      </c>
      <c r="D8" s="105"/>
      <c r="E8" s="104" t="str">
        <f>+'Residential Sch 7'!G8</f>
        <v>Rates Effective 2008</v>
      </c>
      <c r="F8" s="105"/>
      <c r="G8" s="106" t="str">
        <f>+'Residential Sch 7'!I8</f>
        <v>Differences</v>
      </c>
      <c r="H8" s="107"/>
    </row>
    <row r="9" spans="1:8" ht="12.75">
      <c r="A9" s="108"/>
      <c r="B9" s="108"/>
      <c r="C9" s="106" t="str">
        <f>+'Residential Sch 7'!E9</f>
        <v>Charge</v>
      </c>
      <c r="D9" s="107" t="str">
        <f>+'Residential Sch 7'!F9</f>
        <v>Revenue</v>
      </c>
      <c r="E9" s="109" t="str">
        <f>+'Residential Sch 7'!G9</f>
        <v>Charge</v>
      </c>
      <c r="F9" s="107" t="str">
        <f>+'Residential Sch 7'!H9</f>
        <v>Revenue</v>
      </c>
      <c r="G9" s="109" t="str">
        <f>+'Residential Sch 7'!I9</f>
        <v>$</v>
      </c>
      <c r="H9" s="107" t="str">
        <f>+'Residential Sch 7'!J9</f>
        <v>%</v>
      </c>
    </row>
    <row r="10" spans="1:8" ht="12.75">
      <c r="A10" s="179" t="s">
        <v>317</v>
      </c>
      <c r="B10" s="101"/>
      <c r="C10" s="104"/>
      <c r="D10" s="104"/>
      <c r="E10" s="104"/>
      <c r="F10" s="104"/>
      <c r="G10" s="104"/>
      <c r="H10" s="104"/>
    </row>
    <row r="11" spans="1:8" ht="12.75">
      <c r="A11" s="66" t="s">
        <v>5</v>
      </c>
      <c r="B11" s="71">
        <v>334300824</v>
      </c>
      <c r="C11" s="136"/>
      <c r="D11" s="77"/>
      <c r="E11" s="111"/>
      <c r="F11" s="77"/>
      <c r="G11" s="134"/>
      <c r="H11" s="115"/>
    </row>
    <row r="12" spans="1:8" ht="12.75">
      <c r="A12" s="66" t="s">
        <v>314</v>
      </c>
      <c r="B12" s="133">
        <v>60</v>
      </c>
      <c r="C12" s="111">
        <v>709</v>
      </c>
      <c r="D12" s="77">
        <f>+C12*B12</f>
        <v>42540</v>
      </c>
      <c r="E12" s="111">
        <f>+'Rate Design Sch 449'!$E$10</f>
        <v>1000</v>
      </c>
      <c r="F12" s="77">
        <f>+E12*B12</f>
        <v>60000</v>
      </c>
      <c r="G12" s="134">
        <f>+F12-D12</f>
        <v>17460</v>
      </c>
      <c r="H12" s="115">
        <f>+G12/D12</f>
        <v>0.4104372355430183</v>
      </c>
    </row>
    <row r="13" spans="1:8" ht="12.75">
      <c r="A13" s="66" t="s">
        <v>324</v>
      </c>
      <c r="B13" s="114">
        <v>608438</v>
      </c>
      <c r="C13" s="181">
        <v>1.532</v>
      </c>
      <c r="D13" s="77">
        <f>+C13*B13</f>
        <v>932127.0160000001</v>
      </c>
      <c r="E13" s="181">
        <f>+'Rate Design Sch 449'!$E$16</f>
        <v>1.512</v>
      </c>
      <c r="F13" s="77">
        <f>+E13*B13</f>
        <v>919958.256</v>
      </c>
      <c r="G13" s="134">
        <f>+F13-D13</f>
        <v>-12168.76000000001</v>
      </c>
      <c r="H13" s="115">
        <f>+G13/D13</f>
        <v>-0.013054830287206276</v>
      </c>
    </row>
    <row r="14" spans="1:8" ht="13.5" thickBot="1">
      <c r="A14" s="182" t="s">
        <v>318</v>
      </c>
      <c r="D14" s="118">
        <f>SUM(D12:D13)</f>
        <v>974667.0160000001</v>
      </c>
      <c r="F14" s="118">
        <f>SUM(F12:F13)</f>
        <v>979958.256</v>
      </c>
      <c r="G14" s="118">
        <f>SUM(G12:G13)</f>
        <v>5291.239999999991</v>
      </c>
      <c r="H14" s="119">
        <f>+G14/D14</f>
        <v>0.005428766864108173</v>
      </c>
    </row>
    <row r="15" ht="13.5" thickTop="1"/>
    <row r="16" spans="1:8" ht="12.75">
      <c r="A16" s="72" t="s">
        <v>188</v>
      </c>
      <c r="C16" s="93"/>
      <c r="D16" s="116">
        <v>-390373.74449437996</v>
      </c>
      <c r="E16" s="93"/>
      <c r="F16" s="116">
        <f>+D16</f>
        <v>-390373.74449437996</v>
      </c>
      <c r="G16" s="116">
        <f>+F16-D16</f>
        <v>0</v>
      </c>
      <c r="H16" s="113">
        <f>+G16/D16</f>
        <v>0</v>
      </c>
    </row>
    <row r="18" spans="1:8" ht="13.5" thickBot="1">
      <c r="A18" s="72" t="s">
        <v>237</v>
      </c>
      <c r="B18" s="73">
        <v>3656938</v>
      </c>
      <c r="C18" s="93">
        <f>+D18/B18</f>
        <v>-0.0046435022961833095</v>
      </c>
      <c r="D18" s="118">
        <v>-16981</v>
      </c>
      <c r="E18" s="93">
        <f>+F18/B18</f>
        <v>-0.004644</v>
      </c>
      <c r="F18" s="118">
        <f>+'Rate Design Sch 449'!$G$24</f>
        <v>-16982.820072</v>
      </c>
      <c r="G18" s="118">
        <f>+F18-D18</f>
        <v>-1.8200719999986177</v>
      </c>
      <c r="H18" s="119">
        <f>+G18/D18</f>
        <v>0.00010718285142209632</v>
      </c>
    </row>
    <row r="19" ht="13.5" thickTop="1"/>
    <row r="20" spans="1:8" ht="13.5" thickBot="1">
      <c r="A20" s="79" t="s">
        <v>464</v>
      </c>
      <c r="B20" s="91">
        <f>SUM(B11,B18)</f>
        <v>337957762</v>
      </c>
      <c r="D20" s="118">
        <f>SUM(D18,D14,D16)</f>
        <v>567312.2715056201</v>
      </c>
      <c r="F20" s="118">
        <f>SUM(F18,F14,F16)</f>
        <v>572601.69143362</v>
      </c>
      <c r="G20" s="118">
        <f>SUM(G18,G14,G16)</f>
        <v>5289.419927999992</v>
      </c>
      <c r="H20" s="119">
        <f>+G20/D20</f>
        <v>0.00932364800423252</v>
      </c>
    </row>
    <row r="21" ht="13.5" thickTop="1">
      <c r="B21" s="71"/>
    </row>
    <row r="22" ht="12.75">
      <c r="D22" s="90"/>
    </row>
    <row r="23" ht="12.75">
      <c r="D23" s="92"/>
    </row>
  </sheetData>
  <sheetProtection/>
  <printOptions/>
  <pageMargins left="0.46" right="0.27" top="1.5" bottom="1" header="0.5" footer="0.5"/>
  <pageSetup fitToHeight="1" fitToWidth="1" horizontalDpi="600" verticalDpi="600" orientation="landscape" r:id="rId1"/>
  <headerFooter alignWithMargins="0">
    <oddHeader>&amp;L&amp;"Times New Roman,Regular"Puget Sound Energy
Docket UE-0702300/UG-072301&amp;R&amp;"Times New Roman,Regular"Electric Rate Spread and Rate Design 
Exhibit A to Multiparty Settlement&amp;"Arial,Regular"
</oddHeader>
    <oddFooter>&amp;R&amp;"Times New Roman,Regular"Page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47.140625" style="58" bestFit="1" customWidth="1"/>
    <col min="2" max="2" width="12.28125" style="58" bestFit="1" customWidth="1"/>
    <col min="3" max="3" width="10.7109375" style="58" bestFit="1" customWidth="1"/>
    <col min="4" max="4" width="11.28125" style="58" bestFit="1" customWidth="1"/>
    <col min="5" max="5" width="10.7109375" style="58" bestFit="1" customWidth="1"/>
    <col min="6" max="6" width="11.28125" style="58" bestFit="1" customWidth="1"/>
    <col min="7" max="7" width="9.7109375" style="58" bestFit="1" customWidth="1"/>
    <col min="8" max="8" width="6.28125" style="58" bestFit="1" customWidth="1"/>
    <col min="9" max="16384" width="9.140625" style="58" customWidth="1"/>
  </cols>
  <sheetData>
    <row r="1" spans="1:8" ht="12.75">
      <c r="A1" s="57" t="str">
        <f>+'Residential Sch 7'!A1</f>
        <v>Puget Sound Energy</v>
      </c>
      <c r="B1" s="57"/>
      <c r="C1" s="57"/>
      <c r="D1" s="57"/>
      <c r="E1" s="57"/>
      <c r="F1" s="57"/>
      <c r="G1" s="57"/>
      <c r="H1" s="57"/>
    </row>
    <row r="2" spans="1:8" ht="12.75">
      <c r="A2" s="57" t="str">
        <f>+'Residential Sch 7'!A2</f>
        <v>Proforma and Proposed Revenue</v>
      </c>
      <c r="B2" s="57"/>
      <c r="C2" s="57"/>
      <c r="D2" s="57"/>
      <c r="E2" s="57"/>
      <c r="F2" s="57"/>
      <c r="G2" s="57"/>
      <c r="H2" s="57"/>
    </row>
    <row r="3" spans="1:8" ht="12.75">
      <c r="A3" s="57" t="str">
        <f>+'Residential Sch 7'!A3</f>
        <v>Twelve Months ended September 30, 2007</v>
      </c>
      <c r="B3" s="57"/>
      <c r="C3" s="57"/>
      <c r="D3" s="57"/>
      <c r="E3" s="57"/>
      <c r="F3" s="57"/>
      <c r="G3" s="57"/>
      <c r="H3" s="57"/>
    </row>
    <row r="4" spans="1:8" ht="12.75">
      <c r="A4" s="57" t="s">
        <v>325</v>
      </c>
      <c r="B4" s="57"/>
      <c r="C4" s="57"/>
      <c r="D4" s="57"/>
      <c r="E4" s="57"/>
      <c r="F4" s="57"/>
      <c r="G4" s="57"/>
      <c r="H4" s="57"/>
    </row>
    <row r="5" spans="1:8" ht="12.75">
      <c r="A5" s="57"/>
      <c r="B5" s="57"/>
      <c r="C5" s="57"/>
      <c r="D5" s="57"/>
      <c r="E5" s="57"/>
      <c r="F5" s="57"/>
      <c r="G5" s="57"/>
      <c r="H5" s="57"/>
    </row>
    <row r="7" spans="2:8" ht="12.75">
      <c r="B7" s="96"/>
      <c r="C7" s="97" t="str">
        <f>+'Residential Sch 7'!E7</f>
        <v>Proforma</v>
      </c>
      <c r="D7" s="98"/>
      <c r="E7" s="99" t="str">
        <f>+'Residential Sch 7'!G7</f>
        <v>Proposed</v>
      </c>
      <c r="F7" s="98"/>
      <c r="G7" s="100"/>
      <c r="H7" s="100"/>
    </row>
    <row r="8" spans="2:8" ht="12.75">
      <c r="B8" s="101"/>
      <c r="C8" s="128" t="str">
        <f>+'Residential Sch 7'!E8</f>
        <v>Rates Effective 9-1-07</v>
      </c>
      <c r="D8" s="105"/>
      <c r="E8" s="177" t="s">
        <v>310</v>
      </c>
      <c r="F8" s="105"/>
      <c r="G8" s="106" t="str">
        <f>+'Residential Sch 7'!I8</f>
        <v>Differences</v>
      </c>
      <c r="H8" s="107"/>
    </row>
    <row r="9" spans="1:8" ht="12.75">
      <c r="A9" s="108"/>
      <c r="B9" s="108" t="s">
        <v>228</v>
      </c>
      <c r="C9" s="106" t="str">
        <f>+'Residential Sch 7'!E9</f>
        <v>Charge</v>
      </c>
      <c r="D9" s="107" t="str">
        <f>+'Residential Sch 7'!F9</f>
        <v>Revenue</v>
      </c>
      <c r="E9" s="109" t="str">
        <f>+'Residential Sch 7'!G9</f>
        <v>Charge</v>
      </c>
      <c r="F9" s="107" t="str">
        <f>+'Residential Sch 7'!H9</f>
        <v>Revenue</v>
      </c>
      <c r="G9" s="109" t="str">
        <f>+'Residential Sch 7'!I9</f>
        <v>$</v>
      </c>
      <c r="H9" s="107" t="str">
        <f>+'Residential Sch 7'!J9</f>
        <v>%</v>
      </c>
    </row>
    <row r="10" spans="1:6" ht="13.5" thickBot="1">
      <c r="A10" s="79" t="s">
        <v>249</v>
      </c>
      <c r="B10" s="91">
        <v>147863815</v>
      </c>
      <c r="C10" s="93"/>
      <c r="D10" s="83">
        <v>786676.7</v>
      </c>
      <c r="E10" s="93"/>
      <c r="F10" s="83">
        <f>+D10</f>
        <v>786676.7</v>
      </c>
    </row>
    <row r="11" ht="13.5" thickTop="1">
      <c r="B11" s="71"/>
    </row>
    <row r="12" spans="1:6" ht="13.5" thickBot="1">
      <c r="A12" s="79" t="s">
        <v>311</v>
      </c>
      <c r="B12" s="71"/>
      <c r="C12" s="71"/>
      <c r="D12" s="71"/>
      <c r="E12" s="93">
        <f>+'Small Firm Resale'!G16</f>
        <v>0.000614</v>
      </c>
      <c r="F12" s="83">
        <f>+E12*B10</f>
        <v>90788.38240999999</v>
      </c>
    </row>
    <row r="13" ht="13.5" thickTop="1">
      <c r="B13" s="71"/>
    </row>
    <row r="14" spans="1:8" ht="13.5" thickBot="1">
      <c r="A14" s="58" t="s">
        <v>71</v>
      </c>
      <c r="D14" s="118">
        <f>+D10</f>
        <v>786676.7</v>
      </c>
      <c r="F14" s="118">
        <f>SUM(F10:F12)</f>
        <v>877465.0824099999</v>
      </c>
      <c r="G14" s="118">
        <f>+F14-D14</f>
        <v>90788.38240999996</v>
      </c>
      <c r="H14" s="119">
        <f>+G14/D14</f>
        <v>0.1154074887561815</v>
      </c>
    </row>
    <row r="15" ht="13.5" thickTop="1"/>
    <row r="16" spans="1:4" ht="12.75">
      <c r="A16" s="58" t="s">
        <v>117</v>
      </c>
      <c r="D16" s="90">
        <v>786676.7</v>
      </c>
    </row>
    <row r="17" spans="2:7" ht="12.75">
      <c r="B17" s="71"/>
      <c r="D17" s="90">
        <f>+D14-D16</f>
        <v>0</v>
      </c>
      <c r="F17" s="90"/>
      <c r="G17" s="93"/>
    </row>
    <row r="18" spans="2:7" ht="12.75">
      <c r="B18" s="71"/>
      <c r="F18" s="90"/>
      <c r="G18" s="93"/>
    </row>
    <row r="19" spans="1:6" ht="12.75">
      <c r="A19" s="79" t="s">
        <v>326</v>
      </c>
      <c r="D19" s="90">
        <f>+'Small Firm Resale'!F18</f>
        <v>355704.70744</v>
      </c>
      <c r="F19" s="90">
        <f>+'Small Firm Resale'!H18</f>
        <v>360403.46278400003</v>
      </c>
    </row>
    <row r="20" spans="1:6" ht="12.75">
      <c r="A20" s="79" t="s">
        <v>327</v>
      </c>
      <c r="D20" s="90">
        <f>+D19+D14</f>
        <v>1142381.40744</v>
      </c>
      <c r="F20" s="90">
        <f>+F19+F14</f>
        <v>1237868.545194</v>
      </c>
    </row>
    <row r="21" spans="1:4" ht="12.75">
      <c r="A21" s="79"/>
      <c r="D21" s="114"/>
    </row>
    <row r="31" ht="12" customHeight="1"/>
  </sheetData>
  <sheetProtection/>
  <printOptions/>
  <pageMargins left="0.46" right="0.27" top="1.5" bottom="1" header="0.5" footer="0.5"/>
  <pageSetup fitToHeight="1" fitToWidth="1" horizontalDpi="600" verticalDpi="600" orientation="landscape" r:id="rId1"/>
  <headerFooter alignWithMargins="0">
    <oddHeader>&amp;L&amp;"Times New Roman,Regular"Puget Sound Energy
Docket UE-0702300/UG-072301&amp;R&amp;"Times New Roman,Regular"Electric Rate Spread and Rate Design 
Exhibit A to Multiparty Settlement&amp;"Arial,Regular"
</oddHeader>
    <oddFooter>&amp;R&amp;"Times New Roman,Regular"Page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PageLayoutView="0" workbookViewId="0" topLeftCell="A19">
      <selection activeCell="G10" sqref="G10"/>
    </sheetView>
  </sheetViews>
  <sheetFormatPr defaultColWidth="9.140625" defaultRowHeight="12.75"/>
  <cols>
    <col min="1" max="1" width="4.421875" style="0" bestFit="1" customWidth="1"/>
    <col min="2" max="2" width="26.28125" style="0" bestFit="1" customWidth="1"/>
    <col min="3" max="3" width="5.57421875" style="0" bestFit="1" customWidth="1"/>
    <col min="4" max="4" width="19.57421875" style="0" customWidth="1"/>
    <col min="5" max="5" width="24.00390625" style="0" customWidth="1"/>
    <col min="6" max="6" width="13.8515625" style="0" customWidth="1"/>
    <col min="7" max="7" width="30.00390625" style="0" customWidth="1"/>
    <col min="8" max="8" width="8.00390625" style="0" customWidth="1"/>
  </cols>
  <sheetData>
    <row r="1" spans="7:8" ht="12.75">
      <c r="G1" s="359"/>
      <c r="H1" s="359"/>
    </row>
    <row r="2" spans="1:8" ht="12.75">
      <c r="A2" s="378" t="s">
        <v>514</v>
      </c>
      <c r="B2" s="378"/>
      <c r="C2" s="378"/>
      <c r="D2" s="378"/>
      <c r="E2" s="378"/>
      <c r="F2" s="378"/>
      <c r="G2" s="378"/>
      <c r="H2" s="378"/>
    </row>
    <row r="3" spans="1:8" ht="12.75">
      <c r="A3" s="378" t="s">
        <v>515</v>
      </c>
      <c r="B3" s="378"/>
      <c r="C3" s="378"/>
      <c r="D3" s="378"/>
      <c r="E3" s="378"/>
      <c r="F3" s="378"/>
      <c r="G3" s="378"/>
      <c r="H3" s="378"/>
    </row>
    <row r="4" spans="1:8" ht="12.75">
      <c r="A4" s="379" t="s">
        <v>516</v>
      </c>
      <c r="B4" s="379"/>
      <c r="C4" s="379"/>
      <c r="D4" s="379"/>
      <c r="E4" s="379"/>
      <c r="F4" s="379"/>
      <c r="G4" s="379"/>
      <c r="H4" s="379"/>
    </row>
    <row r="5" spans="1:8" ht="12.75">
      <c r="A5" s="379" t="s">
        <v>517</v>
      </c>
      <c r="B5" s="379"/>
      <c r="C5" s="379"/>
      <c r="D5" s="379"/>
      <c r="E5" s="379"/>
      <c r="F5" s="379"/>
      <c r="G5" s="379"/>
      <c r="H5" s="379"/>
    </row>
    <row r="6" ht="13.5" thickBot="1"/>
    <row r="7" spans="1:8" ht="26.25" thickBot="1">
      <c r="A7" s="360" t="s">
        <v>46</v>
      </c>
      <c r="B7" s="361" t="s">
        <v>518</v>
      </c>
      <c r="C7" s="361" t="s">
        <v>519</v>
      </c>
      <c r="D7" s="361" t="s">
        <v>393</v>
      </c>
      <c r="E7" s="361" t="s">
        <v>520</v>
      </c>
      <c r="F7" s="361" t="s">
        <v>521</v>
      </c>
      <c r="G7" s="361" t="s">
        <v>522</v>
      </c>
      <c r="H7" s="362" t="s">
        <v>523</v>
      </c>
    </row>
    <row r="8" spans="1:8" ht="25.5">
      <c r="A8" s="363">
        <v>1</v>
      </c>
      <c r="B8" s="364" t="s">
        <v>19</v>
      </c>
      <c r="C8" s="364">
        <v>7</v>
      </c>
      <c r="D8" s="365" t="s">
        <v>524</v>
      </c>
      <c r="E8" s="366" t="s">
        <v>525</v>
      </c>
      <c r="F8" s="366" t="s">
        <v>525</v>
      </c>
      <c r="G8" s="366" t="s">
        <v>526</v>
      </c>
      <c r="H8" s="367" t="s">
        <v>525</v>
      </c>
    </row>
    <row r="9" spans="1:8" ht="25.5">
      <c r="A9" s="368">
        <f>+A8+1</f>
        <v>2</v>
      </c>
      <c r="B9" s="369" t="s">
        <v>527</v>
      </c>
      <c r="C9" s="370">
        <v>24</v>
      </c>
      <c r="D9" s="371" t="s">
        <v>528</v>
      </c>
      <c r="E9" s="371" t="s">
        <v>525</v>
      </c>
      <c r="F9" s="371" t="s">
        <v>525</v>
      </c>
      <c r="G9" s="371" t="s">
        <v>69</v>
      </c>
      <c r="H9" s="372" t="s">
        <v>525</v>
      </c>
    </row>
    <row r="10" spans="1:8" ht="51">
      <c r="A10" s="368">
        <f aca="true" t="shared" si="0" ref="A10:A20">+A9+1</f>
        <v>3</v>
      </c>
      <c r="B10" s="369" t="s">
        <v>529</v>
      </c>
      <c r="C10" s="370">
        <v>25</v>
      </c>
      <c r="D10" s="373">
        <v>50</v>
      </c>
      <c r="E10" s="374" t="s">
        <v>530</v>
      </c>
      <c r="F10" s="371" t="s">
        <v>115</v>
      </c>
      <c r="G10" s="375" t="s">
        <v>531</v>
      </c>
      <c r="H10" s="372" t="s">
        <v>525</v>
      </c>
    </row>
    <row r="11" spans="1:8" ht="25.5">
      <c r="A11" s="368">
        <f t="shared" si="0"/>
        <v>4</v>
      </c>
      <c r="B11" s="369" t="s">
        <v>532</v>
      </c>
      <c r="C11" s="370">
        <v>26</v>
      </c>
      <c r="D11" s="374" t="s">
        <v>533</v>
      </c>
      <c r="E11" s="374" t="s">
        <v>534</v>
      </c>
      <c r="F11" s="371" t="s">
        <v>115</v>
      </c>
      <c r="G11" s="371" t="s">
        <v>535</v>
      </c>
      <c r="H11" s="372" t="s">
        <v>525</v>
      </c>
    </row>
    <row r="12" spans="1:8" ht="38.25">
      <c r="A12" s="368">
        <f t="shared" si="0"/>
        <v>5</v>
      </c>
      <c r="B12" s="369" t="s">
        <v>536</v>
      </c>
      <c r="C12" s="370">
        <v>29</v>
      </c>
      <c r="D12" s="371" t="s">
        <v>537</v>
      </c>
      <c r="E12" s="374" t="s">
        <v>538</v>
      </c>
      <c r="F12" s="374" t="s">
        <v>538</v>
      </c>
      <c r="G12" s="374" t="s">
        <v>539</v>
      </c>
      <c r="H12" s="372" t="s">
        <v>525</v>
      </c>
    </row>
    <row r="13" spans="1:8" ht="25.5">
      <c r="A13" s="368">
        <f t="shared" si="0"/>
        <v>6</v>
      </c>
      <c r="B13" s="370" t="s">
        <v>540</v>
      </c>
      <c r="C13" s="370">
        <v>31</v>
      </c>
      <c r="D13" s="374" t="s">
        <v>541</v>
      </c>
      <c r="E13" s="374" t="s">
        <v>542</v>
      </c>
      <c r="F13" s="371" t="s">
        <v>115</v>
      </c>
      <c r="G13" s="371" t="s">
        <v>535</v>
      </c>
      <c r="H13" s="372" t="s">
        <v>525</v>
      </c>
    </row>
    <row r="14" spans="1:8" ht="25.5">
      <c r="A14" s="368">
        <f t="shared" si="0"/>
        <v>7</v>
      </c>
      <c r="B14" s="369" t="s">
        <v>543</v>
      </c>
      <c r="C14" s="370">
        <v>35</v>
      </c>
      <c r="D14" s="373" t="s">
        <v>544</v>
      </c>
      <c r="E14" s="374" t="s">
        <v>542</v>
      </c>
      <c r="F14" s="371" t="s">
        <v>115</v>
      </c>
      <c r="G14" s="371" t="s">
        <v>535</v>
      </c>
      <c r="H14" s="372" t="s">
        <v>525</v>
      </c>
    </row>
    <row r="15" spans="1:8" ht="25.5">
      <c r="A15" s="368">
        <f t="shared" si="0"/>
        <v>8</v>
      </c>
      <c r="B15" s="369" t="s">
        <v>545</v>
      </c>
      <c r="C15" s="370">
        <v>43</v>
      </c>
      <c r="D15" s="373" t="s">
        <v>544</v>
      </c>
      <c r="E15" s="374" t="s">
        <v>542</v>
      </c>
      <c r="F15" s="371" t="s">
        <v>115</v>
      </c>
      <c r="G15" s="371" t="s">
        <v>535</v>
      </c>
      <c r="H15" s="372" t="s">
        <v>525</v>
      </c>
    </row>
    <row r="16" spans="1:8" ht="25.5">
      <c r="A16" s="368">
        <f t="shared" si="0"/>
        <v>9</v>
      </c>
      <c r="B16" s="369" t="s">
        <v>31</v>
      </c>
      <c r="C16" s="370">
        <v>40</v>
      </c>
      <c r="D16" s="374" t="s">
        <v>546</v>
      </c>
      <c r="E16" s="374" t="s">
        <v>547</v>
      </c>
      <c r="F16" s="374" t="s">
        <v>548</v>
      </c>
      <c r="G16" s="371" t="s">
        <v>549</v>
      </c>
      <c r="H16" s="372" t="s">
        <v>525</v>
      </c>
    </row>
    <row r="17" spans="1:8" ht="25.5">
      <c r="A17" s="368">
        <f t="shared" si="0"/>
        <v>10</v>
      </c>
      <c r="B17" s="370" t="s">
        <v>550</v>
      </c>
      <c r="C17" s="370">
        <v>46</v>
      </c>
      <c r="D17" s="371" t="s">
        <v>525</v>
      </c>
      <c r="E17" s="375" t="s">
        <v>542</v>
      </c>
      <c r="F17" s="371" t="s">
        <v>525</v>
      </c>
      <c r="G17" s="371" t="s">
        <v>551</v>
      </c>
      <c r="H17" s="372" t="s">
        <v>525</v>
      </c>
    </row>
    <row r="18" spans="1:8" ht="25.5">
      <c r="A18" s="368">
        <f t="shared" si="0"/>
        <v>11</v>
      </c>
      <c r="B18" s="369" t="s">
        <v>552</v>
      </c>
      <c r="C18" s="370">
        <v>49</v>
      </c>
      <c r="D18" s="371" t="s">
        <v>525</v>
      </c>
      <c r="E18" s="374" t="s">
        <v>542</v>
      </c>
      <c r="F18" s="371" t="s">
        <v>525</v>
      </c>
      <c r="G18" s="371" t="s">
        <v>535</v>
      </c>
      <c r="H18" s="372" t="s">
        <v>525</v>
      </c>
    </row>
    <row r="19" spans="1:8" ht="38.25">
      <c r="A19" s="368">
        <f t="shared" si="0"/>
        <v>12</v>
      </c>
      <c r="B19" s="370" t="s">
        <v>35</v>
      </c>
      <c r="C19" s="370" t="s">
        <v>36</v>
      </c>
      <c r="D19" s="371" t="s">
        <v>525</v>
      </c>
      <c r="E19" s="371" t="s">
        <v>525</v>
      </c>
      <c r="F19" s="371" t="s">
        <v>525</v>
      </c>
      <c r="G19" s="371" t="s">
        <v>525</v>
      </c>
      <c r="H19" s="372" t="s">
        <v>115</v>
      </c>
    </row>
    <row r="20" spans="1:8" ht="25.5">
      <c r="A20" s="368">
        <f t="shared" si="0"/>
        <v>13</v>
      </c>
      <c r="B20" s="369" t="s">
        <v>553</v>
      </c>
      <c r="C20" s="370">
        <v>449</v>
      </c>
      <c r="D20" s="374" t="s">
        <v>554</v>
      </c>
      <c r="E20" s="374" t="s">
        <v>555</v>
      </c>
      <c r="F20" s="371" t="s">
        <v>525</v>
      </c>
      <c r="G20" s="371" t="s">
        <v>525</v>
      </c>
      <c r="H20" s="372" t="s">
        <v>525</v>
      </c>
    </row>
  </sheetData>
  <sheetProtection/>
  <mergeCells count="4">
    <mergeCell ref="A2:H2"/>
    <mergeCell ref="A3:H3"/>
    <mergeCell ref="A4:H4"/>
    <mergeCell ref="A5:H5"/>
  </mergeCells>
  <printOptions/>
  <pageMargins left="0.46" right="0.27" top="1.5" bottom="1" header="0.5" footer="0.5"/>
  <pageSetup fitToHeight="1" fitToWidth="1" horizontalDpi="600" verticalDpi="600" orientation="landscape" scale="91" r:id="rId1"/>
  <headerFooter alignWithMargins="0">
    <oddHeader>&amp;L&amp;"Times New Roman,Regular"Puget Sound Energy
Docket UE-0702300/UG-072301&amp;R&amp;"Times New Roman,Regular"Electric Rate Spread and Rate Design 
Exhibit A to Multiparty Settlement&amp;"Arial,Regular"
</oddHeader>
    <oddFooter>&amp;R&amp;"Times New Roman,Regular"Page 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27.421875" style="58" bestFit="1" customWidth="1"/>
    <col min="2" max="2" width="13.8515625" style="58" bestFit="1" customWidth="1"/>
    <col min="3" max="3" width="14.8515625" style="58" bestFit="1" customWidth="1"/>
    <col min="4" max="4" width="12.28125" style="58" bestFit="1" customWidth="1"/>
    <col min="5" max="5" width="12.8515625" style="58" bestFit="1" customWidth="1"/>
    <col min="6" max="6" width="12.28125" style="58" bestFit="1" customWidth="1"/>
    <col min="7" max="7" width="9.140625" style="58" customWidth="1"/>
    <col min="8" max="8" width="12.28125" style="58" hidden="1" customWidth="1"/>
    <col min="9" max="9" width="10.7109375" style="58" hidden="1" customWidth="1"/>
    <col min="10" max="16384" width="9.140625" style="58" customWidth="1"/>
  </cols>
  <sheetData>
    <row r="1" spans="1:6" ht="12.75">
      <c r="A1" s="57" t="s">
        <v>0</v>
      </c>
      <c r="B1" s="57"/>
      <c r="C1" s="57"/>
      <c r="D1" s="57"/>
      <c r="E1" s="57"/>
      <c r="F1" s="57"/>
    </row>
    <row r="2" spans="1:6" ht="12.75">
      <c r="A2" s="57" t="s">
        <v>293</v>
      </c>
      <c r="B2" s="57"/>
      <c r="C2" s="57"/>
      <c r="D2" s="57"/>
      <c r="E2" s="57"/>
      <c r="F2" s="57"/>
    </row>
    <row r="3" spans="1:6" ht="12.75">
      <c r="A3" s="57" t="s">
        <v>294</v>
      </c>
      <c r="B3" s="57"/>
      <c r="C3" s="57"/>
      <c r="D3" s="57"/>
      <c r="E3" s="57"/>
      <c r="F3" s="57"/>
    </row>
    <row r="4" spans="1:6" ht="12.75">
      <c r="A4" s="57" t="s">
        <v>1</v>
      </c>
      <c r="B4" s="57"/>
      <c r="C4" s="57"/>
      <c r="D4" s="57"/>
      <c r="E4" s="57"/>
      <c r="F4" s="57"/>
    </row>
    <row r="7" spans="1:9" s="61" customFormat="1" ht="38.25">
      <c r="A7" s="59" t="s">
        <v>4</v>
      </c>
      <c r="B7" s="59" t="s">
        <v>5</v>
      </c>
      <c r="C7" s="60" t="s">
        <v>295</v>
      </c>
      <c r="D7" s="60" t="s">
        <v>296</v>
      </c>
      <c r="E7" s="59" t="s">
        <v>297</v>
      </c>
      <c r="F7" s="59" t="s">
        <v>207</v>
      </c>
      <c r="H7" s="60" t="s">
        <v>328</v>
      </c>
      <c r="I7" s="60" t="s">
        <v>329</v>
      </c>
    </row>
    <row r="8" spans="1:8" s="61" customFormat="1" ht="12.75">
      <c r="A8" s="164" t="s">
        <v>298</v>
      </c>
      <c r="B8" s="165">
        <v>7056.72</v>
      </c>
      <c r="C8" s="183">
        <f>+'Schedule 003'!I10</f>
        <v>568.8</v>
      </c>
      <c r="D8" s="183">
        <f>+'Schedule 003'!J10</f>
        <v>619.2</v>
      </c>
      <c r="E8" s="167">
        <f>+D8-C8</f>
        <v>50.40000000000009</v>
      </c>
      <c r="F8" s="184">
        <f>+E8/C8</f>
        <v>0.08860759493670903</v>
      </c>
      <c r="H8" s="167">
        <f>+'Schedule 003'!I16</f>
        <v>21.599999999999998</v>
      </c>
    </row>
    <row r="9" spans="1:8" ht="12.75">
      <c r="A9" s="72" t="s">
        <v>299</v>
      </c>
      <c r="B9" s="165">
        <v>405753.12</v>
      </c>
      <c r="C9" s="167">
        <f>SUM('Schedule 50'!I12)</f>
        <v>12772</v>
      </c>
      <c r="D9" s="167">
        <f>SUM('Schedule 50'!J12)</f>
        <v>13843</v>
      </c>
      <c r="E9" s="167">
        <f aca="true" t="shared" si="0" ref="E9:E19">+D9-C9</f>
        <v>1071</v>
      </c>
      <c r="F9" s="184">
        <f aca="true" t="shared" si="1" ref="F9:F19">+E9/C9</f>
        <v>0.08385530848731601</v>
      </c>
      <c r="H9" s="167">
        <f>+'Schedule 50'!I26</f>
        <v>1353.1200000000001</v>
      </c>
    </row>
    <row r="10" spans="1:8" ht="12.75">
      <c r="A10" s="72" t="s">
        <v>300</v>
      </c>
      <c r="B10" s="165"/>
      <c r="C10" s="167">
        <f>SUM('Schedule 50'!I19)</f>
        <v>26260</v>
      </c>
      <c r="D10" s="167">
        <f>SUM('Schedule 50'!J19)</f>
        <v>28459</v>
      </c>
      <c r="E10" s="167">
        <f t="shared" si="0"/>
        <v>2199</v>
      </c>
      <c r="F10" s="184">
        <f t="shared" si="1"/>
        <v>0.08373952779893373</v>
      </c>
      <c r="H10" s="167"/>
    </row>
    <row r="11" spans="1:8" ht="12.75">
      <c r="A11" s="79" t="s">
        <v>301</v>
      </c>
      <c r="B11" s="165"/>
      <c r="C11" s="167">
        <f>+'Schedule 52 O&amp;M'!E8</f>
        <v>669570.3148896014</v>
      </c>
      <c r="D11" s="167">
        <f>+'Schedule 52 O&amp;M'!F8</f>
        <v>725367.8411304016</v>
      </c>
      <c r="E11" s="167">
        <f t="shared" si="0"/>
        <v>55797.52624080016</v>
      </c>
      <c r="F11" s="184">
        <f t="shared" si="1"/>
        <v>0.0833333333333334</v>
      </c>
      <c r="H11" s="167"/>
    </row>
    <row r="12" spans="1:8" ht="12.75">
      <c r="A12" s="72" t="s">
        <v>302</v>
      </c>
      <c r="B12" s="165">
        <v>8884359.386</v>
      </c>
      <c r="C12" s="167">
        <f>+'Schedule 52'!I25</f>
        <v>846754</v>
      </c>
      <c r="D12" s="167">
        <f>+'Schedule 52'!J25</f>
        <v>918087</v>
      </c>
      <c r="E12" s="167">
        <f t="shared" si="0"/>
        <v>71333</v>
      </c>
      <c r="F12" s="184">
        <f t="shared" si="1"/>
        <v>0.0842428851827095</v>
      </c>
      <c r="H12" s="167">
        <f>+'Schedule 52'!I31</f>
        <v>30460.799999999996</v>
      </c>
    </row>
    <row r="13" spans="1:8" ht="12.75">
      <c r="A13" s="72" t="s">
        <v>303</v>
      </c>
      <c r="B13" s="165">
        <v>47285571.4913</v>
      </c>
      <c r="C13" s="167">
        <f>SUM('Schedule 53'!I35)</f>
        <v>10851790</v>
      </c>
      <c r="D13" s="167">
        <f>SUM('Schedule 53'!J35)</f>
        <v>11759478</v>
      </c>
      <c r="E13" s="167">
        <f t="shared" si="0"/>
        <v>907688</v>
      </c>
      <c r="F13" s="184">
        <f t="shared" si="1"/>
        <v>0.08364408083827644</v>
      </c>
      <c r="H13" s="167">
        <f>+'Schedule 53'!I42</f>
        <v>175582.44</v>
      </c>
    </row>
    <row r="14" spans="1:8" ht="12.75">
      <c r="A14" s="79" t="s">
        <v>304</v>
      </c>
      <c r="B14" s="165">
        <v>11434793.5232</v>
      </c>
      <c r="C14" s="167">
        <f>SUM('Schedule 54'!I18)</f>
        <v>1077465</v>
      </c>
      <c r="D14" s="167">
        <f>SUM('Schedule 54'!J18)</f>
        <v>1167579</v>
      </c>
      <c r="E14" s="167">
        <f t="shared" si="0"/>
        <v>90114</v>
      </c>
      <c r="F14" s="184">
        <f t="shared" si="1"/>
        <v>0.08363519928721583</v>
      </c>
      <c r="H14" s="167">
        <f>+'Schedule 54'!I24</f>
        <v>38056.92</v>
      </c>
    </row>
    <row r="15" spans="1:8" ht="12.75">
      <c r="A15" s="79" t="s">
        <v>305</v>
      </c>
      <c r="B15" s="165">
        <v>4217522.1338</v>
      </c>
      <c r="C15" s="167">
        <f>+'Schedules 55 &amp; 56'!I17</f>
        <v>1059919</v>
      </c>
      <c r="D15" s="167">
        <f>+'Schedules 55 &amp; 56'!J17</f>
        <v>1148483</v>
      </c>
      <c r="E15" s="167">
        <f t="shared" si="0"/>
        <v>88564</v>
      </c>
      <c r="F15" s="184">
        <f t="shared" si="1"/>
        <v>0.08355732843736172</v>
      </c>
      <c r="H15" s="167">
        <f>+'Schedules 55 &amp; 56'!I23</f>
        <v>15139.2</v>
      </c>
    </row>
    <row r="16" spans="1:8" ht="12.75">
      <c r="A16" s="79" t="s">
        <v>306</v>
      </c>
      <c r="B16" s="165">
        <v>5012801.793</v>
      </c>
      <c r="C16" s="167">
        <f>+'Schedule 57'!G9</f>
        <v>465474.44125000003</v>
      </c>
      <c r="D16" s="167">
        <f>+'Schedule 57'!H9</f>
        <v>504349.22974999994</v>
      </c>
      <c r="E16" s="167">
        <f t="shared" si="0"/>
        <v>38874.78849999991</v>
      </c>
      <c r="F16" s="184">
        <f t="shared" si="1"/>
        <v>0.08351648351648332</v>
      </c>
      <c r="H16" s="167">
        <f>+'Schedule 57'!G15</f>
        <v>16572.936149999998</v>
      </c>
    </row>
    <row r="17" spans="1:8" ht="12.75">
      <c r="A17" s="79" t="s">
        <v>307</v>
      </c>
      <c r="B17" s="165">
        <v>2095409.3516</v>
      </c>
      <c r="C17" s="167">
        <f>+'Schedules 58 &amp; 59'!J30</f>
        <v>378369</v>
      </c>
      <c r="D17" s="167">
        <f>+'Schedules 58 &amp; 59'!K30</f>
        <v>410047</v>
      </c>
      <c r="E17" s="167">
        <f t="shared" si="0"/>
        <v>31678</v>
      </c>
      <c r="F17" s="184">
        <f t="shared" si="1"/>
        <v>0.0837225036934844</v>
      </c>
      <c r="H17" s="167">
        <f>+'Schedules 58 &amp; 59'!J36</f>
        <v>7433.64</v>
      </c>
    </row>
    <row r="18" spans="1:8" ht="12.75">
      <c r="A18" s="79" t="s">
        <v>308</v>
      </c>
      <c r="B18" s="185"/>
      <c r="C18" s="167">
        <f>+Poles!E8</f>
        <v>27488</v>
      </c>
      <c r="D18" s="167">
        <f>+Poles!F8</f>
        <v>29815</v>
      </c>
      <c r="E18" s="167">
        <f t="shared" si="0"/>
        <v>2327</v>
      </c>
      <c r="F18" s="184">
        <f t="shared" si="1"/>
        <v>0.08465512223515716</v>
      </c>
      <c r="H18" s="167"/>
    </row>
    <row r="19" spans="1:8" ht="12.75">
      <c r="A19" s="58" t="s">
        <v>309</v>
      </c>
      <c r="B19" s="185"/>
      <c r="C19" s="167">
        <f>+Poles!E13</f>
        <v>33883</v>
      </c>
      <c r="D19" s="167">
        <f>+Poles!F13</f>
        <v>36718</v>
      </c>
      <c r="E19" s="167">
        <f t="shared" si="0"/>
        <v>2835</v>
      </c>
      <c r="F19" s="184">
        <f t="shared" si="1"/>
        <v>0.08367027713012425</v>
      </c>
      <c r="H19" s="167"/>
    </row>
    <row r="20" spans="1:8" ht="12.75">
      <c r="A20" s="72"/>
      <c r="B20" s="185"/>
      <c r="C20" s="167"/>
      <c r="D20" s="167"/>
      <c r="E20" s="167"/>
      <c r="F20" s="184"/>
      <c r="H20" s="167"/>
    </row>
    <row r="21" spans="2:9" ht="13.5" thickBot="1">
      <c r="B21" s="186">
        <f>SUM(B8:B19)</f>
        <v>79343267.5189</v>
      </c>
      <c r="C21" s="187">
        <f>SUM(C8:C20)</f>
        <v>15450313.556139601</v>
      </c>
      <c r="D21" s="187">
        <f>SUM(D8:D20)</f>
        <v>16742845.270880401</v>
      </c>
      <c r="E21" s="187">
        <f>SUM(E8:E20)</f>
        <v>1292531.7147408002</v>
      </c>
      <c r="F21" s="188">
        <f>+E21/C21</f>
        <v>0.0836573128463906</v>
      </c>
      <c r="H21" s="187">
        <f>SUM(H8:H19)</f>
        <v>284620.65615000005</v>
      </c>
      <c r="I21" s="189">
        <f>+H21/B21</f>
        <v>0.0035872061367046904</v>
      </c>
    </row>
    <row r="22" spans="2:6" ht="13.5" thickTop="1">
      <c r="B22" s="172"/>
      <c r="D22" s="173"/>
      <c r="E22" s="173"/>
      <c r="F22" s="184"/>
    </row>
    <row r="23" spans="1:8" ht="12.75">
      <c r="A23" s="79"/>
      <c r="B23" s="172"/>
      <c r="C23" s="190"/>
      <c r="D23" s="173"/>
      <c r="E23" s="173"/>
      <c r="F23" s="191"/>
      <c r="H23" s="176">
        <f>+C21-H21</f>
        <v>15165692.899989601</v>
      </c>
    </row>
    <row r="24" spans="1:5" ht="12.75">
      <c r="A24" s="58" t="str">
        <f>+'Schedule 003'!$A$14</f>
        <v>Proposed Increase</v>
      </c>
      <c r="E24" s="167">
        <f>+'Rate Spread'!$M$30</f>
        <v>1292764.6106817797</v>
      </c>
    </row>
    <row r="25" spans="1:6" ht="12.75">
      <c r="A25" s="72" t="s">
        <v>330</v>
      </c>
      <c r="B25" s="192"/>
      <c r="C25" s="167"/>
      <c r="D25" s="191"/>
      <c r="E25" s="173">
        <f>+E24-E21</f>
        <v>232.89594097947702</v>
      </c>
      <c r="F25" s="193"/>
    </row>
    <row r="26" ht="12.75">
      <c r="E26" s="184">
        <f>+E24/C21</f>
        <v>0.08367238671140526</v>
      </c>
    </row>
    <row r="27" spans="2:3" ht="12.75">
      <c r="B27" s="162"/>
      <c r="C27" s="92"/>
    </row>
    <row r="28" ht="12.75">
      <c r="C28" s="127"/>
    </row>
    <row r="29" spans="2:3" ht="12.75">
      <c r="B29" s="127"/>
      <c r="C29" s="127"/>
    </row>
  </sheetData>
  <sheetProtection/>
  <printOptions/>
  <pageMargins left="0.46" right="0.27" top="1.5" bottom="1" header="0.5" footer="0.5"/>
  <pageSetup fitToHeight="1" fitToWidth="1" horizontalDpi="600" verticalDpi="600" orientation="landscape" r:id="rId1"/>
  <headerFooter alignWithMargins="0">
    <oddHeader>&amp;L&amp;"Times New Roman,Regular"Puget Sound Energy
Docket UE-0702300/UG-072301&amp;R&amp;"Times New Roman,Regular"Electric Rate Spread and Rate Design 
Exhibit A to Multiparty Settlement&amp;"Arial,Regular"
</oddHeader>
    <oddFooter>&amp;R&amp;"Times New Roman,Regular"Page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18.00390625" style="58" bestFit="1" customWidth="1"/>
    <col min="2" max="2" width="9.8515625" style="58" bestFit="1" customWidth="1"/>
    <col min="3" max="3" width="19.8515625" style="58" bestFit="1" customWidth="1"/>
    <col min="4" max="4" width="8.28125" style="58" bestFit="1" customWidth="1"/>
    <col min="5" max="5" width="10.00390625" style="58" bestFit="1" customWidth="1"/>
    <col min="6" max="6" width="10.7109375" style="58" bestFit="1" customWidth="1"/>
    <col min="7" max="7" width="8.421875" style="58" bestFit="1" customWidth="1"/>
    <col min="8" max="8" width="8.8515625" style="58" bestFit="1" customWidth="1"/>
    <col min="9" max="9" width="8.421875" style="58" bestFit="1" customWidth="1"/>
    <col min="10" max="10" width="8.8515625" style="58" bestFit="1" customWidth="1"/>
    <col min="11" max="11" width="8.00390625" style="58" bestFit="1" customWidth="1"/>
    <col min="12" max="12" width="7.28125" style="58" bestFit="1" customWidth="1"/>
    <col min="13" max="16384" width="9.140625" style="58" customWidth="1"/>
  </cols>
  <sheetData>
    <row r="1" spans="1:12" ht="12.7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2.75">
      <c r="A2" s="57" t="s">
        <v>331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2.75">
      <c r="A3" s="57" t="str">
        <f>+'Lighting Summary'!A4</f>
        <v>Twelve Months ended September 30, 2007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12.75">
      <c r="A4" s="57" t="s">
        <v>332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2.75">
      <c r="A5" s="57" t="s">
        <v>333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7" spans="1:12" s="61" customFormat="1" ht="51">
      <c r="A7" s="59" t="s">
        <v>4</v>
      </c>
      <c r="B7" s="60" t="s">
        <v>334</v>
      </c>
      <c r="C7" s="59" t="s">
        <v>335</v>
      </c>
      <c r="D7" s="60" t="s">
        <v>336</v>
      </c>
      <c r="E7" s="60" t="s">
        <v>337</v>
      </c>
      <c r="F7" s="60" t="s">
        <v>236</v>
      </c>
      <c r="G7" s="60" t="s">
        <v>338</v>
      </c>
      <c r="H7" s="60" t="s">
        <v>339</v>
      </c>
      <c r="I7" s="60" t="s">
        <v>340</v>
      </c>
      <c r="J7" s="60" t="s">
        <v>296</v>
      </c>
      <c r="K7" s="59" t="s">
        <v>297</v>
      </c>
      <c r="L7" s="59" t="s">
        <v>207</v>
      </c>
    </row>
    <row r="8" spans="1:12" ht="12.75">
      <c r="A8" s="72" t="s">
        <v>298</v>
      </c>
      <c r="B8" s="114">
        <v>22</v>
      </c>
      <c r="C8" s="114" t="s">
        <v>341</v>
      </c>
      <c r="D8" s="18">
        <v>60</v>
      </c>
      <c r="E8" s="114"/>
      <c r="F8" s="110">
        <v>0.03</v>
      </c>
      <c r="G8" s="111">
        <v>0.76</v>
      </c>
      <c r="H8" s="111">
        <f>ROUND(+(G8+F8)*(1+H14),2)</f>
        <v>0.86</v>
      </c>
      <c r="I8" s="92">
        <f>ROUND(+G8*$D8*12+F8*D8*12,2)</f>
        <v>568.8</v>
      </c>
      <c r="J8" s="92">
        <f>ROUND(+H8*$D8*12,2)</f>
        <v>619.2</v>
      </c>
      <c r="K8" s="92">
        <f>+J8-I8</f>
        <v>50.40000000000009</v>
      </c>
      <c r="L8" s="112">
        <f>+K8/I8</f>
        <v>0.08860759493670903</v>
      </c>
    </row>
    <row r="9" spans="2:12" ht="12.75">
      <c r="B9" s="114"/>
      <c r="C9" s="114"/>
      <c r="D9" s="114"/>
      <c r="E9" s="114"/>
      <c r="F9" s="114"/>
      <c r="G9" s="110"/>
      <c r="H9" s="110"/>
      <c r="I9" s="92"/>
      <c r="J9" s="92"/>
      <c r="K9" s="92"/>
      <c r="L9" s="112"/>
    </row>
    <row r="10" spans="2:12" ht="13.5" thickBot="1">
      <c r="B10" s="114"/>
      <c r="C10" s="114"/>
      <c r="D10" s="91">
        <f>SUM(D8:D9)</f>
        <v>60</v>
      </c>
      <c r="E10" s="35">
        <f>+'Lighting Summary'!B8</f>
        <v>7056.72</v>
      </c>
      <c r="F10" s="114"/>
      <c r="G10" s="110"/>
      <c r="H10" s="110"/>
      <c r="I10" s="83">
        <f>SUM(I8:I9)</f>
        <v>568.8</v>
      </c>
      <c r="J10" s="83">
        <f>SUM(J8:J9)</f>
        <v>619.2</v>
      </c>
      <c r="K10" s="83">
        <f>SUM(K8:K9)</f>
        <v>50.40000000000009</v>
      </c>
      <c r="L10" s="119">
        <f>+K10/I10</f>
        <v>0.08860759493670903</v>
      </c>
    </row>
    <row r="11" spans="2:12" ht="13.5" thickTop="1">
      <c r="B11" s="114"/>
      <c r="C11" s="114"/>
      <c r="D11" s="114"/>
      <c r="E11" s="114"/>
      <c r="F11" s="114"/>
      <c r="G11" s="110"/>
      <c r="H11" s="110"/>
      <c r="L11" s="112"/>
    </row>
    <row r="14" spans="1:8" ht="12.75" hidden="1">
      <c r="A14" s="58" t="s">
        <v>7</v>
      </c>
      <c r="H14" s="194">
        <f>+'Lighting Summary'!E26</f>
        <v>0.08367238671140526</v>
      </c>
    </row>
    <row r="15" ht="12.75" hidden="1"/>
    <row r="16" spans="1:9" ht="12.75" hidden="1">
      <c r="A16" s="79" t="s">
        <v>342</v>
      </c>
      <c r="I16" s="92">
        <f>+F8*D8*12</f>
        <v>21.599999999999998</v>
      </c>
    </row>
    <row r="23" ht="12.75">
      <c r="F23" s="194"/>
    </row>
  </sheetData>
  <sheetProtection/>
  <printOptions/>
  <pageMargins left="0.46" right="0.27" top="1.5" bottom="1" header="0.5" footer="0.5"/>
  <pageSetup fitToHeight="1" fitToWidth="1" horizontalDpi="600" verticalDpi="600" orientation="landscape" r:id="rId1"/>
  <headerFooter alignWithMargins="0">
    <oddHeader>&amp;L&amp;"Times New Roman,Regular"Puget Sound Energy
Docket UE-0702300/UG-072301&amp;R&amp;"Times New Roman,Regular"Electric Rate Spread and Rate Design 
Exhibit A to Multiparty Settlement&amp;"Arial,Regular"
</oddHeader>
    <oddFooter>&amp;R&amp;"Times New Roman,Regular"Page 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22.57421875" style="58" bestFit="1" customWidth="1"/>
    <col min="2" max="2" width="9.8515625" style="58" bestFit="1" customWidth="1"/>
    <col min="3" max="3" width="14.28125" style="58" customWidth="1"/>
    <col min="4" max="4" width="8.28125" style="58" bestFit="1" customWidth="1"/>
    <col min="5" max="5" width="10.00390625" style="58" bestFit="1" customWidth="1"/>
    <col min="6" max="6" width="10.7109375" style="58" bestFit="1" customWidth="1"/>
    <col min="7" max="7" width="8.421875" style="58" bestFit="1" customWidth="1"/>
    <col min="8" max="8" width="8.8515625" style="58" bestFit="1" customWidth="1"/>
    <col min="9" max="9" width="10.28125" style="58" bestFit="1" customWidth="1"/>
    <col min="10" max="10" width="8.8515625" style="58" bestFit="1" customWidth="1"/>
    <col min="11" max="11" width="9.28125" style="58" bestFit="1" customWidth="1"/>
    <col min="12" max="12" width="7.28125" style="58" bestFit="1" customWidth="1"/>
    <col min="13" max="16384" width="9.140625" style="58" customWidth="1"/>
  </cols>
  <sheetData>
    <row r="1" spans="1:12" ht="12.7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2.75">
      <c r="A2" s="57" t="s">
        <v>331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2.75">
      <c r="A3" s="57" t="str">
        <f>+'Lighting Summary'!A4</f>
        <v>Twelve Months ended September 30, 2007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12.75">
      <c r="A4" s="57" t="s">
        <v>343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2.75">
      <c r="A5" s="57" t="s">
        <v>344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7" spans="1:12" s="61" customFormat="1" ht="51">
      <c r="A7" s="59" t="s">
        <v>4</v>
      </c>
      <c r="B7" s="60" t="s">
        <v>334</v>
      </c>
      <c r="C7" s="59" t="s">
        <v>335</v>
      </c>
      <c r="D7" s="59" t="str">
        <f>+'Schedule 003'!D7</f>
        <v>Inventory
@
9-1-07</v>
      </c>
      <c r="E7" s="60" t="str">
        <f>+'Schedule 003'!E7</f>
        <v>Billed kWh
12 Months
ended
9-30-07</v>
      </c>
      <c r="F7" s="60" t="str">
        <f>+'Schedule 003'!F7</f>
        <v>Schedule 95</v>
      </c>
      <c r="G7" s="60" t="str">
        <f>+'Schedule 003'!G7</f>
        <v>Proforma Base Lamp Charge</v>
      </c>
      <c r="H7" s="60" t="str">
        <f>+'Schedule 003'!H7</f>
        <v>Proposed Lamp Charge</v>
      </c>
      <c r="I7" s="60" t="s">
        <v>340</v>
      </c>
      <c r="J7" s="60" t="s">
        <v>296</v>
      </c>
      <c r="K7" s="59" t="s">
        <v>297</v>
      </c>
      <c r="L7" s="59" t="s">
        <v>207</v>
      </c>
    </row>
    <row r="8" spans="1:12" ht="12.75">
      <c r="A8" s="72" t="s">
        <v>299</v>
      </c>
      <c r="B8" s="114">
        <v>327</v>
      </c>
      <c r="C8" s="114" t="s">
        <v>345</v>
      </c>
      <c r="D8" s="18">
        <v>0</v>
      </c>
      <c r="E8" s="114"/>
      <c r="F8" s="110">
        <v>0.38</v>
      </c>
      <c r="G8" s="111">
        <v>10.47</v>
      </c>
      <c r="H8" s="111">
        <f>ROUND(+(G8+F8)*(1+$H$24),2)</f>
        <v>11.76</v>
      </c>
      <c r="I8" s="92">
        <f>ROUND(+G8*$D8*12+F8*D8*12,0)</f>
        <v>0</v>
      </c>
      <c r="J8" s="92">
        <f>ROUND(+H8*$D8*12,0)</f>
        <v>0</v>
      </c>
      <c r="K8" s="92">
        <f aca="true" t="shared" si="0" ref="K8:K18">+J8-I8</f>
        <v>0</v>
      </c>
      <c r="L8" s="112" t="e">
        <f aca="true" t="shared" si="1" ref="L8:L19">+K8/I8</f>
        <v>#DIV/0!</v>
      </c>
    </row>
    <row r="9" spans="1:12" ht="12.75">
      <c r="A9" s="72" t="str">
        <f>+A8</f>
        <v>50E-A</v>
      </c>
      <c r="B9" s="114">
        <v>100</v>
      </c>
      <c r="C9" s="114" t="s">
        <v>346</v>
      </c>
      <c r="D9" s="18">
        <v>13</v>
      </c>
      <c r="E9" s="114"/>
      <c r="F9" s="110">
        <v>0.13</v>
      </c>
      <c r="G9" s="111">
        <v>5.28</v>
      </c>
      <c r="H9" s="111">
        <f>ROUND(+(G9+F9)*(1+$H$24),2)</f>
        <v>5.86</v>
      </c>
      <c r="I9" s="92">
        <f>ROUND(+G9*$D9*12+F9*D9*12,0)</f>
        <v>844</v>
      </c>
      <c r="J9" s="92">
        <f>ROUND(+H9*$D9*12,0)</f>
        <v>914</v>
      </c>
      <c r="K9" s="92">
        <f t="shared" si="0"/>
        <v>70</v>
      </c>
      <c r="L9" s="112">
        <f t="shared" si="1"/>
        <v>0.08293838862559241</v>
      </c>
    </row>
    <row r="10" spans="1:12" ht="12.75">
      <c r="A10" s="72" t="str">
        <f>+A9</f>
        <v>50E-A</v>
      </c>
      <c r="B10" s="114">
        <v>175</v>
      </c>
      <c r="C10" s="114" t="str">
        <f>+C9</f>
        <v>Mercury Vapor</v>
      </c>
      <c r="D10" s="18">
        <v>19</v>
      </c>
      <c r="E10" s="114"/>
      <c r="F10" s="110">
        <v>0.23</v>
      </c>
      <c r="G10" s="111">
        <v>7.72</v>
      </c>
      <c r="H10" s="111">
        <f>ROUND(+(G10+F10)*(1+$H$24),2)</f>
        <v>8.62</v>
      </c>
      <c r="I10" s="92">
        <f>ROUND(+G10*$D10*12+F10*D10*12,0)</f>
        <v>1813</v>
      </c>
      <c r="J10" s="92">
        <f>ROUND(+H10*$D10*12,0)</f>
        <v>1965</v>
      </c>
      <c r="K10" s="92">
        <f t="shared" si="0"/>
        <v>152</v>
      </c>
      <c r="L10" s="112">
        <f t="shared" si="1"/>
        <v>0.08383894098179813</v>
      </c>
    </row>
    <row r="11" spans="1:12" ht="12.75">
      <c r="A11" s="72" t="str">
        <f>+A10</f>
        <v>50E-A</v>
      </c>
      <c r="B11" s="114">
        <v>400</v>
      </c>
      <c r="C11" s="114" t="str">
        <f>+C10</f>
        <v>Mercury Vapor</v>
      </c>
      <c r="D11" s="18">
        <v>54</v>
      </c>
      <c r="E11" s="114"/>
      <c r="F11" s="110">
        <v>0.5</v>
      </c>
      <c r="G11" s="111">
        <v>15.11</v>
      </c>
      <c r="H11" s="111">
        <f>ROUND(+(G11+F11)*(1+$H$24),2)</f>
        <v>16.92</v>
      </c>
      <c r="I11" s="92">
        <f>ROUND(+G11*$D11*12+F11*D11*12,0)</f>
        <v>10115</v>
      </c>
      <c r="J11" s="92">
        <f>ROUND(+H11*$D11*12,0)</f>
        <v>10964</v>
      </c>
      <c r="K11" s="92">
        <f t="shared" si="0"/>
        <v>849</v>
      </c>
      <c r="L11" s="112">
        <f t="shared" si="1"/>
        <v>0.08393475037073653</v>
      </c>
    </row>
    <row r="12" spans="1:12" ht="12.75">
      <c r="A12" s="72"/>
      <c r="B12" s="114"/>
      <c r="C12" s="114"/>
      <c r="D12" s="12">
        <f>SUM(D8:D11)</f>
        <v>86</v>
      </c>
      <c r="E12" s="12">
        <f>+'Lighting Summary'!B9</f>
        <v>405753.12</v>
      </c>
      <c r="F12" s="19"/>
      <c r="G12" s="110"/>
      <c r="H12" s="110"/>
      <c r="I12" s="74">
        <f>SUM(I8:I11)</f>
        <v>12772</v>
      </c>
      <c r="J12" s="74">
        <f>SUM(J8:J11)</f>
        <v>13843</v>
      </c>
      <c r="K12" s="74">
        <f>SUM(K8:K11)</f>
        <v>1071</v>
      </c>
      <c r="L12" s="113">
        <f t="shared" si="1"/>
        <v>0.08385530848731601</v>
      </c>
    </row>
    <row r="13" spans="1:12" ht="12.75">
      <c r="A13" s="72"/>
      <c r="B13" s="114"/>
      <c r="C13" s="114"/>
      <c r="D13" s="18"/>
      <c r="E13" s="114"/>
      <c r="F13" s="114"/>
      <c r="G13" s="110"/>
      <c r="H13" s="110"/>
      <c r="I13" s="92"/>
      <c r="J13" s="92"/>
      <c r="K13" s="92"/>
      <c r="L13" s="112"/>
    </row>
    <row r="14" spans="1:12" ht="12.75">
      <c r="A14" s="72" t="s">
        <v>300</v>
      </c>
      <c r="B14" s="114">
        <v>100</v>
      </c>
      <c r="C14" s="114" t="str">
        <f>+C11</f>
        <v>Mercury Vapor</v>
      </c>
      <c r="D14" s="18">
        <v>9</v>
      </c>
      <c r="E14" s="114"/>
      <c r="F14" s="110">
        <f>+F9</f>
        <v>0.13</v>
      </c>
      <c r="G14" s="111">
        <v>3.57</v>
      </c>
      <c r="H14" s="111">
        <f>+(G14+F14)*(1+$H$24)</f>
        <v>4.009587830832199</v>
      </c>
      <c r="I14" s="92">
        <f>ROUND(+G14*$D14*12+F14*D14*12,0)</f>
        <v>400</v>
      </c>
      <c r="J14" s="92">
        <f>ROUND(+H14*$D14*12,0)</f>
        <v>433</v>
      </c>
      <c r="K14" s="92">
        <f t="shared" si="0"/>
        <v>33</v>
      </c>
      <c r="L14" s="112">
        <f t="shared" si="1"/>
        <v>0.0825</v>
      </c>
    </row>
    <row r="15" spans="1:12" ht="12.75">
      <c r="A15" s="72" t="str">
        <f>+A14</f>
        <v>50E-B</v>
      </c>
      <c r="B15" s="114">
        <v>175</v>
      </c>
      <c r="C15" s="114" t="str">
        <f>+C14</f>
        <v>Mercury Vapor</v>
      </c>
      <c r="D15" s="18">
        <v>115</v>
      </c>
      <c r="E15" s="114"/>
      <c r="F15" s="110">
        <f>+F10</f>
        <v>0.23</v>
      </c>
      <c r="G15" s="111">
        <v>6</v>
      </c>
      <c r="H15" s="111">
        <f>+(G15+F15)*(1+$H$24)</f>
        <v>6.751278969212056</v>
      </c>
      <c r="I15" s="92">
        <f>ROUND(+G15*$D15*12+F15*D15*12,0)</f>
        <v>8597</v>
      </c>
      <c r="J15" s="92">
        <f>ROUND(+H15*$D15*12,0)</f>
        <v>9317</v>
      </c>
      <c r="K15" s="92">
        <f t="shared" si="0"/>
        <v>720</v>
      </c>
      <c r="L15" s="112">
        <f t="shared" si="1"/>
        <v>0.08375014539955798</v>
      </c>
    </row>
    <row r="16" spans="1:12" ht="12.75">
      <c r="A16" s="72" t="str">
        <f>+A15</f>
        <v>50E-B</v>
      </c>
      <c r="B16" s="114">
        <v>400</v>
      </c>
      <c r="C16" s="114" t="str">
        <f>+C15</f>
        <v>Mercury Vapor</v>
      </c>
      <c r="D16" s="18">
        <v>98</v>
      </c>
      <c r="E16" s="114"/>
      <c r="F16" s="110">
        <f>+F11</f>
        <v>0.5</v>
      </c>
      <c r="G16" s="111">
        <v>13.29</v>
      </c>
      <c r="H16" s="111">
        <f>+(G16+F16)*(1+$H$24)</f>
        <v>14.943842212750278</v>
      </c>
      <c r="I16" s="92">
        <f>ROUND(+G16*$D16*12+F16*D16*12,0)</f>
        <v>16217</v>
      </c>
      <c r="J16" s="92">
        <f>ROUND(+H16*$D16*12,0)</f>
        <v>17574</v>
      </c>
      <c r="K16" s="92">
        <f t="shared" si="0"/>
        <v>1357</v>
      </c>
      <c r="L16" s="112">
        <f t="shared" si="1"/>
        <v>0.083677622248258</v>
      </c>
    </row>
    <row r="17" spans="1:12" ht="12.75">
      <c r="A17" s="72" t="str">
        <f>+A16</f>
        <v>50E-B</v>
      </c>
      <c r="B17" s="114">
        <v>700</v>
      </c>
      <c r="C17" s="114" t="str">
        <f>+C16</f>
        <v>Mercury Vapor</v>
      </c>
      <c r="D17" s="18">
        <v>2</v>
      </c>
      <c r="E17" s="114"/>
      <c r="F17" s="110">
        <v>0.9</v>
      </c>
      <c r="G17" s="111">
        <v>25.12</v>
      </c>
      <c r="H17" s="111">
        <f>+(G17+F17)*(1+$H$24)</f>
        <v>28.197155502230764</v>
      </c>
      <c r="I17" s="92">
        <f>ROUND(+G17*$D17*12+F17*D17*12,0)</f>
        <v>624</v>
      </c>
      <c r="J17" s="92">
        <f>ROUND(+H17*$D17*12,0)</f>
        <v>677</v>
      </c>
      <c r="K17" s="92">
        <f t="shared" si="0"/>
        <v>53</v>
      </c>
      <c r="L17" s="112">
        <f t="shared" si="1"/>
        <v>0.08493589743589744</v>
      </c>
    </row>
    <row r="18" spans="1:12" ht="12.75">
      <c r="A18" s="72" t="str">
        <f>+A17</f>
        <v>50E-B</v>
      </c>
      <c r="B18" s="114">
        <v>1000</v>
      </c>
      <c r="C18" s="114" t="str">
        <f>+C17</f>
        <v>Mercury Vapor</v>
      </c>
      <c r="D18" s="18">
        <v>1</v>
      </c>
      <c r="E18" s="114"/>
      <c r="F18" s="110">
        <v>1.28</v>
      </c>
      <c r="G18" s="111">
        <v>33.91</v>
      </c>
      <c r="H18" s="111">
        <f>+(G18+F18)*(1+$H$24)</f>
        <v>38.13443128837435</v>
      </c>
      <c r="I18" s="92">
        <f>ROUND(+G18*$D18*12+F18*D18*12,0)</f>
        <v>422</v>
      </c>
      <c r="J18" s="92">
        <f>ROUND(+H18*$D18*12,0)</f>
        <v>458</v>
      </c>
      <c r="K18" s="92">
        <f t="shared" si="0"/>
        <v>36</v>
      </c>
      <c r="L18" s="112">
        <f t="shared" si="1"/>
        <v>0.08530805687203792</v>
      </c>
    </row>
    <row r="19" spans="1:12" ht="12.75">
      <c r="A19" s="72"/>
      <c r="B19" s="114"/>
      <c r="C19" s="114"/>
      <c r="D19" s="12">
        <f>SUM(D14:D18)</f>
        <v>225</v>
      </c>
      <c r="E19" s="12">
        <f>+'Lighting Summary'!B10</f>
        <v>0</v>
      </c>
      <c r="G19" s="110"/>
      <c r="H19" s="110"/>
      <c r="I19" s="74">
        <f>SUM(I14:I18)</f>
        <v>26260</v>
      </c>
      <c r="J19" s="74">
        <f>SUM(J14:J18)</f>
        <v>28459</v>
      </c>
      <c r="K19" s="74">
        <f>SUM(K14:K18)</f>
        <v>2199</v>
      </c>
      <c r="L19" s="113">
        <f t="shared" si="1"/>
        <v>0.08373952779893373</v>
      </c>
    </row>
    <row r="20" spans="2:12" ht="12.75">
      <c r="B20" s="114"/>
      <c r="C20" s="114"/>
      <c r="D20" s="18"/>
      <c r="E20" s="114"/>
      <c r="F20" s="93"/>
      <c r="G20" s="110"/>
      <c r="H20" s="110"/>
      <c r="I20" s="92"/>
      <c r="J20" s="92"/>
      <c r="K20" s="92"/>
      <c r="L20" s="112"/>
    </row>
    <row r="21" spans="2:12" ht="13.5" thickBot="1">
      <c r="B21" s="114"/>
      <c r="C21" s="114"/>
      <c r="D21" s="91">
        <f>SUM(D19,D12)</f>
        <v>311</v>
      </c>
      <c r="E21" s="91">
        <f>SUM(E19,E12)</f>
        <v>405753.12</v>
      </c>
      <c r="F21" s="93"/>
      <c r="G21" s="110"/>
      <c r="H21" s="110"/>
      <c r="I21" s="83">
        <f>SUM(I19,I12)+F21</f>
        <v>39032</v>
      </c>
      <c r="J21" s="83">
        <f>SUM(J19,J12)</f>
        <v>42302</v>
      </c>
      <c r="K21" s="83">
        <f>SUM(K19,K12)</f>
        <v>3270</v>
      </c>
      <c r="L21" s="119">
        <f>+K21/I21</f>
        <v>0.08377741340438614</v>
      </c>
    </row>
    <row r="22" spans="2:12" ht="13.5" thickTop="1">
      <c r="B22" s="114"/>
      <c r="C22" s="114"/>
      <c r="D22" s="114"/>
      <c r="E22" s="114"/>
      <c r="F22" s="114"/>
      <c r="G22" s="110"/>
      <c r="H22" s="110"/>
      <c r="L22" s="112"/>
    </row>
    <row r="23" ht="12.75">
      <c r="F23" s="194"/>
    </row>
    <row r="24" spans="1:8" ht="12.75" hidden="1">
      <c r="A24" s="58" t="str">
        <f>+'Schedule 003'!$A$14</f>
        <v>Proposed Increase</v>
      </c>
      <c r="H24" s="194">
        <f>+'Lighting Summary'!$E$26</f>
        <v>0.08367238671140526</v>
      </c>
    </row>
    <row r="25" ht="12.75" hidden="1"/>
    <row r="26" spans="1:9" ht="12.75" hidden="1">
      <c r="A26" s="79" t="str">
        <f>+'Schedule 003'!$A$16</f>
        <v>Annual Schedule 95</v>
      </c>
      <c r="I26" s="92">
        <f>(SUMPRODUCT(D8:D11,F8:F11)+SUMPRODUCT(D14:D18,F14:F18))*12</f>
        <v>1353.1200000000001</v>
      </c>
    </row>
  </sheetData>
  <sheetProtection/>
  <printOptions/>
  <pageMargins left="0.46" right="0.27" top="1.5" bottom="1" header="0.5" footer="0.5"/>
  <pageSetup fitToHeight="1" fitToWidth="1" horizontalDpi="600" verticalDpi="600" orientation="landscape" r:id="rId1"/>
  <headerFooter alignWithMargins="0">
    <oddHeader>&amp;L&amp;"Times New Roman,Regular"Puget Sound Energy
Docket UE-0702300/UG-072301&amp;R&amp;"Times New Roman,Regular"Electric Rate Spread and Rate Design 
Exhibit A to Multiparty Settlement&amp;"Arial,Regular"
</oddHeader>
    <oddFooter>&amp;R&amp;"Times New Roman,Regular"Page &amp;P of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18.00390625" style="58" bestFit="1" customWidth="1"/>
    <col min="2" max="2" width="9.8515625" style="58" bestFit="1" customWidth="1"/>
    <col min="3" max="3" width="13.8515625" style="58" bestFit="1" customWidth="1"/>
    <col min="4" max="4" width="8.28125" style="58" bestFit="1" customWidth="1"/>
    <col min="5" max="5" width="10.28125" style="58" bestFit="1" customWidth="1"/>
    <col min="6" max="6" width="10.7109375" style="58" bestFit="1" customWidth="1"/>
    <col min="7" max="7" width="8.421875" style="58" bestFit="1" customWidth="1"/>
    <col min="8" max="8" width="8.8515625" style="58" bestFit="1" customWidth="1"/>
    <col min="9" max="10" width="9.7109375" style="58" bestFit="1" customWidth="1"/>
    <col min="11" max="11" width="9.28125" style="58" bestFit="1" customWidth="1"/>
    <col min="12" max="12" width="8.57421875" style="58" bestFit="1" customWidth="1"/>
    <col min="13" max="16384" width="9.140625" style="58" customWidth="1"/>
  </cols>
  <sheetData>
    <row r="1" spans="1:12" ht="12.7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2.75">
      <c r="A2" s="57" t="s">
        <v>331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2.75">
      <c r="A3" s="57" t="str">
        <f>+'Lighting Summary'!A4</f>
        <v>Twelve Months ended September 30, 2007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12.75">
      <c r="A4" s="57" t="s">
        <v>347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2.75">
      <c r="A5" s="57" t="s">
        <v>348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7" spans="1:12" s="61" customFormat="1" ht="51">
      <c r="A7" s="59" t="s">
        <v>4</v>
      </c>
      <c r="B7" s="60" t="s">
        <v>334</v>
      </c>
      <c r="C7" s="59" t="s">
        <v>335</v>
      </c>
      <c r="D7" s="59" t="str">
        <f>+'Schedule 003'!D7</f>
        <v>Inventory
@
9-1-07</v>
      </c>
      <c r="E7" s="60" t="str">
        <f>+'Schedule 003'!E7</f>
        <v>Billed kWh
12 Months
ended
9-30-07</v>
      </c>
      <c r="F7" s="60" t="str">
        <f>+'Schedule 003'!F7</f>
        <v>Schedule 95</v>
      </c>
      <c r="G7" s="60" t="str">
        <f>+'Schedule 003'!G7</f>
        <v>Proforma Base Lamp Charge</v>
      </c>
      <c r="H7" s="60" t="str">
        <f>+'Schedule 003'!H7</f>
        <v>Proposed Lamp Charge</v>
      </c>
      <c r="I7" s="60" t="s">
        <v>340</v>
      </c>
      <c r="J7" s="60" t="s">
        <v>296</v>
      </c>
      <c r="K7" s="59" t="s">
        <v>297</v>
      </c>
      <c r="L7" s="59" t="s">
        <v>207</v>
      </c>
    </row>
    <row r="8" spans="1:12" ht="12.75">
      <c r="A8" s="79" t="s">
        <v>349</v>
      </c>
      <c r="B8" s="114">
        <v>50</v>
      </c>
      <c r="C8" s="114" t="s">
        <v>350</v>
      </c>
      <c r="D8" s="18">
        <v>0</v>
      </c>
      <c r="E8" s="114"/>
      <c r="F8" s="110">
        <v>0.07</v>
      </c>
      <c r="G8" s="111">
        <v>1.77</v>
      </c>
      <c r="H8" s="111">
        <f>ROUND((+G8+F8)*(1+$H$28),2)</f>
        <v>1.99</v>
      </c>
      <c r="I8" s="92">
        <f>ROUND(+G8*$D8*12+F8*D8*12,0)</f>
        <v>0</v>
      </c>
      <c r="J8" s="92">
        <f aca="true" t="shared" si="0" ref="J8:J15">ROUND(+H8*$D8*12,0)</f>
        <v>0</v>
      </c>
      <c r="K8" s="92">
        <f aca="true" t="shared" si="1" ref="K8:K15">+J8-I8</f>
        <v>0</v>
      </c>
      <c r="L8" s="184" t="str">
        <f>IF(+K8=0,"na",K8/I8)</f>
        <v>na</v>
      </c>
    </row>
    <row r="9" spans="1:14" ht="12.75">
      <c r="A9" s="72" t="str">
        <f aca="true" t="shared" si="2" ref="A9:A15">+A8</f>
        <v>52E </v>
      </c>
      <c r="B9" s="114">
        <v>70</v>
      </c>
      <c r="C9" s="114" t="s">
        <v>350</v>
      </c>
      <c r="D9" s="18">
        <v>393</v>
      </c>
      <c r="E9" s="114"/>
      <c r="F9" s="110">
        <v>0.1</v>
      </c>
      <c r="G9" s="111">
        <v>2.58</v>
      </c>
      <c r="H9" s="111">
        <f aca="true" t="shared" si="3" ref="H9:H23">ROUND((+G9+F9)*(1+$H$28),2)</f>
        <v>2.9</v>
      </c>
      <c r="I9" s="92">
        <f aca="true" t="shared" si="4" ref="I9:I23">ROUND(+G9*$D9*12+F9*D9*12,0)</f>
        <v>12639</v>
      </c>
      <c r="J9" s="92">
        <f t="shared" si="0"/>
        <v>13676</v>
      </c>
      <c r="K9" s="92">
        <f t="shared" si="1"/>
        <v>1037</v>
      </c>
      <c r="L9" s="184">
        <f aca="true" t="shared" si="5" ref="L9:L23">IF(+K9=0,"na",K9/I9)</f>
        <v>0.08204763035050242</v>
      </c>
      <c r="N9" s="90"/>
    </row>
    <row r="10" spans="1:14" ht="12.75">
      <c r="A10" s="72" t="str">
        <f t="shared" si="2"/>
        <v>52E </v>
      </c>
      <c r="B10" s="114">
        <v>100</v>
      </c>
      <c r="C10" s="114" t="s">
        <v>350</v>
      </c>
      <c r="D10" s="18">
        <v>8244</v>
      </c>
      <c r="E10" s="114"/>
      <c r="F10" s="110">
        <v>0.14</v>
      </c>
      <c r="G10" s="111">
        <v>3.63</v>
      </c>
      <c r="H10" s="111">
        <f t="shared" si="3"/>
        <v>4.09</v>
      </c>
      <c r="I10" s="92">
        <f t="shared" si="4"/>
        <v>372959</v>
      </c>
      <c r="J10" s="92">
        <f t="shared" si="0"/>
        <v>404616</v>
      </c>
      <c r="K10" s="92">
        <f t="shared" si="1"/>
        <v>31657</v>
      </c>
      <c r="L10" s="184">
        <f t="shared" si="5"/>
        <v>0.08488064371686968</v>
      </c>
      <c r="N10" s="90"/>
    </row>
    <row r="11" spans="1:14" ht="12.75">
      <c r="A11" s="72" t="str">
        <f t="shared" si="2"/>
        <v>52E </v>
      </c>
      <c r="B11" s="114">
        <v>150</v>
      </c>
      <c r="C11" s="114" t="s">
        <v>350</v>
      </c>
      <c r="D11" s="18">
        <v>2997</v>
      </c>
      <c r="E11" s="114"/>
      <c r="F11" s="110">
        <v>0.19</v>
      </c>
      <c r="G11" s="111">
        <v>5.29</v>
      </c>
      <c r="H11" s="111">
        <f t="shared" si="3"/>
        <v>5.94</v>
      </c>
      <c r="I11" s="92">
        <f t="shared" si="4"/>
        <v>197083</v>
      </c>
      <c r="J11" s="92">
        <f t="shared" si="0"/>
        <v>213626</v>
      </c>
      <c r="K11" s="92">
        <f t="shared" si="1"/>
        <v>16543</v>
      </c>
      <c r="L11" s="184">
        <f t="shared" si="5"/>
        <v>0.08393925401987995</v>
      </c>
      <c r="N11" s="90"/>
    </row>
    <row r="12" spans="1:14" ht="12.75">
      <c r="A12" s="72" t="str">
        <f t="shared" si="2"/>
        <v>52E </v>
      </c>
      <c r="B12" s="114">
        <v>200</v>
      </c>
      <c r="C12" s="114" t="s">
        <v>350</v>
      </c>
      <c r="D12" s="18">
        <v>649</v>
      </c>
      <c r="E12" s="114"/>
      <c r="F12" s="110">
        <v>0.25</v>
      </c>
      <c r="G12" s="111">
        <v>7.01</v>
      </c>
      <c r="H12" s="111">
        <f t="shared" si="3"/>
        <v>7.87</v>
      </c>
      <c r="I12" s="92">
        <f t="shared" si="4"/>
        <v>56541</v>
      </c>
      <c r="J12" s="92">
        <f t="shared" si="0"/>
        <v>61292</v>
      </c>
      <c r="K12" s="92">
        <f t="shared" si="1"/>
        <v>4751</v>
      </c>
      <c r="L12" s="184">
        <f t="shared" si="5"/>
        <v>0.08402751985285015</v>
      </c>
      <c r="N12" s="90"/>
    </row>
    <row r="13" spans="1:14" ht="12.75">
      <c r="A13" s="72" t="str">
        <f t="shared" si="2"/>
        <v>52E </v>
      </c>
      <c r="B13" s="114">
        <v>250</v>
      </c>
      <c r="C13" s="114" t="s">
        <v>350</v>
      </c>
      <c r="D13" s="18">
        <v>786</v>
      </c>
      <c r="E13" s="114"/>
      <c r="F13" s="110">
        <v>0.31</v>
      </c>
      <c r="G13" s="111">
        <v>8.71</v>
      </c>
      <c r="H13" s="111">
        <f t="shared" si="3"/>
        <v>9.77</v>
      </c>
      <c r="I13" s="92">
        <f t="shared" si="4"/>
        <v>85077</v>
      </c>
      <c r="J13" s="92">
        <f t="shared" si="0"/>
        <v>92151</v>
      </c>
      <c r="K13" s="92">
        <f t="shared" si="1"/>
        <v>7074</v>
      </c>
      <c r="L13" s="184">
        <f t="shared" si="5"/>
        <v>0.08314820691843859</v>
      </c>
      <c r="N13" s="90"/>
    </row>
    <row r="14" spans="1:14" ht="12.75">
      <c r="A14" s="72" t="str">
        <f t="shared" si="2"/>
        <v>52E </v>
      </c>
      <c r="B14" s="114">
        <v>310</v>
      </c>
      <c r="C14" s="114" t="s">
        <v>350</v>
      </c>
      <c r="D14" s="18">
        <v>155</v>
      </c>
      <c r="E14" s="114"/>
      <c r="F14" s="110">
        <v>0.44</v>
      </c>
      <c r="G14" s="111">
        <v>11.86</v>
      </c>
      <c r="H14" s="111">
        <f t="shared" si="3"/>
        <v>13.33</v>
      </c>
      <c r="I14" s="92">
        <f t="shared" si="4"/>
        <v>22878</v>
      </c>
      <c r="J14" s="92">
        <f t="shared" si="0"/>
        <v>24794</v>
      </c>
      <c r="K14" s="92">
        <f t="shared" si="1"/>
        <v>1916</v>
      </c>
      <c r="L14" s="184">
        <f t="shared" si="5"/>
        <v>0.08374857942127809</v>
      </c>
      <c r="N14" s="90"/>
    </row>
    <row r="15" spans="1:14" ht="12.75">
      <c r="A15" s="72" t="str">
        <f t="shared" si="2"/>
        <v>52E </v>
      </c>
      <c r="B15" s="114">
        <v>400</v>
      </c>
      <c r="C15" s="114" t="s">
        <v>350</v>
      </c>
      <c r="D15" s="18">
        <v>421</v>
      </c>
      <c r="E15" s="114"/>
      <c r="F15" s="110">
        <v>0.5</v>
      </c>
      <c r="G15" s="111">
        <v>13.57</v>
      </c>
      <c r="H15" s="111">
        <f t="shared" si="3"/>
        <v>15.25</v>
      </c>
      <c r="I15" s="92">
        <f t="shared" si="4"/>
        <v>71082</v>
      </c>
      <c r="J15" s="92">
        <f t="shared" si="0"/>
        <v>77043</v>
      </c>
      <c r="K15" s="92">
        <f t="shared" si="1"/>
        <v>5961</v>
      </c>
      <c r="L15" s="184">
        <f t="shared" si="5"/>
        <v>0.0838608930530936</v>
      </c>
      <c r="N15" s="90"/>
    </row>
    <row r="16" spans="1:14" ht="12.75">
      <c r="A16" s="72"/>
      <c r="B16" s="114"/>
      <c r="C16" s="114"/>
      <c r="D16" s="18"/>
      <c r="E16" s="114"/>
      <c r="F16" s="114"/>
      <c r="G16" s="110"/>
      <c r="H16" s="110"/>
      <c r="I16" s="92"/>
      <c r="J16" s="92"/>
      <c r="K16" s="92"/>
      <c r="L16" s="112"/>
      <c r="N16" s="90"/>
    </row>
    <row r="17" spans="1:14" ht="12.75">
      <c r="A17" s="79" t="str">
        <f>+A12</f>
        <v>52E </v>
      </c>
      <c r="B17" s="114">
        <v>70</v>
      </c>
      <c r="C17" s="114" t="s">
        <v>351</v>
      </c>
      <c r="D17" s="18">
        <v>0</v>
      </c>
      <c r="E17" s="114"/>
      <c r="F17" s="110">
        <v>0.11</v>
      </c>
      <c r="G17" s="111">
        <v>2.8</v>
      </c>
      <c r="H17" s="111">
        <f t="shared" si="3"/>
        <v>3.15</v>
      </c>
      <c r="I17" s="92">
        <f>ROUND(+G17*$D17*12+F17*D17*12,0)</f>
        <v>0</v>
      </c>
      <c r="J17" s="92">
        <f aca="true" t="shared" si="6" ref="J17:J23">ROUND(+H17*$D17*12,0)</f>
        <v>0</v>
      </c>
      <c r="K17" s="92">
        <f aca="true" t="shared" si="7" ref="K17:K23">+J17-I17</f>
        <v>0</v>
      </c>
      <c r="L17" s="184" t="str">
        <f>IF(+K17=0,"na",K17/I17)</f>
        <v>na</v>
      </c>
      <c r="N17" s="90"/>
    </row>
    <row r="18" spans="1:14" ht="12.75">
      <c r="A18" s="79" t="str">
        <f>+A13</f>
        <v>52E </v>
      </c>
      <c r="B18" s="114">
        <v>100</v>
      </c>
      <c r="C18" s="114" t="s">
        <v>351</v>
      </c>
      <c r="D18" s="18">
        <v>0</v>
      </c>
      <c r="E18" s="114"/>
      <c r="F18" s="110">
        <v>0.15</v>
      </c>
      <c r="G18" s="111">
        <v>3.56</v>
      </c>
      <c r="H18" s="111">
        <f t="shared" si="3"/>
        <v>4.02</v>
      </c>
      <c r="I18" s="92">
        <f>ROUND(+G18*$D18*12+F18*D18*12,0)</f>
        <v>0</v>
      </c>
      <c r="J18" s="92">
        <f t="shared" si="6"/>
        <v>0</v>
      </c>
      <c r="K18" s="92">
        <f t="shared" si="7"/>
        <v>0</v>
      </c>
      <c r="L18" s="184" t="str">
        <f>IF(+K18=0,"na",K18/I18)</f>
        <v>na</v>
      </c>
      <c r="N18" s="90"/>
    </row>
    <row r="19" spans="1:14" ht="12.75">
      <c r="A19" s="79" t="str">
        <f>+A14</f>
        <v>52E </v>
      </c>
      <c r="B19" s="114">
        <v>150</v>
      </c>
      <c r="C19" s="114" t="s">
        <v>351</v>
      </c>
      <c r="D19" s="18">
        <v>0</v>
      </c>
      <c r="E19" s="114"/>
      <c r="F19" s="110">
        <v>0.21</v>
      </c>
      <c r="G19" s="111">
        <v>5.12</v>
      </c>
      <c r="H19" s="111">
        <f t="shared" si="3"/>
        <v>5.78</v>
      </c>
      <c r="I19" s="92">
        <f>ROUND(+G19*$D19*12+F19*D19*12,0)</f>
        <v>0</v>
      </c>
      <c r="J19" s="92">
        <f t="shared" si="6"/>
        <v>0</v>
      </c>
      <c r="K19" s="92">
        <f t="shared" si="7"/>
        <v>0</v>
      </c>
      <c r="L19" s="184" t="str">
        <f>IF(+K19=0,"na",K19/I19)</f>
        <v>na</v>
      </c>
      <c r="N19" s="90"/>
    </row>
    <row r="20" spans="1:14" ht="12.75">
      <c r="A20" s="79" t="str">
        <f>+A15</f>
        <v>52E </v>
      </c>
      <c r="B20" s="114">
        <v>175</v>
      </c>
      <c r="C20" s="114" t="s">
        <v>351</v>
      </c>
      <c r="D20" s="18">
        <v>285</v>
      </c>
      <c r="E20" s="114"/>
      <c r="F20" s="110">
        <v>0.24</v>
      </c>
      <c r="G20" s="111">
        <v>6.06</v>
      </c>
      <c r="H20" s="111">
        <f t="shared" si="3"/>
        <v>6.83</v>
      </c>
      <c r="I20" s="92">
        <f t="shared" si="4"/>
        <v>21546</v>
      </c>
      <c r="J20" s="92">
        <f t="shared" si="6"/>
        <v>23359</v>
      </c>
      <c r="K20" s="92">
        <f t="shared" si="7"/>
        <v>1813</v>
      </c>
      <c r="L20" s="184">
        <f t="shared" si="5"/>
        <v>0.08414554905782975</v>
      </c>
      <c r="N20" s="90"/>
    </row>
    <row r="21" spans="1:14" ht="12.75">
      <c r="A21" s="72" t="str">
        <f>+A20</f>
        <v>52E </v>
      </c>
      <c r="B21" s="114">
        <v>250</v>
      </c>
      <c r="C21" s="114" t="str">
        <f>+C20</f>
        <v>Metal Halide</v>
      </c>
      <c r="D21" s="18">
        <v>0</v>
      </c>
      <c r="E21" s="114"/>
      <c r="F21" s="110">
        <v>0.33</v>
      </c>
      <c r="G21" s="111">
        <v>8.24</v>
      </c>
      <c r="H21" s="111">
        <f t="shared" si="3"/>
        <v>9.29</v>
      </c>
      <c r="I21" s="92">
        <f t="shared" si="4"/>
        <v>0</v>
      </c>
      <c r="J21" s="92">
        <f t="shared" si="6"/>
        <v>0</v>
      </c>
      <c r="K21" s="92">
        <f t="shared" si="7"/>
        <v>0</v>
      </c>
      <c r="L21" s="184" t="str">
        <f t="shared" si="5"/>
        <v>na</v>
      </c>
      <c r="N21" s="90"/>
    </row>
    <row r="22" spans="1:14" ht="12.75">
      <c r="A22" s="72" t="str">
        <f>+A21</f>
        <v>52E </v>
      </c>
      <c r="B22" s="114">
        <v>400</v>
      </c>
      <c r="C22" s="114" t="str">
        <f>+C21</f>
        <v>Metal Halide</v>
      </c>
      <c r="D22" s="18">
        <v>0</v>
      </c>
      <c r="E22" s="114"/>
      <c r="F22" s="110">
        <v>0.52</v>
      </c>
      <c r="G22" s="111">
        <v>12.92</v>
      </c>
      <c r="H22" s="111">
        <f t="shared" si="3"/>
        <v>14.56</v>
      </c>
      <c r="I22" s="92">
        <f t="shared" si="4"/>
        <v>0</v>
      </c>
      <c r="J22" s="92">
        <f t="shared" si="6"/>
        <v>0</v>
      </c>
      <c r="K22" s="92">
        <f t="shared" si="7"/>
        <v>0</v>
      </c>
      <c r="L22" s="184" t="str">
        <f t="shared" si="5"/>
        <v>na</v>
      </c>
      <c r="N22" s="90"/>
    </row>
    <row r="23" spans="1:14" ht="12.75">
      <c r="A23" s="72" t="str">
        <f>+A22</f>
        <v>52E </v>
      </c>
      <c r="B23" s="114">
        <v>1000</v>
      </c>
      <c r="C23" s="114" t="str">
        <f>+C22</f>
        <v>Metal Halide</v>
      </c>
      <c r="D23" s="18">
        <v>18</v>
      </c>
      <c r="E23" s="114"/>
      <c r="F23" s="110">
        <v>1.25</v>
      </c>
      <c r="G23" s="111">
        <v>30.92</v>
      </c>
      <c r="H23" s="111">
        <f t="shared" si="3"/>
        <v>34.86</v>
      </c>
      <c r="I23" s="92">
        <f t="shared" si="4"/>
        <v>6949</v>
      </c>
      <c r="J23" s="92">
        <f t="shared" si="6"/>
        <v>7530</v>
      </c>
      <c r="K23" s="92">
        <f t="shared" si="7"/>
        <v>581</v>
      </c>
      <c r="L23" s="184">
        <f t="shared" si="5"/>
        <v>0.0836091523960282</v>
      </c>
      <c r="N23" s="90"/>
    </row>
    <row r="24" spans="1:12" ht="12.75">
      <c r="A24" s="72"/>
      <c r="B24" s="114"/>
      <c r="C24" s="114"/>
      <c r="D24" s="114"/>
      <c r="E24" s="114"/>
      <c r="F24" s="114"/>
      <c r="G24" s="110"/>
      <c r="H24" s="110"/>
      <c r="I24" s="92"/>
      <c r="J24" s="92"/>
      <c r="K24" s="92"/>
      <c r="L24" s="112"/>
    </row>
    <row r="25" spans="2:12" ht="13.5" thickBot="1">
      <c r="B25" s="114"/>
      <c r="C25" s="114"/>
      <c r="D25" s="91">
        <f>SUM(D8:D23)</f>
        <v>13948</v>
      </c>
      <c r="E25" s="35">
        <f>+'Lighting Summary'!B12</f>
        <v>8884359.386</v>
      </c>
      <c r="F25" s="114"/>
      <c r="G25" s="110"/>
      <c r="H25" s="110"/>
      <c r="I25" s="83">
        <f>SUM(I8:I23)+F25</f>
        <v>846754</v>
      </c>
      <c r="J25" s="83">
        <f>SUM(J8:J23)</f>
        <v>918087</v>
      </c>
      <c r="K25" s="83">
        <f>SUM(K8:K23)</f>
        <v>71333</v>
      </c>
      <c r="L25" s="119">
        <f>+K25/I25</f>
        <v>0.0842428851827095</v>
      </c>
    </row>
    <row r="26" spans="2:12" ht="13.5" thickTop="1">
      <c r="B26" s="114"/>
      <c r="C26" s="114"/>
      <c r="D26" s="114"/>
      <c r="E26" s="114"/>
      <c r="F26" s="114"/>
      <c r="G26" s="110"/>
      <c r="H26" s="110"/>
      <c r="L26" s="112"/>
    </row>
    <row r="28" spans="1:8" ht="12.75" hidden="1">
      <c r="A28" s="58" t="str">
        <f>+'Schedule 003'!$A$14</f>
        <v>Proposed Increase</v>
      </c>
      <c r="H28" s="194">
        <f>+'Lighting Summary'!$E$26</f>
        <v>0.08367238671140526</v>
      </c>
    </row>
    <row r="29" ht="12.75" hidden="1"/>
    <row r="30" ht="12.75" hidden="1"/>
    <row r="31" spans="1:9" ht="12.75" hidden="1">
      <c r="A31" s="79" t="str">
        <f>+'Schedule 003'!$A$16</f>
        <v>Annual Schedule 95</v>
      </c>
      <c r="I31" s="92">
        <f>(SUMPRODUCT(D8:D15,F8:F15)+SUMPRODUCT(D17:D23,F17:F23))*12</f>
        <v>30460.799999999996</v>
      </c>
    </row>
  </sheetData>
  <sheetProtection/>
  <printOptions/>
  <pageMargins left="0.46" right="0.27" top="1.5" bottom="1" header="0.5" footer="0.5"/>
  <pageSetup fitToHeight="1" fitToWidth="1" horizontalDpi="600" verticalDpi="600" orientation="landscape" r:id="rId1"/>
  <headerFooter alignWithMargins="0">
    <oddHeader>&amp;L&amp;"Times New Roman,Regular"Puget Sound Energy
Docket UE-0702300/UG-072301&amp;R&amp;"Times New Roman,Regular"Electric Rate Spread and Rate Design 
Exhibit A to Multiparty Settlement&amp;"Arial,Regular"
</oddHeader>
    <oddFooter>&amp;R&amp;"Times New Roman,Regular"Page &amp;P of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29.8515625" style="58" bestFit="1" customWidth="1"/>
    <col min="2" max="2" width="12.28125" style="58" bestFit="1" customWidth="1"/>
    <col min="3" max="3" width="8.421875" style="58" bestFit="1" customWidth="1"/>
    <col min="4" max="4" width="8.8515625" style="58" bestFit="1" customWidth="1"/>
    <col min="5" max="5" width="12.28125" style="58" bestFit="1" customWidth="1"/>
    <col min="6" max="6" width="9.7109375" style="58" bestFit="1" customWidth="1"/>
    <col min="7" max="7" width="10.28125" style="58" bestFit="1" customWidth="1"/>
    <col min="8" max="8" width="7.28125" style="58" bestFit="1" customWidth="1"/>
    <col min="9" max="16384" width="9.140625" style="58" customWidth="1"/>
  </cols>
  <sheetData>
    <row r="1" spans="1:8" ht="12.75">
      <c r="A1" s="57" t="s">
        <v>0</v>
      </c>
      <c r="B1" s="57"/>
      <c r="C1" s="57"/>
      <c r="D1" s="57"/>
      <c r="E1" s="57"/>
      <c r="F1" s="57"/>
      <c r="G1" s="57"/>
      <c r="H1" s="57"/>
    </row>
    <row r="2" spans="1:8" ht="12.75">
      <c r="A2" s="57" t="s">
        <v>331</v>
      </c>
      <c r="B2" s="57"/>
      <c r="C2" s="57"/>
      <c r="D2" s="57"/>
      <c r="E2" s="57"/>
      <c r="F2" s="57"/>
      <c r="G2" s="57"/>
      <c r="H2" s="57"/>
    </row>
    <row r="3" spans="1:8" ht="12.75">
      <c r="A3" s="57" t="str">
        <f>+'Lighting Summary'!A4</f>
        <v>Twelve Months ended September 30, 2007</v>
      </c>
      <c r="B3" s="57"/>
      <c r="C3" s="57"/>
      <c r="D3" s="57"/>
      <c r="E3" s="57"/>
      <c r="F3" s="57"/>
      <c r="G3" s="57"/>
      <c r="H3" s="57"/>
    </row>
    <row r="4" spans="1:8" ht="12.75">
      <c r="A4" s="57" t="s">
        <v>352</v>
      </c>
      <c r="B4" s="57"/>
      <c r="C4" s="57"/>
      <c r="D4" s="57"/>
      <c r="E4" s="57"/>
      <c r="F4" s="57"/>
      <c r="G4" s="57"/>
      <c r="H4" s="57"/>
    </row>
    <row r="5" spans="1:8" ht="12.75">
      <c r="A5" s="57" t="s">
        <v>348</v>
      </c>
      <c r="B5" s="57"/>
      <c r="C5" s="57"/>
      <c r="D5" s="57"/>
      <c r="E5" s="57"/>
      <c r="F5" s="57"/>
      <c r="G5" s="57"/>
      <c r="H5" s="57"/>
    </row>
    <row r="7" spans="1:8" s="61" customFormat="1" ht="38.25">
      <c r="A7" s="59" t="s">
        <v>4</v>
      </c>
      <c r="B7" s="60" t="s">
        <v>353</v>
      </c>
      <c r="C7" s="60" t="s">
        <v>354</v>
      </c>
      <c r="D7" s="60" t="s">
        <v>355</v>
      </c>
      <c r="E7" s="60" t="s">
        <v>340</v>
      </c>
      <c r="F7" s="60" t="s">
        <v>296</v>
      </c>
      <c r="G7" s="59" t="s">
        <v>297</v>
      </c>
      <c r="H7" s="59" t="s">
        <v>207</v>
      </c>
    </row>
    <row r="8" spans="1:8" ht="12.75">
      <c r="A8" s="79" t="s">
        <v>356</v>
      </c>
      <c r="B8" s="29">
        <v>23248969.267000053</v>
      </c>
      <c r="C8" s="195">
        <v>0.0024</v>
      </c>
      <c r="D8" s="196">
        <f>ROUND((+C8*(1+D11)),5)</f>
        <v>0.0026</v>
      </c>
      <c r="E8" s="92">
        <f>+C8*B8*12</f>
        <v>669570.3148896014</v>
      </c>
      <c r="F8" s="92">
        <f>+B8*D8*12</f>
        <v>725367.8411304016</v>
      </c>
      <c r="G8" s="92">
        <f>+F8-E8</f>
        <v>55797.52624080016</v>
      </c>
      <c r="H8" s="112">
        <f>+G8/E8</f>
        <v>0.0833333333333334</v>
      </c>
    </row>
    <row r="9" spans="1:8" ht="12.75">
      <c r="A9" s="72"/>
      <c r="B9" s="114"/>
      <c r="C9" s="110"/>
      <c r="D9" s="110"/>
      <c r="E9" s="92"/>
      <c r="F9" s="92"/>
      <c r="G9" s="92"/>
      <c r="H9" s="112"/>
    </row>
    <row r="11" spans="1:4" ht="12.75">
      <c r="A11" s="58" t="str">
        <f>+'Schedule 003'!$A$14</f>
        <v>Proposed Increase</v>
      </c>
      <c r="D11" s="194">
        <f>+'Lighting Summary'!$E$26</f>
        <v>0.08367238671140526</v>
      </c>
    </row>
    <row r="23" ht="12.75">
      <c r="F23" s="194"/>
    </row>
  </sheetData>
  <sheetProtection/>
  <printOptions/>
  <pageMargins left="0.46" right="0.27" top="1.5" bottom="1" header="0.5" footer="0.5"/>
  <pageSetup fitToHeight="1" fitToWidth="1" horizontalDpi="600" verticalDpi="600" orientation="landscape" r:id="rId1"/>
  <headerFooter alignWithMargins="0">
    <oddHeader>&amp;L&amp;"Times New Roman,Regular"Puget Sound Energy
Docket UE-0702300/UG-072301&amp;R&amp;"Times New Roman,Regular"Electric Rate Spread and Rate Design 
Exhibit A to Multiparty Settlement&amp;"Arial,Regular"
</oddHeader>
    <oddFooter>&amp;R&amp;"Times New Roman,Regular"Page &amp;P of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20.28125" style="58" bestFit="1" customWidth="1"/>
    <col min="2" max="2" width="10.00390625" style="58" bestFit="1" customWidth="1"/>
    <col min="3" max="3" width="13.8515625" style="58" bestFit="1" customWidth="1"/>
    <col min="4" max="4" width="8.7109375" style="58" bestFit="1" customWidth="1"/>
    <col min="5" max="5" width="12.00390625" style="58" bestFit="1" customWidth="1"/>
    <col min="6" max="6" width="11.28125" style="58" customWidth="1"/>
    <col min="7" max="8" width="9.00390625" style="58" bestFit="1" customWidth="1"/>
    <col min="9" max="10" width="13.00390625" style="58" bestFit="1" customWidth="1"/>
    <col min="11" max="11" width="11.421875" style="58" bestFit="1" customWidth="1"/>
    <col min="12" max="12" width="7.421875" style="58" bestFit="1" customWidth="1"/>
    <col min="13" max="16384" width="9.140625" style="58" customWidth="1"/>
  </cols>
  <sheetData>
    <row r="1" spans="1:12" ht="12.7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2.75">
      <c r="A2" s="57" t="s">
        <v>331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2.75">
      <c r="A3" s="57" t="str">
        <f>+'Lighting Summary'!A4</f>
        <v>Twelve Months ended September 30, 2007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12.75">
      <c r="A4" s="57" t="s">
        <v>357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2.75">
      <c r="A5" s="57" t="s">
        <v>358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ht="12.75"/>
    <row r="7" spans="1:12" s="61" customFormat="1" ht="51">
      <c r="A7" s="59" t="s">
        <v>4</v>
      </c>
      <c r="B7" s="60" t="s">
        <v>334</v>
      </c>
      <c r="C7" s="59" t="s">
        <v>335</v>
      </c>
      <c r="D7" s="59" t="str">
        <f>+'Schedule 003'!D7</f>
        <v>Inventory
@
9-1-07</v>
      </c>
      <c r="E7" s="60" t="str">
        <f>+'Schedule 003'!E7</f>
        <v>Billed kWh
12 Months
ended
9-30-07</v>
      </c>
      <c r="F7" s="60" t="str">
        <f>+'Schedule 003'!F7</f>
        <v>Schedule 95</v>
      </c>
      <c r="G7" s="60" t="str">
        <f>+'Schedule 003'!G7</f>
        <v>Proforma Base Lamp Charge</v>
      </c>
      <c r="H7" s="60" t="str">
        <f>+'Schedule 003'!H7</f>
        <v>Proposed Lamp Charge</v>
      </c>
      <c r="I7" s="60" t="s">
        <v>340</v>
      </c>
      <c r="J7" s="60" t="s">
        <v>296</v>
      </c>
      <c r="K7" s="59" t="s">
        <v>297</v>
      </c>
      <c r="L7" s="59" t="s">
        <v>207</v>
      </c>
    </row>
    <row r="8" spans="1:12" ht="12.75">
      <c r="A8" s="79" t="s">
        <v>359</v>
      </c>
      <c r="B8" s="114">
        <v>50</v>
      </c>
      <c r="C8" s="114" t="s">
        <v>350</v>
      </c>
      <c r="D8" s="18">
        <v>23</v>
      </c>
      <c r="E8" s="114"/>
      <c r="F8" s="110">
        <v>0.07</v>
      </c>
      <c r="G8" s="111">
        <v>8.16</v>
      </c>
      <c r="H8" s="111">
        <f>ROUND((+(G8+F8)*(1+$H$39)),2)</f>
        <v>8.92</v>
      </c>
      <c r="I8" s="92">
        <f>ROUND(+G8*$D8*12+F8*D8*12,0)</f>
        <v>2271</v>
      </c>
      <c r="J8" s="92">
        <f>ROUND(+H8*$D8*12,0)</f>
        <v>2462</v>
      </c>
      <c r="K8" s="92">
        <f>+J8-I8</f>
        <v>191</v>
      </c>
      <c r="L8" s="184">
        <f>IF(K8=0,"na",+K8/I8)</f>
        <v>0.0841039189784236</v>
      </c>
    </row>
    <row r="9" spans="1:12" ht="12.75">
      <c r="A9" s="72" t="str">
        <f aca="true" t="shared" si="0" ref="A9:A16">+A8</f>
        <v>53E - Company Owned</v>
      </c>
      <c r="B9" s="114">
        <v>70</v>
      </c>
      <c r="C9" s="114" t="s">
        <v>350</v>
      </c>
      <c r="D9" s="18">
        <v>6346</v>
      </c>
      <c r="E9" s="114"/>
      <c r="F9" s="110">
        <v>0.1</v>
      </c>
      <c r="G9" s="111">
        <v>9.32</v>
      </c>
      <c r="H9" s="111">
        <f>ROUND((+(G9+F9)*(1+$H$39)),2)</f>
        <v>10.21</v>
      </c>
      <c r="I9" s="92">
        <f aca="true" t="shared" si="1" ref="I9:I26">ROUND(+G9*$D9*12+F9*D9*12,0)</f>
        <v>717352</v>
      </c>
      <c r="J9" s="92">
        <f>ROUND(+H9*$D9*12,0)</f>
        <v>777512</v>
      </c>
      <c r="K9" s="92">
        <f>+J9-I9</f>
        <v>60160</v>
      </c>
      <c r="L9" s="184">
        <f aca="true" t="shared" si="2" ref="L9:L26">IF(K9=0,"na",+K9/I9)</f>
        <v>0.08386398866943982</v>
      </c>
    </row>
    <row r="10" spans="1:12" ht="12.75">
      <c r="A10" s="72" t="str">
        <f t="shared" si="0"/>
        <v>53E - Company Owned</v>
      </c>
      <c r="B10" s="114">
        <v>100</v>
      </c>
      <c r="C10" s="114" t="s">
        <v>350</v>
      </c>
      <c r="D10" s="18">
        <v>46109</v>
      </c>
      <c r="E10" s="114"/>
      <c r="F10" s="110">
        <v>0.14</v>
      </c>
      <c r="G10" s="111">
        <v>10.47</v>
      </c>
      <c r="H10" s="111">
        <f>ROUND((+(G10+F10)*(1+$H$39)),2)</f>
        <v>11.5</v>
      </c>
      <c r="I10" s="92">
        <f t="shared" si="1"/>
        <v>5870598</v>
      </c>
      <c r="J10" s="92">
        <f>ROUND(+H10*$D10*12,0)</f>
        <v>6363042</v>
      </c>
      <c r="K10" s="92">
        <f>+J10-I10</f>
        <v>492444</v>
      </c>
      <c r="L10" s="184">
        <f t="shared" si="2"/>
        <v>0.08388310696797839</v>
      </c>
    </row>
    <row r="11" spans="1:12" ht="12.75">
      <c r="A11" s="72" t="str">
        <f t="shared" si="0"/>
        <v>53E - Company Owned</v>
      </c>
      <c r="B11" s="114">
        <v>150</v>
      </c>
      <c r="C11" s="114" t="s">
        <v>350</v>
      </c>
      <c r="D11" s="18">
        <v>5057</v>
      </c>
      <c r="E11" s="114"/>
      <c r="F11" s="110">
        <v>0.19</v>
      </c>
      <c r="G11" s="111">
        <v>12.43</v>
      </c>
      <c r="H11" s="111">
        <f>ROUND((+(G11+F11)*(1+$H$39)),2)-0.03</f>
        <v>13.65</v>
      </c>
      <c r="I11" s="92">
        <f t="shared" si="1"/>
        <v>765832</v>
      </c>
      <c r="J11" s="92">
        <f>ROUND(+H11*$D11*12,0)</f>
        <v>828337</v>
      </c>
      <c r="K11" s="92">
        <f>+J11-I11</f>
        <v>62505</v>
      </c>
      <c r="L11" s="184">
        <f t="shared" si="2"/>
        <v>0.08161711707006236</v>
      </c>
    </row>
    <row r="12" spans="1:12" ht="12.75">
      <c r="A12" s="72" t="str">
        <f t="shared" si="0"/>
        <v>53E - Company Owned</v>
      </c>
      <c r="B12" s="114">
        <v>200</v>
      </c>
      <c r="C12" s="114" t="s">
        <v>350</v>
      </c>
      <c r="D12" s="18">
        <v>0</v>
      </c>
      <c r="E12" s="114"/>
      <c r="F12" s="110">
        <v>0.25</v>
      </c>
      <c r="G12" s="111">
        <v>14.84</v>
      </c>
      <c r="H12" s="111">
        <f aca="true" t="shared" si="3" ref="H12:H26">ROUND((+(G12+F12)*(1+$H$39)),2)</f>
        <v>16.35</v>
      </c>
      <c r="I12" s="92">
        <f t="shared" si="1"/>
        <v>0</v>
      </c>
      <c r="J12" s="92">
        <f aca="true" t="shared" si="4" ref="J12:J18">ROUND(+H12*$D12*12,0)</f>
        <v>0</v>
      </c>
      <c r="K12" s="92">
        <f aca="true" t="shared" si="5" ref="K12:K18">+J12-I12</f>
        <v>0</v>
      </c>
      <c r="L12" s="184" t="str">
        <f t="shared" si="2"/>
        <v>na</v>
      </c>
    </row>
    <row r="13" spans="1:12" ht="12.75">
      <c r="A13" s="72" t="str">
        <f t="shared" si="0"/>
        <v>53E - Company Owned</v>
      </c>
      <c r="B13" s="114">
        <v>250</v>
      </c>
      <c r="C13" s="114" t="s">
        <v>350</v>
      </c>
      <c r="D13" s="18">
        <v>7259</v>
      </c>
      <c r="E13" s="114"/>
      <c r="F13" s="110">
        <v>0.31</v>
      </c>
      <c r="G13" s="111">
        <v>16.68</v>
      </c>
      <c r="H13" s="111">
        <f t="shared" si="3"/>
        <v>18.41</v>
      </c>
      <c r="I13" s="92">
        <f t="shared" si="1"/>
        <v>1479965</v>
      </c>
      <c r="J13" s="92">
        <f t="shared" si="4"/>
        <v>1603658</v>
      </c>
      <c r="K13" s="92">
        <f t="shared" si="5"/>
        <v>123693</v>
      </c>
      <c r="L13" s="184">
        <f t="shared" si="2"/>
        <v>0.0835783278658617</v>
      </c>
    </row>
    <row r="14" spans="1:12" ht="12.75">
      <c r="A14" s="72" t="str">
        <f t="shared" si="0"/>
        <v>53E - Company Owned</v>
      </c>
      <c r="B14" s="114">
        <v>310</v>
      </c>
      <c r="C14" s="114" t="s">
        <v>350</v>
      </c>
      <c r="D14" s="18">
        <v>2132</v>
      </c>
      <c r="E14" s="114"/>
      <c r="F14" s="110">
        <v>0.44</v>
      </c>
      <c r="G14" s="111">
        <v>19.19</v>
      </c>
      <c r="H14" s="111">
        <f t="shared" si="3"/>
        <v>21.27</v>
      </c>
      <c r="I14" s="92">
        <f t="shared" si="1"/>
        <v>502214</v>
      </c>
      <c r="J14" s="92">
        <f t="shared" si="4"/>
        <v>544172</v>
      </c>
      <c r="K14" s="92">
        <f t="shared" si="5"/>
        <v>41958</v>
      </c>
      <c r="L14" s="184">
        <f t="shared" si="2"/>
        <v>0.08354605805493276</v>
      </c>
    </row>
    <row r="15" spans="1:12" ht="12.75">
      <c r="A15" s="72" t="str">
        <f t="shared" si="0"/>
        <v>53E - Company Owned</v>
      </c>
      <c r="B15" s="114">
        <v>400</v>
      </c>
      <c r="C15" s="114" t="s">
        <v>350</v>
      </c>
      <c r="D15" s="18">
        <v>27</v>
      </c>
      <c r="E15" s="114"/>
      <c r="F15" s="110">
        <v>0.5</v>
      </c>
      <c r="G15" s="111">
        <v>22.46</v>
      </c>
      <c r="H15" s="111">
        <f t="shared" si="3"/>
        <v>24.88</v>
      </c>
      <c r="I15" s="92">
        <f t="shared" si="1"/>
        <v>7439</v>
      </c>
      <c r="J15" s="92">
        <f t="shared" si="4"/>
        <v>8061</v>
      </c>
      <c r="K15" s="92">
        <f t="shared" si="5"/>
        <v>622</v>
      </c>
      <c r="L15" s="184">
        <f t="shared" si="2"/>
        <v>0.08361338889635704</v>
      </c>
    </row>
    <row r="16" spans="1:12" ht="12.75">
      <c r="A16" s="72" t="str">
        <f t="shared" si="0"/>
        <v>53E - Company Owned</v>
      </c>
      <c r="B16" s="114">
        <v>1000</v>
      </c>
      <c r="C16" s="114" t="s">
        <v>350</v>
      </c>
      <c r="D16" s="18">
        <v>1294</v>
      </c>
      <c r="E16" s="114"/>
      <c r="F16" s="110">
        <v>1.28</v>
      </c>
      <c r="G16" s="111">
        <v>49.61</v>
      </c>
      <c r="H16" s="111">
        <f t="shared" si="3"/>
        <v>55.15</v>
      </c>
      <c r="I16" s="92">
        <f t="shared" si="1"/>
        <v>790220</v>
      </c>
      <c r="J16" s="92">
        <f t="shared" si="4"/>
        <v>856369</v>
      </c>
      <c r="K16" s="92">
        <f t="shared" si="5"/>
        <v>66149</v>
      </c>
      <c r="L16" s="184">
        <f t="shared" si="2"/>
        <v>0.08370959985826731</v>
      </c>
    </row>
    <row r="17" spans="1:12" ht="12.75">
      <c r="A17" s="72"/>
      <c r="B17" s="114"/>
      <c r="C17" s="114"/>
      <c r="D17" s="18"/>
      <c r="E17" s="114"/>
      <c r="F17" s="110"/>
      <c r="G17" s="110"/>
      <c r="H17" s="110"/>
      <c r="I17" s="92"/>
      <c r="J17" s="92"/>
      <c r="K17" s="92"/>
      <c r="L17" s="112"/>
    </row>
    <row r="18" spans="1:12" ht="12.75">
      <c r="A18" s="79" t="s">
        <v>360</v>
      </c>
      <c r="B18" s="114">
        <v>50</v>
      </c>
      <c r="C18" s="114" t="s">
        <v>350</v>
      </c>
      <c r="D18" s="18">
        <v>10</v>
      </c>
      <c r="E18" s="114"/>
      <c r="F18" s="110">
        <f>+F8</f>
        <v>0.07</v>
      </c>
      <c r="G18" s="111">
        <v>3.67</v>
      </c>
      <c r="H18" s="111">
        <f t="shared" si="3"/>
        <v>4.05</v>
      </c>
      <c r="I18" s="92">
        <f t="shared" si="1"/>
        <v>449</v>
      </c>
      <c r="J18" s="92">
        <f t="shared" si="4"/>
        <v>486</v>
      </c>
      <c r="K18" s="92">
        <f t="shared" si="5"/>
        <v>37</v>
      </c>
      <c r="L18" s="184">
        <f t="shared" si="2"/>
        <v>0.08240534521158129</v>
      </c>
    </row>
    <row r="19" spans="1:12" ht="12.75">
      <c r="A19" s="72" t="str">
        <f aca="true" t="shared" si="6" ref="A19:A26">+A18</f>
        <v>53E - Customer Owned</v>
      </c>
      <c r="B19" s="114">
        <v>70</v>
      </c>
      <c r="C19" s="114" t="s">
        <v>350</v>
      </c>
      <c r="D19" s="18">
        <v>128</v>
      </c>
      <c r="E19" s="114"/>
      <c r="F19" s="110">
        <f aca="true" t="shared" si="7" ref="F19:F26">+F9</f>
        <v>0.1</v>
      </c>
      <c r="G19" s="111">
        <v>4.55</v>
      </c>
      <c r="H19" s="111">
        <f t="shared" si="3"/>
        <v>5.04</v>
      </c>
      <c r="I19" s="92">
        <f t="shared" si="1"/>
        <v>7142</v>
      </c>
      <c r="J19" s="92">
        <f aca="true" t="shared" si="8" ref="J19:J26">ROUND(+H19*$D19*12,0)</f>
        <v>7741</v>
      </c>
      <c r="K19" s="92">
        <f aca="true" t="shared" si="9" ref="K19:K26">+J19-I19</f>
        <v>599</v>
      </c>
      <c r="L19" s="184">
        <f t="shared" si="2"/>
        <v>0.08387006440772893</v>
      </c>
    </row>
    <row r="20" spans="1:12" ht="12.75">
      <c r="A20" s="72" t="str">
        <f t="shared" si="6"/>
        <v>53E - Customer Owned</v>
      </c>
      <c r="B20" s="114">
        <v>100</v>
      </c>
      <c r="C20" s="114" t="s">
        <v>350</v>
      </c>
      <c r="D20" s="18">
        <v>684</v>
      </c>
      <c r="E20" s="114"/>
      <c r="F20" s="110">
        <f t="shared" si="7"/>
        <v>0.14</v>
      </c>
      <c r="G20" s="111">
        <v>5.58</v>
      </c>
      <c r="H20" s="111">
        <f t="shared" si="3"/>
        <v>6.2</v>
      </c>
      <c r="I20" s="92">
        <f t="shared" si="1"/>
        <v>46950</v>
      </c>
      <c r="J20" s="92">
        <f t="shared" si="8"/>
        <v>50890</v>
      </c>
      <c r="K20" s="92">
        <f t="shared" si="9"/>
        <v>3940</v>
      </c>
      <c r="L20" s="184">
        <f t="shared" si="2"/>
        <v>0.08391906283280086</v>
      </c>
    </row>
    <row r="21" spans="1:12" ht="12.75">
      <c r="A21" s="72" t="str">
        <f t="shared" si="6"/>
        <v>53E - Customer Owned</v>
      </c>
      <c r="B21" s="114">
        <v>150</v>
      </c>
      <c r="C21" s="114" t="s">
        <v>350</v>
      </c>
      <c r="D21" s="18">
        <v>386</v>
      </c>
      <c r="E21" s="114"/>
      <c r="F21" s="110">
        <f t="shared" si="7"/>
        <v>0.19</v>
      </c>
      <c r="G21" s="111">
        <v>7.29</v>
      </c>
      <c r="H21" s="111">
        <f t="shared" si="3"/>
        <v>8.11</v>
      </c>
      <c r="I21" s="92">
        <f t="shared" si="1"/>
        <v>34647</v>
      </c>
      <c r="J21" s="92">
        <f t="shared" si="8"/>
        <v>37566</v>
      </c>
      <c r="K21" s="92">
        <f t="shared" si="9"/>
        <v>2919</v>
      </c>
      <c r="L21" s="184">
        <f t="shared" si="2"/>
        <v>0.08424971859035414</v>
      </c>
    </row>
    <row r="22" spans="1:12" ht="12.75">
      <c r="A22" s="72" t="str">
        <f t="shared" si="6"/>
        <v>53E - Customer Owned</v>
      </c>
      <c r="B22" s="114">
        <v>200</v>
      </c>
      <c r="C22" s="114" t="s">
        <v>350</v>
      </c>
      <c r="D22" s="18">
        <v>1480</v>
      </c>
      <c r="E22" s="114"/>
      <c r="F22" s="110">
        <f t="shared" si="7"/>
        <v>0.25</v>
      </c>
      <c r="G22" s="111">
        <v>8.99</v>
      </c>
      <c r="H22" s="111">
        <f t="shared" si="3"/>
        <v>10.01</v>
      </c>
      <c r="I22" s="92">
        <f t="shared" si="1"/>
        <v>164102</v>
      </c>
      <c r="J22" s="92">
        <f t="shared" si="8"/>
        <v>177778</v>
      </c>
      <c r="K22" s="92">
        <f t="shared" si="9"/>
        <v>13676</v>
      </c>
      <c r="L22" s="184">
        <f t="shared" si="2"/>
        <v>0.08333841147578945</v>
      </c>
    </row>
    <row r="23" spans="1:12" ht="12.75">
      <c r="A23" s="72" t="str">
        <f t="shared" si="6"/>
        <v>53E - Customer Owned</v>
      </c>
      <c r="B23" s="114">
        <v>250</v>
      </c>
      <c r="C23" s="114" t="s">
        <v>350</v>
      </c>
      <c r="D23" s="18">
        <v>810</v>
      </c>
      <c r="E23" s="114"/>
      <c r="F23" s="110">
        <f t="shared" si="7"/>
        <v>0.31</v>
      </c>
      <c r="G23" s="111">
        <v>10.75</v>
      </c>
      <c r="H23" s="111">
        <f t="shared" si="3"/>
        <v>11.99</v>
      </c>
      <c r="I23" s="92">
        <f t="shared" si="1"/>
        <v>107503</v>
      </c>
      <c r="J23" s="92">
        <f t="shared" si="8"/>
        <v>116543</v>
      </c>
      <c r="K23" s="92">
        <f t="shared" si="9"/>
        <v>9040</v>
      </c>
      <c r="L23" s="184">
        <f t="shared" si="2"/>
        <v>0.08409067653925938</v>
      </c>
    </row>
    <row r="24" spans="1:12" ht="12.75">
      <c r="A24" s="72" t="str">
        <f t="shared" si="6"/>
        <v>53E - Customer Owned</v>
      </c>
      <c r="B24" s="114">
        <v>310</v>
      </c>
      <c r="C24" s="114" t="s">
        <v>350</v>
      </c>
      <c r="D24" s="18">
        <v>35</v>
      </c>
      <c r="E24" s="114"/>
      <c r="F24" s="110">
        <f t="shared" si="7"/>
        <v>0.44</v>
      </c>
      <c r="G24" s="111">
        <v>12.88</v>
      </c>
      <c r="H24" s="111">
        <f t="shared" si="3"/>
        <v>14.43</v>
      </c>
      <c r="I24" s="92">
        <f t="shared" si="1"/>
        <v>5594</v>
      </c>
      <c r="J24" s="92">
        <f t="shared" si="8"/>
        <v>6061</v>
      </c>
      <c r="K24" s="92">
        <f t="shared" si="9"/>
        <v>467</v>
      </c>
      <c r="L24" s="184">
        <f t="shared" si="2"/>
        <v>0.08348230246692885</v>
      </c>
    </row>
    <row r="25" spans="1:12" ht="12.75">
      <c r="A25" s="72" t="str">
        <f t="shared" si="6"/>
        <v>53E - Customer Owned</v>
      </c>
      <c r="B25" s="114">
        <v>400</v>
      </c>
      <c r="C25" s="114" t="s">
        <v>350</v>
      </c>
      <c r="D25" s="18">
        <v>1802</v>
      </c>
      <c r="E25" s="114"/>
      <c r="F25" s="110">
        <f t="shared" si="7"/>
        <v>0.5</v>
      </c>
      <c r="G25" s="111">
        <v>15.61</v>
      </c>
      <c r="H25" s="111">
        <f t="shared" si="3"/>
        <v>17.46</v>
      </c>
      <c r="I25" s="92">
        <f t="shared" si="1"/>
        <v>348363</v>
      </c>
      <c r="J25" s="92">
        <f t="shared" si="8"/>
        <v>377555</v>
      </c>
      <c r="K25" s="92">
        <f t="shared" si="9"/>
        <v>29192</v>
      </c>
      <c r="L25" s="184">
        <f t="shared" si="2"/>
        <v>0.08379764785582855</v>
      </c>
    </row>
    <row r="26" spans="1:12" ht="12.75">
      <c r="A26" s="72" t="str">
        <f t="shared" si="6"/>
        <v>53E - Customer Owned</v>
      </c>
      <c r="B26" s="114">
        <v>1000</v>
      </c>
      <c r="C26" s="114" t="s">
        <v>350</v>
      </c>
      <c r="D26" s="18">
        <v>1</v>
      </c>
      <c r="E26" s="114"/>
      <c r="F26" s="110">
        <f t="shared" si="7"/>
        <v>1.28</v>
      </c>
      <c r="G26" s="111">
        <v>37.68</v>
      </c>
      <c r="H26" s="111">
        <f t="shared" si="3"/>
        <v>42.22</v>
      </c>
      <c r="I26" s="92">
        <f t="shared" si="1"/>
        <v>468</v>
      </c>
      <c r="J26" s="92">
        <f t="shared" si="8"/>
        <v>507</v>
      </c>
      <c r="K26" s="92">
        <f t="shared" si="9"/>
        <v>39</v>
      </c>
      <c r="L26" s="184">
        <f t="shared" si="2"/>
        <v>0.08333333333333333</v>
      </c>
    </row>
    <row r="27" spans="1:12" ht="12.75">
      <c r="A27" s="72"/>
      <c r="B27" s="114"/>
      <c r="C27" s="114"/>
      <c r="D27" s="18"/>
      <c r="E27" s="114"/>
      <c r="F27" s="110"/>
      <c r="G27" s="111"/>
      <c r="H27" s="111"/>
      <c r="I27" s="92"/>
      <c r="J27" s="92"/>
      <c r="K27" s="92"/>
      <c r="L27" s="184"/>
    </row>
    <row r="28" spans="1:12" ht="12.75">
      <c r="A28" s="72" t="str">
        <f>+A26</f>
        <v>53E - Customer Owned</v>
      </c>
      <c r="B28" s="114">
        <v>70</v>
      </c>
      <c r="C28" s="114" t="s">
        <v>361</v>
      </c>
      <c r="D28" s="18">
        <v>0</v>
      </c>
      <c r="E28" s="114"/>
      <c r="F28" s="110">
        <f>+'Schedule 52'!F17</f>
        <v>0.11</v>
      </c>
      <c r="G28" s="111">
        <v>8.18</v>
      </c>
      <c r="H28" s="111">
        <f aca="true" t="shared" si="10" ref="H28:H33">ROUND((+(G28+F28)*(1+$H$39)),2)</f>
        <v>8.98</v>
      </c>
      <c r="I28" s="92">
        <f aca="true" t="shared" si="11" ref="I28:I33">ROUND(+G28*$D28*12+F28*D28*12,0)</f>
        <v>0</v>
      </c>
      <c r="J28" s="92">
        <f aca="true" t="shared" si="12" ref="J28:J33">ROUND(+H28*$D28*12,0)</f>
        <v>0</v>
      </c>
      <c r="K28" s="92">
        <f aca="true" t="shared" si="13" ref="K28:K33">+J28-I28</f>
        <v>0</v>
      </c>
      <c r="L28" s="184" t="str">
        <f aca="true" t="shared" si="14" ref="L28:L33">IF(K28=0,"na",+K28/I28)</f>
        <v>na</v>
      </c>
    </row>
    <row r="29" spans="1:12" ht="12.75">
      <c r="A29" s="72" t="str">
        <f>+A28</f>
        <v>53E - Customer Owned</v>
      </c>
      <c r="B29" s="114">
        <v>100</v>
      </c>
      <c r="C29" s="114" t="s">
        <v>361</v>
      </c>
      <c r="D29" s="18">
        <v>0</v>
      </c>
      <c r="E29" s="114"/>
      <c r="F29" s="110">
        <f>+'Schedule 52'!F18</f>
        <v>0.15</v>
      </c>
      <c r="G29" s="111">
        <v>8.94</v>
      </c>
      <c r="H29" s="111">
        <f t="shared" si="10"/>
        <v>9.85</v>
      </c>
      <c r="I29" s="92">
        <f t="shared" si="11"/>
        <v>0</v>
      </c>
      <c r="J29" s="92">
        <f t="shared" si="12"/>
        <v>0</v>
      </c>
      <c r="K29" s="92">
        <f t="shared" si="13"/>
        <v>0</v>
      </c>
      <c r="L29" s="184" t="str">
        <f t="shared" si="14"/>
        <v>na</v>
      </c>
    </row>
    <row r="30" spans="1:12" ht="12.75">
      <c r="A30" s="72" t="str">
        <f>+A29</f>
        <v>53E - Customer Owned</v>
      </c>
      <c r="B30" s="114">
        <v>150</v>
      </c>
      <c r="C30" s="114" t="s">
        <v>361</v>
      </c>
      <c r="D30" s="18">
        <v>0</v>
      </c>
      <c r="E30" s="114"/>
      <c r="F30" s="110">
        <f>+'Schedule 52'!F19</f>
        <v>0.21</v>
      </c>
      <c r="G30" s="111">
        <v>10.81</v>
      </c>
      <c r="H30" s="111">
        <f t="shared" si="10"/>
        <v>11.94</v>
      </c>
      <c r="I30" s="92">
        <f t="shared" si="11"/>
        <v>0</v>
      </c>
      <c r="J30" s="92">
        <f t="shared" si="12"/>
        <v>0</v>
      </c>
      <c r="K30" s="92">
        <f t="shared" si="13"/>
        <v>0</v>
      </c>
      <c r="L30" s="184" t="str">
        <f t="shared" si="14"/>
        <v>na</v>
      </c>
    </row>
    <row r="31" spans="1:12" ht="12.75">
      <c r="A31" s="72" t="str">
        <f>+A30</f>
        <v>53E - Customer Owned</v>
      </c>
      <c r="B31" s="114">
        <v>175</v>
      </c>
      <c r="C31" s="114" t="s">
        <v>361</v>
      </c>
      <c r="D31" s="18">
        <v>4</v>
      </c>
      <c r="E31" s="114"/>
      <c r="F31" s="110">
        <f>+'Schedule 52'!F20</f>
        <v>0.24</v>
      </c>
      <c r="G31" s="111">
        <v>13.94</v>
      </c>
      <c r="H31" s="111">
        <f t="shared" si="10"/>
        <v>15.37</v>
      </c>
      <c r="I31" s="92">
        <f t="shared" si="11"/>
        <v>681</v>
      </c>
      <c r="J31" s="92">
        <f t="shared" si="12"/>
        <v>738</v>
      </c>
      <c r="K31" s="92">
        <f t="shared" si="13"/>
        <v>57</v>
      </c>
      <c r="L31" s="184">
        <f t="shared" si="14"/>
        <v>0.08370044052863436</v>
      </c>
    </row>
    <row r="32" spans="1:12" ht="12.75">
      <c r="A32" s="72" t="str">
        <f>+A31</f>
        <v>53E - Customer Owned</v>
      </c>
      <c r="B32" s="114">
        <v>250</v>
      </c>
      <c r="C32" s="114" t="s">
        <v>361</v>
      </c>
      <c r="D32" s="18">
        <v>0</v>
      </c>
      <c r="E32" s="114"/>
      <c r="F32" s="110">
        <f>+'Schedule 52'!F21</f>
        <v>0.33</v>
      </c>
      <c r="G32" s="111">
        <v>14.31</v>
      </c>
      <c r="H32" s="111">
        <f t="shared" si="10"/>
        <v>15.86</v>
      </c>
      <c r="I32" s="92">
        <f t="shared" si="11"/>
        <v>0</v>
      </c>
      <c r="J32" s="92">
        <f t="shared" si="12"/>
        <v>0</v>
      </c>
      <c r="K32" s="92">
        <f t="shared" si="13"/>
        <v>0</v>
      </c>
      <c r="L32" s="184" t="str">
        <f t="shared" si="14"/>
        <v>na</v>
      </c>
    </row>
    <row r="33" spans="1:12" ht="12.75">
      <c r="A33" s="72" t="str">
        <f>+A32</f>
        <v>53E - Customer Owned</v>
      </c>
      <c r="B33" s="114">
        <v>400</v>
      </c>
      <c r="C33" s="114" t="s">
        <v>361</v>
      </c>
      <c r="D33" s="18">
        <v>0</v>
      </c>
      <c r="E33" s="114"/>
      <c r="F33" s="110">
        <f>+'Schedule 52'!F22</f>
        <v>0.52</v>
      </c>
      <c r="G33" s="111">
        <v>15.95</v>
      </c>
      <c r="H33" s="111">
        <f t="shared" si="10"/>
        <v>17.85</v>
      </c>
      <c r="I33" s="92">
        <f t="shared" si="11"/>
        <v>0</v>
      </c>
      <c r="J33" s="92">
        <f t="shared" si="12"/>
        <v>0</v>
      </c>
      <c r="K33" s="92">
        <f t="shared" si="13"/>
        <v>0</v>
      </c>
      <c r="L33" s="184" t="str">
        <f t="shared" si="14"/>
        <v>na</v>
      </c>
    </row>
    <row r="34" spans="1:12" ht="12.75">
      <c r="A34" s="72"/>
      <c r="B34" s="114"/>
      <c r="C34" s="114"/>
      <c r="D34" s="114"/>
      <c r="E34" s="114"/>
      <c r="F34" s="114"/>
      <c r="G34" s="110"/>
      <c r="H34" s="110"/>
      <c r="I34" s="92"/>
      <c r="J34" s="92"/>
      <c r="K34" s="92"/>
      <c r="L34" s="112"/>
    </row>
    <row r="35" spans="2:12" ht="13.5" thickBot="1">
      <c r="B35" s="114"/>
      <c r="C35" s="114"/>
      <c r="D35" s="91">
        <f>SUM(D8:D33)</f>
        <v>73587</v>
      </c>
      <c r="E35" s="35">
        <f>+'Lighting Summary'!B13</f>
        <v>47285571.4913</v>
      </c>
      <c r="F35" s="114"/>
      <c r="G35" s="110"/>
      <c r="H35" s="110"/>
      <c r="I35" s="83">
        <f>SUM(I8:I33)</f>
        <v>10851790</v>
      </c>
      <c r="J35" s="83">
        <f>SUM(J8:J33)</f>
        <v>11759478</v>
      </c>
      <c r="K35" s="83">
        <f>SUM(K8:K33)</f>
        <v>907688</v>
      </c>
      <c r="L35" s="119">
        <f>+K35/I35</f>
        <v>0.08364408083827644</v>
      </c>
    </row>
    <row r="36" spans="2:12" ht="13.5" thickTop="1">
      <c r="B36" s="114"/>
      <c r="C36" s="114"/>
      <c r="D36" s="114"/>
      <c r="E36" s="114"/>
      <c r="F36" s="114"/>
      <c r="G36" s="110"/>
      <c r="H36" s="110"/>
      <c r="L36" s="112"/>
    </row>
    <row r="39" spans="1:8" ht="12.75" hidden="1">
      <c r="A39" s="58" t="str">
        <f>+'Schedule 003'!$A$14</f>
        <v>Proposed Increase</v>
      </c>
      <c r="H39" s="194">
        <f>+'Lighting Summary'!$E$26</f>
        <v>0.08367238671140526</v>
      </c>
    </row>
    <row r="40" ht="12.75" hidden="1"/>
    <row r="41" ht="12.75" hidden="1"/>
    <row r="42" spans="1:9" ht="12.75" hidden="1">
      <c r="A42" s="79" t="str">
        <f>+'Schedule 003'!$A$16</f>
        <v>Annual Schedule 95</v>
      </c>
      <c r="I42" s="92">
        <f>(SUMPRODUCT(D8:D16,F8:F16)+SUMPRODUCT(D18:D26,F18:F26))*12</f>
        <v>175582.44</v>
      </c>
    </row>
  </sheetData>
  <sheetProtection/>
  <printOptions/>
  <pageMargins left="0.46" right="0.27" top="1.5" bottom="1" header="0.5" footer="0.5"/>
  <pageSetup fitToHeight="1" fitToWidth="1" horizontalDpi="600" verticalDpi="600" orientation="landscape" scale="88" r:id="rId3"/>
  <headerFooter alignWithMargins="0">
    <oddHeader>&amp;L&amp;"Times New Roman,Regular"Puget Sound Energy
Docket UE-0702300/UG-072301&amp;R&amp;"Times New Roman,Regular"Electric Rate Spread and Rate Design 
Exhibit A to Multiparty Settlement&amp;"Arial,Regular"
</oddHeader>
    <oddFooter>&amp;R&amp;"Times New Roman,Regular"Page &amp;P of &amp;N</oddFooter>
  </headerFooter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20.28125" style="58" bestFit="1" customWidth="1"/>
    <col min="2" max="2" width="9.8515625" style="58" bestFit="1" customWidth="1"/>
    <col min="3" max="3" width="13.8515625" style="58" bestFit="1" customWidth="1"/>
    <col min="4" max="4" width="8.28125" style="58" bestFit="1" customWidth="1"/>
    <col min="5" max="5" width="11.28125" style="58" bestFit="1" customWidth="1"/>
    <col min="6" max="6" width="11.28125" style="58" customWidth="1"/>
    <col min="7" max="7" width="8.421875" style="58" bestFit="1" customWidth="1"/>
    <col min="8" max="8" width="8.8515625" style="58" bestFit="1" customWidth="1"/>
    <col min="9" max="9" width="12.28125" style="58" bestFit="1" customWidth="1"/>
    <col min="10" max="10" width="11.28125" style="58" bestFit="1" customWidth="1"/>
    <col min="11" max="11" width="9.7109375" style="58" bestFit="1" customWidth="1"/>
    <col min="12" max="12" width="7.28125" style="58" bestFit="1" customWidth="1"/>
    <col min="13" max="16384" width="9.140625" style="58" customWidth="1"/>
  </cols>
  <sheetData>
    <row r="1" spans="1:12" ht="12.7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2.75">
      <c r="A2" s="57" t="s">
        <v>331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2.75">
      <c r="A3" s="57" t="str">
        <f>+'Lighting Summary'!A4</f>
        <v>Twelve Months ended September 30, 2007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12.75">
      <c r="A4" s="57" t="s">
        <v>362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2.75">
      <c r="A5" s="57" t="s">
        <v>363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7" spans="1:12" s="61" customFormat="1" ht="51">
      <c r="A7" s="59" t="s">
        <v>4</v>
      </c>
      <c r="B7" s="60" t="s">
        <v>334</v>
      </c>
      <c r="C7" s="59" t="s">
        <v>335</v>
      </c>
      <c r="D7" s="59" t="str">
        <f>+'Schedule 003'!D7</f>
        <v>Inventory
@
9-1-07</v>
      </c>
      <c r="E7" s="60" t="str">
        <f>+'Schedule 003'!E7</f>
        <v>Billed kWh
12 Months
ended
9-30-07</v>
      </c>
      <c r="F7" s="60" t="str">
        <f>+'Schedule 003'!F7</f>
        <v>Schedule 95</v>
      </c>
      <c r="G7" s="60" t="str">
        <f>+'Schedule 003'!G7</f>
        <v>Proforma Base Lamp Charge</v>
      </c>
      <c r="H7" s="60" t="str">
        <f>+'Schedule 003'!H7</f>
        <v>Proposed Lamp Charge</v>
      </c>
      <c r="I7" s="60" t="s">
        <v>340</v>
      </c>
      <c r="J7" s="60" t="s">
        <v>296</v>
      </c>
      <c r="K7" s="59" t="s">
        <v>297</v>
      </c>
      <c r="L7" s="59" t="s">
        <v>207</v>
      </c>
    </row>
    <row r="8" spans="1:12" ht="12.75">
      <c r="A8" s="79" t="s">
        <v>364</v>
      </c>
      <c r="B8" s="114">
        <v>50</v>
      </c>
      <c r="C8" s="114" t="s">
        <v>350</v>
      </c>
      <c r="D8" s="18">
        <v>194</v>
      </c>
      <c r="E8" s="114"/>
      <c r="F8" s="110">
        <v>0.07</v>
      </c>
      <c r="G8" s="111">
        <v>1.77</v>
      </c>
      <c r="H8" s="111">
        <f>ROUND((G8+F8)*(1+$H$21),2)</f>
        <v>1.99</v>
      </c>
      <c r="I8" s="92">
        <f>ROUND(+G8*$D8*12+D8*F8*12,0)</f>
        <v>4284</v>
      </c>
      <c r="J8" s="92">
        <f aca="true" t="shared" si="0" ref="J8:J16">ROUND(+H8*$D8*12,0)</f>
        <v>4633</v>
      </c>
      <c r="K8" s="92">
        <f aca="true" t="shared" si="1" ref="K8:K16">+J8-I8</f>
        <v>349</v>
      </c>
      <c r="L8" s="112">
        <f aca="true" t="shared" si="2" ref="L8:L16">+K8/I8</f>
        <v>0.08146591970121382</v>
      </c>
    </row>
    <row r="9" spans="1:12" ht="12.75">
      <c r="A9" s="72" t="str">
        <f aca="true" t="shared" si="3" ref="A9:A16">+A8</f>
        <v>54E - Customer Owned</v>
      </c>
      <c r="B9" s="114">
        <v>70</v>
      </c>
      <c r="C9" s="114" t="s">
        <v>350</v>
      </c>
      <c r="D9" s="18">
        <v>985</v>
      </c>
      <c r="E9" s="114"/>
      <c r="F9" s="110">
        <v>0.1</v>
      </c>
      <c r="G9" s="111">
        <v>2.58</v>
      </c>
      <c r="H9" s="111">
        <f aca="true" t="shared" si="4" ref="H9:H16">ROUND((G9+F9)*(1+$H$21),2)</f>
        <v>2.9</v>
      </c>
      <c r="I9" s="92">
        <f aca="true" t="shared" si="5" ref="I9:I16">ROUND(+G9*$D9*12+D9*F9*12,0)</f>
        <v>31678</v>
      </c>
      <c r="J9" s="92">
        <f t="shared" si="0"/>
        <v>34278</v>
      </c>
      <c r="K9" s="92">
        <f t="shared" si="1"/>
        <v>2600</v>
      </c>
      <c r="L9" s="112">
        <f t="shared" si="2"/>
        <v>0.08207588862933266</v>
      </c>
    </row>
    <row r="10" spans="1:12" ht="12.75">
      <c r="A10" s="72" t="str">
        <f t="shared" si="3"/>
        <v>54E - Customer Owned</v>
      </c>
      <c r="B10" s="114">
        <v>100</v>
      </c>
      <c r="C10" s="114" t="s">
        <v>350</v>
      </c>
      <c r="D10" s="18">
        <v>2481</v>
      </c>
      <c r="E10" s="114"/>
      <c r="F10" s="110">
        <v>0.14</v>
      </c>
      <c r="G10" s="111">
        <v>3.62</v>
      </c>
      <c r="H10" s="111">
        <f t="shared" si="4"/>
        <v>4.07</v>
      </c>
      <c r="I10" s="92">
        <f t="shared" si="5"/>
        <v>111943</v>
      </c>
      <c r="J10" s="92">
        <f t="shared" si="0"/>
        <v>121172</v>
      </c>
      <c r="K10" s="92">
        <f t="shared" si="1"/>
        <v>9229</v>
      </c>
      <c r="L10" s="112">
        <f t="shared" si="2"/>
        <v>0.08244374369098559</v>
      </c>
    </row>
    <row r="11" spans="1:12" ht="12.75">
      <c r="A11" s="72" t="str">
        <f t="shared" si="3"/>
        <v>54E - Customer Owned</v>
      </c>
      <c r="B11" s="114">
        <v>150</v>
      </c>
      <c r="C11" s="114" t="s">
        <v>350</v>
      </c>
      <c r="D11" s="18">
        <v>1097</v>
      </c>
      <c r="E11" s="114"/>
      <c r="F11" s="110">
        <v>0.19</v>
      </c>
      <c r="G11" s="111">
        <v>5.28</v>
      </c>
      <c r="H11" s="111">
        <f t="shared" si="4"/>
        <v>5.93</v>
      </c>
      <c r="I11" s="92">
        <f t="shared" si="5"/>
        <v>72007</v>
      </c>
      <c r="J11" s="92">
        <f t="shared" si="0"/>
        <v>78063</v>
      </c>
      <c r="K11" s="92">
        <f t="shared" si="1"/>
        <v>6056</v>
      </c>
      <c r="L11" s="112">
        <f t="shared" si="2"/>
        <v>0.08410293443692975</v>
      </c>
    </row>
    <row r="12" spans="1:12" ht="12.75">
      <c r="A12" s="72" t="str">
        <f t="shared" si="3"/>
        <v>54E - Customer Owned</v>
      </c>
      <c r="B12" s="114">
        <v>200</v>
      </c>
      <c r="C12" s="114" t="s">
        <v>350</v>
      </c>
      <c r="D12" s="18">
        <v>2002</v>
      </c>
      <c r="E12" s="114"/>
      <c r="F12" s="110">
        <v>0.25</v>
      </c>
      <c r="G12" s="111">
        <v>7</v>
      </c>
      <c r="H12" s="111">
        <f t="shared" si="4"/>
        <v>7.86</v>
      </c>
      <c r="I12" s="92">
        <f t="shared" si="5"/>
        <v>174174</v>
      </c>
      <c r="J12" s="92">
        <f t="shared" si="0"/>
        <v>188829</v>
      </c>
      <c r="K12" s="92">
        <f t="shared" si="1"/>
        <v>14655</v>
      </c>
      <c r="L12" s="112">
        <f t="shared" si="2"/>
        <v>0.08413999793310138</v>
      </c>
    </row>
    <row r="13" spans="1:12" ht="12.75">
      <c r="A13" s="72" t="str">
        <f t="shared" si="3"/>
        <v>54E - Customer Owned</v>
      </c>
      <c r="B13" s="114">
        <v>250</v>
      </c>
      <c r="C13" s="114" t="s">
        <v>350</v>
      </c>
      <c r="D13" s="18">
        <v>2358</v>
      </c>
      <c r="E13" s="114"/>
      <c r="F13" s="110">
        <v>0.31</v>
      </c>
      <c r="G13" s="111">
        <v>8.69</v>
      </c>
      <c r="H13" s="111">
        <f t="shared" si="4"/>
        <v>9.75</v>
      </c>
      <c r="I13" s="92">
        <f t="shared" si="5"/>
        <v>254664</v>
      </c>
      <c r="J13" s="92">
        <f t="shared" si="0"/>
        <v>275886</v>
      </c>
      <c r="K13" s="92">
        <f t="shared" si="1"/>
        <v>21222</v>
      </c>
      <c r="L13" s="112">
        <f t="shared" si="2"/>
        <v>0.08333333333333333</v>
      </c>
    </row>
    <row r="14" spans="1:12" ht="12.75">
      <c r="A14" s="72" t="str">
        <f t="shared" si="3"/>
        <v>54E - Customer Owned</v>
      </c>
      <c r="B14" s="114">
        <v>310</v>
      </c>
      <c r="C14" s="114" t="s">
        <v>350</v>
      </c>
      <c r="D14" s="18">
        <v>150</v>
      </c>
      <c r="E14" s="114"/>
      <c r="F14" s="110">
        <v>0.44</v>
      </c>
      <c r="G14" s="111">
        <v>11.84</v>
      </c>
      <c r="H14" s="111">
        <f t="shared" si="4"/>
        <v>13.31</v>
      </c>
      <c r="I14" s="92">
        <f t="shared" si="5"/>
        <v>22104</v>
      </c>
      <c r="J14" s="92">
        <f t="shared" si="0"/>
        <v>23958</v>
      </c>
      <c r="K14" s="92">
        <f t="shared" si="1"/>
        <v>1854</v>
      </c>
      <c r="L14" s="112">
        <f t="shared" si="2"/>
        <v>0.08387622149837133</v>
      </c>
    </row>
    <row r="15" spans="1:12" ht="12.75">
      <c r="A15" s="72" t="str">
        <f t="shared" si="3"/>
        <v>54E - Customer Owned</v>
      </c>
      <c r="B15" s="114">
        <v>400</v>
      </c>
      <c r="C15" s="114" t="s">
        <v>350</v>
      </c>
      <c r="D15" s="18">
        <v>2384</v>
      </c>
      <c r="E15" s="114"/>
      <c r="F15" s="110">
        <v>0.5</v>
      </c>
      <c r="G15" s="111">
        <v>13.55</v>
      </c>
      <c r="H15" s="111">
        <f t="shared" si="4"/>
        <v>15.23</v>
      </c>
      <c r="I15" s="92">
        <f t="shared" si="5"/>
        <v>401942</v>
      </c>
      <c r="J15" s="92">
        <f t="shared" si="0"/>
        <v>435700</v>
      </c>
      <c r="K15" s="92">
        <f t="shared" si="1"/>
        <v>33758</v>
      </c>
      <c r="L15" s="112">
        <f t="shared" si="2"/>
        <v>0.08398724194037946</v>
      </c>
    </row>
    <row r="16" spans="1:12" ht="12.75">
      <c r="A16" s="72" t="str">
        <f t="shared" si="3"/>
        <v>54E - Customer Owned</v>
      </c>
      <c r="B16" s="114">
        <v>1000</v>
      </c>
      <c r="C16" s="114" t="s">
        <v>350</v>
      </c>
      <c r="D16" s="18">
        <v>11</v>
      </c>
      <c r="E16" s="114"/>
      <c r="F16" s="110">
        <v>1.28</v>
      </c>
      <c r="G16" s="111">
        <v>34.09</v>
      </c>
      <c r="H16" s="111">
        <f t="shared" si="4"/>
        <v>38.33</v>
      </c>
      <c r="I16" s="92">
        <f t="shared" si="5"/>
        <v>4669</v>
      </c>
      <c r="J16" s="92">
        <f t="shared" si="0"/>
        <v>5060</v>
      </c>
      <c r="K16" s="92">
        <f t="shared" si="1"/>
        <v>391</v>
      </c>
      <c r="L16" s="112">
        <f t="shared" si="2"/>
        <v>0.08374384236453201</v>
      </c>
    </row>
    <row r="17" spans="1:12" ht="12.75">
      <c r="A17" s="72"/>
      <c r="B17" s="114"/>
      <c r="C17" s="114"/>
      <c r="D17" s="114"/>
      <c r="E17" s="114"/>
      <c r="F17" s="93"/>
      <c r="G17" s="110"/>
      <c r="H17" s="110"/>
      <c r="I17" s="92"/>
      <c r="J17" s="92"/>
      <c r="K17" s="92"/>
      <c r="L17" s="112"/>
    </row>
    <row r="18" spans="2:12" ht="13.5" thickBot="1">
      <c r="B18" s="114"/>
      <c r="C18" s="114"/>
      <c r="D18" s="91">
        <f>SUM(D8:D17)</f>
        <v>11662</v>
      </c>
      <c r="E18" s="35">
        <f>+'Lighting Summary'!B14</f>
        <v>11434793.5232</v>
      </c>
      <c r="F18" s="93"/>
      <c r="G18" s="110"/>
      <c r="H18" s="110"/>
      <c r="I18" s="83">
        <f>SUM(I8:I16)+F18</f>
        <v>1077465</v>
      </c>
      <c r="J18" s="83">
        <f>SUM(J8:J16)</f>
        <v>1167579</v>
      </c>
      <c r="K18" s="83">
        <f>SUM(K8:K16)</f>
        <v>90114</v>
      </c>
      <c r="L18" s="119">
        <f>+K18/I18</f>
        <v>0.08363519928721583</v>
      </c>
    </row>
    <row r="19" spans="5:6" ht="13.5" thickTop="1">
      <c r="E19" s="71"/>
      <c r="F19" s="71"/>
    </row>
    <row r="20" ht="12.75">
      <c r="I20" s="92"/>
    </row>
    <row r="21" spans="1:9" ht="12.75" hidden="1">
      <c r="A21" s="58" t="str">
        <f>+'Schedule 003'!$A$14</f>
        <v>Proposed Increase</v>
      </c>
      <c r="H21" s="194">
        <f>+'Lighting Summary'!$E$26</f>
        <v>0.08367238671140526</v>
      </c>
      <c r="I21" s="92"/>
    </row>
    <row r="22" ht="12.75" hidden="1"/>
    <row r="23" ht="12.75" hidden="1">
      <c r="F23" s="194"/>
    </row>
    <row r="24" spans="1:9" ht="12.75" hidden="1">
      <c r="A24" s="79" t="str">
        <f>+'Schedule 003'!$A$16</f>
        <v>Annual Schedule 95</v>
      </c>
      <c r="I24" s="92">
        <f>(SUMPRODUCT(D8:D16,F8:F16))*12</f>
        <v>38056.92</v>
      </c>
    </row>
  </sheetData>
  <sheetProtection/>
  <printOptions/>
  <pageMargins left="0.46" right="0.27" top="1.5" bottom="1" header="0.5" footer="0.5"/>
  <pageSetup fitToHeight="1" fitToWidth="1" horizontalDpi="600" verticalDpi="600" orientation="landscape" r:id="rId1"/>
  <headerFooter alignWithMargins="0">
    <oddHeader>&amp;L&amp;"Times New Roman,Regular"Puget Sound Energy
Docket UE-0702300/UG-072301&amp;R&amp;"Times New Roman,Regular"Electric Rate Spread and Rate Design 
Exhibit A to Multiparty Settlement&amp;"Arial,Regular"
</oddHeader>
    <oddFooter>&amp;R&amp;"Times New Roman,Regular"Page &amp;P of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26.8515625" style="58" customWidth="1"/>
    <col min="2" max="2" width="9.8515625" style="58" bestFit="1" customWidth="1"/>
    <col min="3" max="3" width="13.8515625" style="58" bestFit="1" customWidth="1"/>
    <col min="4" max="4" width="8.28125" style="58" bestFit="1" customWidth="1"/>
    <col min="5" max="5" width="10.28125" style="58" bestFit="1" customWidth="1"/>
    <col min="6" max="6" width="10.28125" style="58" customWidth="1"/>
    <col min="7" max="8" width="10.28125" style="58" bestFit="1" customWidth="1"/>
    <col min="9" max="10" width="11.28125" style="58" bestFit="1" customWidth="1"/>
    <col min="11" max="11" width="9.7109375" style="58" bestFit="1" customWidth="1"/>
    <col min="12" max="12" width="7.28125" style="58" bestFit="1" customWidth="1"/>
    <col min="13" max="16384" width="9.140625" style="58" customWidth="1"/>
  </cols>
  <sheetData>
    <row r="1" spans="1:12" ht="12.7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2.75">
      <c r="A2" s="57" t="s">
        <v>331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2.75">
      <c r="A3" s="57" t="str">
        <f>+'Lighting Summary'!A4</f>
        <v>Twelve Months ended September 30, 2007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12.75">
      <c r="A4" s="57" t="s">
        <v>365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2.75">
      <c r="A5" s="57" t="s">
        <v>366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7" spans="1:12" s="61" customFormat="1" ht="51">
      <c r="A7" s="59" t="s">
        <v>4</v>
      </c>
      <c r="B7" s="60" t="s">
        <v>334</v>
      </c>
      <c r="C7" s="59" t="s">
        <v>335</v>
      </c>
      <c r="D7" s="59" t="str">
        <f>+'Schedule 003'!D7</f>
        <v>Inventory
@
9-1-07</v>
      </c>
      <c r="E7" s="60" t="str">
        <f>+'Schedule 003'!E7</f>
        <v>Billed kWh
12 Months
ended
9-30-07</v>
      </c>
      <c r="F7" s="60" t="str">
        <f>+'Schedule 003'!F7</f>
        <v>Schedule 95</v>
      </c>
      <c r="G7" s="60" t="str">
        <f>+'Schedule 003'!G7</f>
        <v>Proforma Base Lamp Charge</v>
      </c>
      <c r="H7" s="60" t="str">
        <f>+'Schedule 003'!H7</f>
        <v>Proposed Lamp Charge</v>
      </c>
      <c r="I7" s="60" t="s">
        <v>340</v>
      </c>
      <c r="J7" s="60" t="s">
        <v>296</v>
      </c>
      <c r="K7" s="59" t="s">
        <v>297</v>
      </c>
      <c r="L7" s="59" t="s">
        <v>207</v>
      </c>
    </row>
    <row r="8" spans="1:12" ht="12.75">
      <c r="A8" s="78" t="s">
        <v>367</v>
      </c>
      <c r="B8" s="114">
        <v>70</v>
      </c>
      <c r="C8" s="114" t="s">
        <v>350</v>
      </c>
      <c r="D8" s="18">
        <v>7</v>
      </c>
      <c r="E8" s="114"/>
      <c r="F8" s="110">
        <v>0.1</v>
      </c>
      <c r="G8" s="111">
        <v>9.38</v>
      </c>
      <c r="H8" s="111">
        <f>ROUND((+G8+F8)*(1+$H$20),2)</f>
        <v>10.27</v>
      </c>
      <c r="I8" s="92">
        <f aca="true" t="shared" si="0" ref="I8:I13">ROUND(+G8*$D8*12+D8*F8*12,0)</f>
        <v>796</v>
      </c>
      <c r="J8" s="92">
        <f aca="true" t="shared" si="1" ref="J8:J13">ROUND(+H8*$D8*12,0)</f>
        <v>863</v>
      </c>
      <c r="K8" s="92">
        <f aca="true" t="shared" si="2" ref="K8:K13">+J8-I8</f>
        <v>67</v>
      </c>
      <c r="L8" s="112">
        <f aca="true" t="shared" si="3" ref="L8:L13">+K8/I8</f>
        <v>0.08417085427135679</v>
      </c>
    </row>
    <row r="9" spans="1:12" ht="12.75">
      <c r="A9" s="66" t="str">
        <f>+A8</f>
        <v>55E &amp; 56E</v>
      </c>
      <c r="B9" s="114">
        <v>100</v>
      </c>
      <c r="C9" s="114" t="s">
        <v>350</v>
      </c>
      <c r="D9" s="18">
        <v>5452</v>
      </c>
      <c r="E9" s="114"/>
      <c r="F9" s="110">
        <v>0.14</v>
      </c>
      <c r="G9" s="111">
        <v>10.53</v>
      </c>
      <c r="H9" s="111">
        <f aca="true" t="shared" si="4" ref="H9:H16">ROUND((+G9+F9)*(1+$H$20),2)</f>
        <v>11.56</v>
      </c>
      <c r="I9" s="92">
        <f t="shared" si="0"/>
        <v>698074</v>
      </c>
      <c r="J9" s="92">
        <f t="shared" si="1"/>
        <v>756301</v>
      </c>
      <c r="K9" s="92">
        <f t="shared" si="2"/>
        <v>58227</v>
      </c>
      <c r="L9" s="112">
        <f t="shared" si="3"/>
        <v>0.0834109277812954</v>
      </c>
    </row>
    <row r="10" spans="1:12" ht="12.75">
      <c r="A10" s="66" t="str">
        <f>+A9</f>
        <v>55E &amp; 56E</v>
      </c>
      <c r="B10" s="114">
        <v>150</v>
      </c>
      <c r="C10" s="114" t="s">
        <v>350</v>
      </c>
      <c r="D10" s="18">
        <v>299</v>
      </c>
      <c r="E10" s="114"/>
      <c r="F10" s="110">
        <v>0.19</v>
      </c>
      <c r="G10" s="111">
        <v>12.53</v>
      </c>
      <c r="H10" s="111">
        <f t="shared" si="4"/>
        <v>13.78</v>
      </c>
      <c r="I10" s="92">
        <f t="shared" si="0"/>
        <v>45639</v>
      </c>
      <c r="J10" s="92">
        <f t="shared" si="1"/>
        <v>49443</v>
      </c>
      <c r="K10" s="92">
        <f t="shared" si="2"/>
        <v>3804</v>
      </c>
      <c r="L10" s="112">
        <f t="shared" si="3"/>
        <v>0.0833497666469467</v>
      </c>
    </row>
    <row r="11" spans="1:12" ht="12.75">
      <c r="A11" s="66" t="str">
        <f>+A10</f>
        <v>55E &amp; 56E</v>
      </c>
      <c r="B11" s="114">
        <v>200</v>
      </c>
      <c r="C11" s="114" t="s">
        <v>350</v>
      </c>
      <c r="D11" s="18">
        <v>1539</v>
      </c>
      <c r="E11" s="114"/>
      <c r="F11" s="110">
        <v>0.25</v>
      </c>
      <c r="G11" s="111">
        <v>15</v>
      </c>
      <c r="H11" s="111">
        <f t="shared" si="4"/>
        <v>16.53</v>
      </c>
      <c r="I11" s="92">
        <f t="shared" si="0"/>
        <v>281637</v>
      </c>
      <c r="J11" s="92">
        <f t="shared" si="1"/>
        <v>305276</v>
      </c>
      <c r="K11" s="92">
        <f t="shared" si="2"/>
        <v>23639</v>
      </c>
      <c r="L11" s="112">
        <f t="shared" si="3"/>
        <v>0.08393428420271484</v>
      </c>
    </row>
    <row r="12" spans="1:12" ht="12.75">
      <c r="A12" s="66" t="str">
        <f>+A11</f>
        <v>55E &amp; 56E</v>
      </c>
      <c r="B12" s="114">
        <v>250</v>
      </c>
      <c r="C12" s="114" t="s">
        <v>350</v>
      </c>
      <c r="D12" s="18">
        <v>76</v>
      </c>
      <c r="E12" s="114"/>
      <c r="F12" s="110">
        <v>0.31</v>
      </c>
      <c r="G12" s="111">
        <v>16.88</v>
      </c>
      <c r="H12" s="111">
        <f t="shared" si="4"/>
        <v>18.63</v>
      </c>
      <c r="I12" s="92">
        <f t="shared" si="0"/>
        <v>15677</v>
      </c>
      <c r="J12" s="92">
        <f t="shared" si="1"/>
        <v>16991</v>
      </c>
      <c r="K12" s="92">
        <f t="shared" si="2"/>
        <v>1314</v>
      </c>
      <c r="L12" s="112">
        <f t="shared" si="3"/>
        <v>0.0838170568348536</v>
      </c>
    </row>
    <row r="13" spans="1:12" ht="12.75">
      <c r="A13" s="66" t="str">
        <f>+A12</f>
        <v>55E &amp; 56E</v>
      </c>
      <c r="B13" s="114">
        <v>400</v>
      </c>
      <c r="C13" s="114" t="s">
        <v>350</v>
      </c>
      <c r="D13" s="18">
        <v>65</v>
      </c>
      <c r="E13" s="114"/>
      <c r="F13" s="110">
        <v>0.5</v>
      </c>
      <c r="G13" s="111">
        <v>22.7</v>
      </c>
      <c r="H13" s="111">
        <f t="shared" si="4"/>
        <v>25.14</v>
      </c>
      <c r="I13" s="92">
        <f t="shared" si="0"/>
        <v>18096</v>
      </c>
      <c r="J13" s="92">
        <f t="shared" si="1"/>
        <v>19609</v>
      </c>
      <c r="K13" s="92">
        <f t="shared" si="2"/>
        <v>1513</v>
      </c>
      <c r="L13" s="112">
        <f t="shared" si="3"/>
        <v>0.08360963748894783</v>
      </c>
    </row>
    <row r="14" spans="1:12" ht="12.75">
      <c r="A14" s="66"/>
      <c r="B14" s="114"/>
      <c r="C14" s="114"/>
      <c r="D14" s="18"/>
      <c r="E14" s="114"/>
      <c r="F14" s="110"/>
      <c r="G14" s="111"/>
      <c r="H14" s="111"/>
      <c r="I14" s="92"/>
      <c r="J14" s="92"/>
      <c r="K14" s="92"/>
      <c r="L14" s="112"/>
    </row>
    <row r="15" spans="1:12" ht="12.75">
      <c r="A15" s="66" t="str">
        <f>+A13</f>
        <v>55E &amp; 56E</v>
      </c>
      <c r="B15" s="114">
        <v>175</v>
      </c>
      <c r="C15" s="114" t="s">
        <v>351</v>
      </c>
      <c r="D15" s="18">
        <v>0</v>
      </c>
      <c r="E15" s="114"/>
      <c r="F15" s="110">
        <v>0.24</v>
      </c>
      <c r="G15" s="111">
        <v>17.8</v>
      </c>
      <c r="H15" s="111">
        <f t="shared" si="4"/>
        <v>19.55</v>
      </c>
      <c r="I15" s="92">
        <f>ROUND(+G15*$D15*12+D15*F15*12,0)</f>
        <v>0</v>
      </c>
      <c r="J15" s="92">
        <f>ROUND(+H15*$D15*12,0)</f>
        <v>0</v>
      </c>
      <c r="K15" s="92">
        <f>+J15-I15</f>
        <v>0</v>
      </c>
      <c r="L15" s="112" t="e">
        <f>+K15/I15</f>
        <v>#DIV/0!</v>
      </c>
    </row>
    <row r="16" spans="1:12" ht="12.75">
      <c r="A16" s="66" t="str">
        <f>+A15</f>
        <v>55E &amp; 56E</v>
      </c>
      <c r="B16" s="114">
        <v>250</v>
      </c>
      <c r="C16" s="114" t="s">
        <v>351</v>
      </c>
      <c r="D16" s="197">
        <v>0</v>
      </c>
      <c r="E16" s="114"/>
      <c r="F16" s="110">
        <v>0.33</v>
      </c>
      <c r="G16" s="110">
        <v>19.52</v>
      </c>
      <c r="H16" s="111">
        <f t="shared" si="4"/>
        <v>21.51</v>
      </c>
      <c r="I16" s="92">
        <f>ROUND(+G16*$D16*12+D16*F16*12,0)</f>
        <v>0</v>
      </c>
      <c r="J16" s="92">
        <f>ROUND(+H16*$D16*12,0)</f>
        <v>0</v>
      </c>
      <c r="K16" s="92">
        <f>+J16-I16</f>
        <v>0</v>
      </c>
      <c r="L16" s="112" t="e">
        <f>+K16/I16</f>
        <v>#DIV/0!</v>
      </c>
    </row>
    <row r="17" spans="1:12" ht="13.5" thickBot="1">
      <c r="A17" s="79" t="s">
        <v>368</v>
      </c>
      <c r="B17" s="114"/>
      <c r="C17" s="114"/>
      <c r="D17" s="35">
        <f>SUM(D8:D13)</f>
        <v>7438</v>
      </c>
      <c r="E17" s="35">
        <f>+'Lighting Summary'!B15</f>
        <v>4217522.1338</v>
      </c>
      <c r="F17" s="19"/>
      <c r="G17" s="110"/>
      <c r="H17" s="110"/>
      <c r="I17" s="83">
        <f>SUM(I8:I16)</f>
        <v>1059919</v>
      </c>
      <c r="J17" s="83">
        <f>SUM(J8:J16)</f>
        <v>1148483</v>
      </c>
      <c r="K17" s="83">
        <f>SUM(K8:K16)</f>
        <v>88564</v>
      </c>
      <c r="L17" s="119">
        <f>+K17/I17</f>
        <v>0.08355732843736172</v>
      </c>
    </row>
    <row r="18" spans="1:12" ht="13.5" thickTop="1">
      <c r="A18" s="72"/>
      <c r="B18" s="114"/>
      <c r="C18" s="114"/>
      <c r="D18" s="18"/>
      <c r="E18" s="114"/>
      <c r="F18" s="114"/>
      <c r="G18" s="110"/>
      <c r="H18" s="110"/>
      <c r="I18" s="92"/>
      <c r="J18" s="92"/>
      <c r="K18" s="92"/>
      <c r="L18" s="112"/>
    </row>
    <row r="19" spans="4:11" ht="12.75">
      <c r="D19" s="71"/>
      <c r="K19" s="90"/>
    </row>
    <row r="20" spans="1:8" ht="12.75" hidden="1">
      <c r="A20" s="58" t="str">
        <f>+'Schedule 003'!$A$14</f>
        <v>Proposed Increase</v>
      </c>
      <c r="H20" s="194">
        <f>+'Lighting Summary'!$E$26</f>
        <v>0.08367238671140526</v>
      </c>
    </row>
    <row r="21" ht="12.75" hidden="1"/>
    <row r="22" ht="12.75" hidden="1">
      <c r="D22" s="71"/>
    </row>
    <row r="23" spans="1:9" ht="12.75" hidden="1">
      <c r="A23" s="79" t="str">
        <f>+'Schedule 003'!$A$16</f>
        <v>Annual Schedule 95</v>
      </c>
      <c r="I23" s="92">
        <f>(SUMPRODUCT(D15:D16,F15:F16)+SUMPRODUCT(D8:D13,F8:F13))*12</f>
        <v>15139.2</v>
      </c>
    </row>
    <row r="25" ht="12.75">
      <c r="F25" s="194"/>
    </row>
  </sheetData>
  <sheetProtection/>
  <printOptions/>
  <pageMargins left="0.46" right="0.27" top="1.5" bottom="1" header="0.5" footer="0.5"/>
  <pageSetup fitToHeight="1" fitToWidth="1" horizontalDpi="600" verticalDpi="600" orientation="landscape" scale="95" r:id="rId1"/>
  <headerFooter alignWithMargins="0">
    <oddHeader>&amp;L&amp;"Times New Roman,Regular"Puget Sound Energy
Docket UE-0702300/UG-072301&amp;R&amp;"Times New Roman,Regular"Electric Rate Spread and Rate Design 
Exhibit A to Multiparty Settlement&amp;"Arial,Regular"
</oddHeader>
    <oddFooter>&amp;R&amp;"Times New Roman,Regular"Page &amp;P of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18.57421875" style="58" bestFit="1" customWidth="1"/>
    <col min="2" max="2" width="13.421875" style="58" bestFit="1" customWidth="1"/>
    <col min="3" max="3" width="12.8515625" style="58" bestFit="1" customWidth="1"/>
    <col min="4" max="4" width="9.7109375" style="58" bestFit="1" customWidth="1"/>
    <col min="5" max="5" width="9.8515625" style="58" bestFit="1" customWidth="1"/>
    <col min="6" max="6" width="11.28125" style="58" bestFit="1" customWidth="1"/>
    <col min="7" max="8" width="9.7109375" style="58" bestFit="1" customWidth="1"/>
    <col min="9" max="9" width="9.28125" style="58" bestFit="1" customWidth="1"/>
    <col min="10" max="10" width="7.28125" style="58" bestFit="1" customWidth="1"/>
    <col min="11" max="16384" width="9.140625" style="58" customWidth="1"/>
  </cols>
  <sheetData>
    <row r="1" spans="1:10" ht="12.7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2.75">
      <c r="A2" s="57" t="s">
        <v>331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2.75">
      <c r="A3" s="57" t="str">
        <f>+'Lighting Summary'!A4</f>
        <v>Twelve Months ended September 30, 2007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ht="12.75">
      <c r="A4" s="57" t="s">
        <v>369</v>
      </c>
      <c r="B4" s="57"/>
      <c r="C4" s="57"/>
      <c r="D4" s="57"/>
      <c r="E4" s="57"/>
      <c r="F4" s="57"/>
      <c r="G4" s="57"/>
      <c r="H4" s="57"/>
      <c r="I4" s="57"/>
      <c r="J4" s="57"/>
    </row>
    <row r="5" spans="1:10" ht="12.75">
      <c r="A5" s="57" t="s">
        <v>370</v>
      </c>
      <c r="B5" s="57"/>
      <c r="C5" s="57"/>
      <c r="D5" s="57"/>
      <c r="E5" s="57"/>
      <c r="F5" s="57"/>
      <c r="G5" s="57"/>
      <c r="H5" s="57"/>
      <c r="I5" s="57"/>
      <c r="J5" s="57"/>
    </row>
    <row r="7" spans="1:10" s="61" customFormat="1" ht="38.25">
      <c r="A7" s="59" t="s">
        <v>4</v>
      </c>
      <c r="B7" s="60" t="s">
        <v>390</v>
      </c>
      <c r="C7" s="60" t="s">
        <v>371</v>
      </c>
      <c r="D7" s="60" t="str">
        <f>+'Schedule 003'!G7</f>
        <v>Proforma Base Lamp Charge</v>
      </c>
      <c r="E7" s="60" t="str">
        <f>+'Schedule 003'!H7</f>
        <v>Proposed Lamp Charge</v>
      </c>
      <c r="F7" s="60" t="str">
        <f>+'Schedule 003'!F7</f>
        <v>Schedule 95</v>
      </c>
      <c r="G7" s="60" t="str">
        <f>+'Schedule 003'!I7</f>
        <v>Annual Proforma Revenue</v>
      </c>
      <c r="H7" s="60" t="str">
        <f>+'Schedule 003'!J7</f>
        <v>Annual Proposed Revenue</v>
      </c>
      <c r="I7" s="59" t="s">
        <v>297</v>
      </c>
      <c r="J7" s="59" t="s">
        <v>207</v>
      </c>
    </row>
    <row r="8" spans="1:10" ht="12.75">
      <c r="A8" s="58" t="s">
        <v>306</v>
      </c>
      <c r="B8" s="18">
        <f>+'Lighting Summary'!B16</f>
        <v>5012801.793</v>
      </c>
      <c r="C8" s="114">
        <f>ROUND(B8/0.245,0)</f>
        <v>20460415</v>
      </c>
      <c r="D8" s="131">
        <v>0.02194</v>
      </c>
      <c r="E8" s="131">
        <f>ROUND((+(D8+F8)*(1+$E$12)),5)</f>
        <v>0.02465</v>
      </c>
      <c r="F8" s="131">
        <v>0.00081</v>
      </c>
      <c r="G8" s="92">
        <f>+D8*$C8+F8*C8</f>
        <v>465474.44125000003</v>
      </c>
      <c r="H8" s="92">
        <f>+E8*$C8</f>
        <v>504349.22974999994</v>
      </c>
      <c r="I8" s="92">
        <f>+H8-G8</f>
        <v>38874.78849999991</v>
      </c>
      <c r="J8" s="112">
        <f>+I8/G8</f>
        <v>0.08351648351648332</v>
      </c>
    </row>
    <row r="9" spans="2:10" ht="13.5" thickBot="1">
      <c r="B9" s="114"/>
      <c r="C9" s="114"/>
      <c r="D9" s="110"/>
      <c r="E9" s="110"/>
      <c r="F9" s="110"/>
      <c r="G9" s="83">
        <f>SUM(G8:G8)</f>
        <v>465474.44125000003</v>
      </c>
      <c r="H9" s="83">
        <f>SUM(H8:H8)</f>
        <v>504349.22974999994</v>
      </c>
      <c r="I9" s="83">
        <f>SUM(I8:I8)</f>
        <v>38874.78849999991</v>
      </c>
      <c r="J9" s="119">
        <f>+I9/G9</f>
        <v>0.08351648351648332</v>
      </c>
    </row>
    <row r="10" spans="2:10" ht="13.5" thickTop="1">
      <c r="B10" s="114"/>
      <c r="C10" s="114"/>
      <c r="D10" s="110"/>
      <c r="E10" s="110"/>
      <c r="F10" s="110"/>
      <c r="J10" s="112"/>
    </row>
    <row r="12" spans="1:6" ht="12.75">
      <c r="A12" s="58" t="str">
        <f>+'Schedule 003'!$A$14</f>
        <v>Proposed Increase</v>
      </c>
      <c r="E12" s="194">
        <f>+'Lighting Summary'!$E$26</f>
        <v>0.08367238671140526</v>
      </c>
      <c r="F12" s="194"/>
    </row>
    <row r="15" spans="1:7" ht="12.75" hidden="1">
      <c r="A15" s="79" t="str">
        <f>+'Schedule 003'!$A$16</f>
        <v>Annual Schedule 95</v>
      </c>
      <c r="G15" s="92">
        <f>+F8*C8</f>
        <v>16572.936149999998</v>
      </c>
    </row>
    <row r="16" ht="12.75" hidden="1"/>
    <row r="17" spans="1:8" ht="12.75" hidden="1">
      <c r="A17" s="58" t="s">
        <v>372</v>
      </c>
      <c r="G17" s="136">
        <v>3.88</v>
      </c>
      <c r="H17" s="110">
        <f>ROUND(+G17*(1+E12),2)</f>
        <v>4.2</v>
      </c>
    </row>
    <row r="22" ht="12.75">
      <c r="E22" s="194"/>
    </row>
  </sheetData>
  <sheetProtection/>
  <printOptions/>
  <pageMargins left="0.46" right="0.27" top="1.5" bottom="1" header="0.5" footer="0.5"/>
  <pageSetup fitToHeight="1" fitToWidth="1" horizontalDpi="600" verticalDpi="600" orientation="landscape" r:id="rId1"/>
  <headerFooter alignWithMargins="0">
    <oddHeader>&amp;L&amp;"Times New Roman,Regular"Puget Sound Energy
Docket UE-0702300/UG-072301&amp;R&amp;"Times New Roman,Regular"Electric Rate Spread and Rate Design 
Exhibit A to Multiparty Settlement&amp;"Arial,Regular"
</oddHeader>
    <oddFooter>&amp;R&amp;"Times New Roman,Regular"Page &amp;P of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29.00390625" style="58" customWidth="1"/>
    <col min="2" max="2" width="9.8515625" style="58" bestFit="1" customWidth="1"/>
    <col min="3" max="3" width="9.8515625" style="58" customWidth="1"/>
    <col min="4" max="4" width="13.8515625" style="58" bestFit="1" customWidth="1"/>
    <col min="5" max="5" width="8.28125" style="58" bestFit="1" customWidth="1"/>
    <col min="6" max="6" width="10.28125" style="58" bestFit="1" customWidth="1"/>
    <col min="7" max="7" width="10.28125" style="58" customWidth="1"/>
    <col min="8" max="9" width="10.28125" style="58" bestFit="1" customWidth="1"/>
    <col min="10" max="11" width="9.7109375" style="58" bestFit="1" customWidth="1"/>
    <col min="12" max="12" width="8.7109375" style="58" bestFit="1" customWidth="1"/>
    <col min="13" max="13" width="7.28125" style="58" bestFit="1" customWidth="1"/>
    <col min="14" max="16384" width="9.140625" style="58" customWidth="1"/>
  </cols>
  <sheetData>
    <row r="1" spans="1:13" ht="12.7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2.75">
      <c r="A2" s="57" t="s">
        <v>331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12.75">
      <c r="A3" s="57" t="str">
        <f>+'Lighting Summary'!A4</f>
        <v>Twelve Months ended September 30, 2007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ht="12.75">
      <c r="A4" s="57" t="s">
        <v>373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3" ht="12.75">
      <c r="A5" s="57" t="s">
        <v>374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7" spans="1:13" s="61" customFormat="1" ht="51">
      <c r="A7" s="59" t="s">
        <v>4</v>
      </c>
      <c r="B7" s="60" t="s">
        <v>334</v>
      </c>
      <c r="C7" s="60"/>
      <c r="D7" s="59" t="s">
        <v>335</v>
      </c>
      <c r="E7" s="59" t="str">
        <f>+'Schedule 003'!D7</f>
        <v>Inventory
@
9-1-07</v>
      </c>
      <c r="F7" s="60" t="str">
        <f>+'Schedule 003'!E7</f>
        <v>Billed kWh
12 Months
ended
9-30-07</v>
      </c>
      <c r="G7" s="60" t="str">
        <f>+'Schedule 003'!F7</f>
        <v>Schedule 95</v>
      </c>
      <c r="H7" s="60" t="str">
        <f>+'Schedule 003'!G7</f>
        <v>Proforma Base Lamp Charge</v>
      </c>
      <c r="I7" s="60" t="str">
        <f>+'Schedule 003'!H7</f>
        <v>Proposed Lamp Charge</v>
      </c>
      <c r="J7" s="60" t="s">
        <v>340</v>
      </c>
      <c r="K7" s="60" t="s">
        <v>296</v>
      </c>
      <c r="L7" s="59" t="s">
        <v>297</v>
      </c>
      <c r="M7" s="59" t="s">
        <v>207</v>
      </c>
    </row>
    <row r="8" spans="1:13" ht="12.75">
      <c r="A8" s="78" t="s">
        <v>375</v>
      </c>
      <c r="B8" s="114">
        <v>70</v>
      </c>
      <c r="C8" s="114" t="s">
        <v>376</v>
      </c>
      <c r="D8" s="114" t="s">
        <v>350</v>
      </c>
      <c r="E8" s="18">
        <v>70</v>
      </c>
      <c r="F8" s="114"/>
      <c r="G8" s="110">
        <v>0.1</v>
      </c>
      <c r="H8" s="111">
        <v>11.23</v>
      </c>
      <c r="I8" s="111">
        <f>ROUND(+(H8+G8)*(1+$I$33),2)</f>
        <v>12.28</v>
      </c>
      <c r="J8" s="92">
        <f>ROUND(+H8*$E8*12+G8*E8*12,0)</f>
        <v>9517</v>
      </c>
      <c r="K8" s="92">
        <f aca="true" t="shared" si="0" ref="K8:K13">ROUND(+I8*$E8*12,0)</f>
        <v>10315</v>
      </c>
      <c r="L8" s="92">
        <f aca="true" t="shared" si="1" ref="L8:L13">+K8-J8</f>
        <v>798</v>
      </c>
      <c r="M8" s="184">
        <f>IF(L8=0,"na",+L8/J8)</f>
        <v>0.08384995271619208</v>
      </c>
    </row>
    <row r="9" spans="1:13" ht="12.75">
      <c r="A9" s="66" t="str">
        <f>+A8</f>
        <v>58E &amp; 59E</v>
      </c>
      <c r="B9" s="114">
        <v>100</v>
      </c>
      <c r="C9" s="114" t="s">
        <v>376</v>
      </c>
      <c r="D9" s="114" t="s">
        <v>350</v>
      </c>
      <c r="E9" s="18">
        <v>6</v>
      </c>
      <c r="F9" s="114"/>
      <c r="G9" s="110">
        <v>0.14</v>
      </c>
      <c r="H9" s="111">
        <v>12.29</v>
      </c>
      <c r="I9" s="111">
        <f aca="true" t="shared" si="2" ref="I9:I28">ROUND(+(H9+G9)*(1+$I$33),2)</f>
        <v>13.47</v>
      </c>
      <c r="J9" s="92">
        <f aca="true" t="shared" si="3" ref="J9:J28">ROUND(+H9*$E9*12+G9*E9*12,0)</f>
        <v>895</v>
      </c>
      <c r="K9" s="92">
        <f t="shared" si="0"/>
        <v>970</v>
      </c>
      <c r="L9" s="92">
        <f t="shared" si="1"/>
        <v>75</v>
      </c>
      <c r="M9" s="184">
        <f aca="true" t="shared" si="4" ref="M9:M30">IF(L9=0,"na",+L9/J9)</f>
        <v>0.08379888268156424</v>
      </c>
    </row>
    <row r="10" spans="1:13" ht="12.75">
      <c r="A10" s="66" t="str">
        <f>+A9</f>
        <v>58E &amp; 59E</v>
      </c>
      <c r="B10" s="114">
        <v>150</v>
      </c>
      <c r="C10" s="114" t="s">
        <v>376</v>
      </c>
      <c r="D10" s="114" t="s">
        <v>350</v>
      </c>
      <c r="E10" s="18">
        <v>202</v>
      </c>
      <c r="F10" s="114"/>
      <c r="G10" s="110">
        <v>0.19</v>
      </c>
      <c r="H10" s="111">
        <v>14</v>
      </c>
      <c r="I10" s="111">
        <f t="shared" si="2"/>
        <v>15.38</v>
      </c>
      <c r="J10" s="92">
        <f t="shared" si="3"/>
        <v>34397</v>
      </c>
      <c r="K10" s="92">
        <f t="shared" si="0"/>
        <v>37281</v>
      </c>
      <c r="L10" s="92">
        <f t="shared" si="1"/>
        <v>2884</v>
      </c>
      <c r="M10" s="184">
        <f t="shared" si="4"/>
        <v>0.08384452132453411</v>
      </c>
    </row>
    <row r="11" spans="1:13" ht="12.75">
      <c r="A11" s="66" t="str">
        <f>+A10</f>
        <v>58E &amp; 59E</v>
      </c>
      <c r="B11" s="114">
        <v>200</v>
      </c>
      <c r="C11" s="114" t="s">
        <v>376</v>
      </c>
      <c r="D11" s="114" t="s">
        <v>350</v>
      </c>
      <c r="E11" s="18">
        <v>361</v>
      </c>
      <c r="F11" s="114"/>
      <c r="G11" s="110">
        <v>0.25</v>
      </c>
      <c r="H11" s="111">
        <v>16.32</v>
      </c>
      <c r="I11" s="111">
        <f t="shared" si="2"/>
        <v>17.96</v>
      </c>
      <c r="J11" s="92">
        <f t="shared" si="3"/>
        <v>71781</v>
      </c>
      <c r="K11" s="92">
        <f t="shared" si="0"/>
        <v>77803</v>
      </c>
      <c r="L11" s="92">
        <f t="shared" si="1"/>
        <v>6022</v>
      </c>
      <c r="M11" s="184">
        <f t="shared" si="4"/>
        <v>0.08389406667502543</v>
      </c>
    </row>
    <row r="12" spans="1:13" ht="12.75">
      <c r="A12" s="66" t="str">
        <f>+A11</f>
        <v>58E &amp; 59E</v>
      </c>
      <c r="B12" s="114">
        <v>250</v>
      </c>
      <c r="C12" s="114" t="s">
        <v>376</v>
      </c>
      <c r="D12" s="114" t="s">
        <v>350</v>
      </c>
      <c r="E12" s="18">
        <v>28</v>
      </c>
      <c r="F12" s="114"/>
      <c r="G12" s="110">
        <v>0.31</v>
      </c>
      <c r="H12" s="111">
        <v>18.13</v>
      </c>
      <c r="I12" s="111">
        <f t="shared" si="2"/>
        <v>19.98</v>
      </c>
      <c r="J12" s="92">
        <f t="shared" si="3"/>
        <v>6196</v>
      </c>
      <c r="K12" s="92">
        <f t="shared" si="0"/>
        <v>6713</v>
      </c>
      <c r="L12" s="92">
        <f t="shared" si="1"/>
        <v>517</v>
      </c>
      <c r="M12" s="184">
        <f t="shared" si="4"/>
        <v>0.08344092963202066</v>
      </c>
    </row>
    <row r="13" spans="1:13" ht="12.75">
      <c r="A13" s="66" t="str">
        <f>+A12</f>
        <v>58E &amp; 59E</v>
      </c>
      <c r="B13" s="114">
        <v>400</v>
      </c>
      <c r="C13" s="114" t="s">
        <v>376</v>
      </c>
      <c r="D13" s="114" t="s">
        <v>350</v>
      </c>
      <c r="E13" s="18">
        <v>470</v>
      </c>
      <c r="F13" s="114"/>
      <c r="G13" s="110">
        <v>0.5</v>
      </c>
      <c r="H13" s="111">
        <v>22.93</v>
      </c>
      <c r="I13" s="111">
        <f t="shared" si="2"/>
        <v>25.39</v>
      </c>
      <c r="J13" s="92">
        <f t="shared" si="3"/>
        <v>132145</v>
      </c>
      <c r="K13" s="92">
        <f t="shared" si="0"/>
        <v>143200</v>
      </c>
      <c r="L13" s="92">
        <f t="shared" si="1"/>
        <v>11055</v>
      </c>
      <c r="M13" s="184">
        <f t="shared" si="4"/>
        <v>0.08365810284157554</v>
      </c>
    </row>
    <row r="14" spans="1:13" ht="12.75">
      <c r="A14" s="66"/>
      <c r="B14" s="114"/>
      <c r="C14" s="114"/>
      <c r="D14" s="114"/>
      <c r="E14" s="18"/>
      <c r="F14" s="114"/>
      <c r="G14" s="114"/>
      <c r="H14" s="111"/>
      <c r="I14" s="111"/>
      <c r="J14" s="92"/>
      <c r="K14" s="92"/>
      <c r="L14" s="92"/>
      <c r="M14" s="112"/>
    </row>
    <row r="15" spans="1:13" ht="12.75">
      <c r="A15" s="66" t="str">
        <f>+A9</f>
        <v>58E &amp; 59E</v>
      </c>
      <c r="B15" s="114">
        <v>100</v>
      </c>
      <c r="C15" s="114" t="s">
        <v>377</v>
      </c>
      <c r="D15" s="114" t="s">
        <v>350</v>
      </c>
      <c r="E15" s="18">
        <v>1</v>
      </c>
      <c r="F15" s="114"/>
      <c r="G15" s="110">
        <v>0.14</v>
      </c>
      <c r="H15" s="111">
        <v>14.04</v>
      </c>
      <c r="I15" s="111">
        <f t="shared" si="2"/>
        <v>15.37</v>
      </c>
      <c r="J15" s="92">
        <f t="shared" si="3"/>
        <v>170</v>
      </c>
      <c r="K15" s="92">
        <f>ROUND(+I15*$E15*12,0)</f>
        <v>184</v>
      </c>
      <c r="L15" s="92">
        <f>+K15-J15</f>
        <v>14</v>
      </c>
      <c r="M15" s="184">
        <f t="shared" si="4"/>
        <v>0.08235294117647059</v>
      </c>
    </row>
    <row r="16" spans="1:13" ht="12.75">
      <c r="A16" s="66" t="str">
        <f>+A10</f>
        <v>58E &amp; 59E</v>
      </c>
      <c r="B16" s="114">
        <v>150</v>
      </c>
      <c r="C16" s="114" t="s">
        <v>377</v>
      </c>
      <c r="D16" s="114" t="s">
        <v>350</v>
      </c>
      <c r="E16" s="18">
        <v>9</v>
      </c>
      <c r="F16" s="114"/>
      <c r="G16" s="110">
        <v>0.19</v>
      </c>
      <c r="H16" s="111">
        <v>15.68</v>
      </c>
      <c r="I16" s="111">
        <f t="shared" si="2"/>
        <v>17.2</v>
      </c>
      <c r="J16" s="92">
        <f t="shared" si="3"/>
        <v>1714</v>
      </c>
      <c r="K16" s="92">
        <f>ROUND(+I16*$E16*12,0)</f>
        <v>1858</v>
      </c>
      <c r="L16" s="92">
        <f>+K16-J16</f>
        <v>144</v>
      </c>
      <c r="M16" s="184">
        <f t="shared" si="4"/>
        <v>0.08401400233372229</v>
      </c>
    </row>
    <row r="17" spans="1:13" ht="12.75">
      <c r="A17" s="66" t="str">
        <f>+A11</f>
        <v>58E &amp; 59E</v>
      </c>
      <c r="B17" s="114">
        <v>200</v>
      </c>
      <c r="C17" s="114" t="s">
        <v>377</v>
      </c>
      <c r="D17" s="114" t="s">
        <v>350</v>
      </c>
      <c r="E17" s="18">
        <v>6</v>
      </c>
      <c r="F17" s="114"/>
      <c r="G17" s="110">
        <v>0.25</v>
      </c>
      <c r="H17" s="111">
        <v>18.2</v>
      </c>
      <c r="I17" s="111">
        <f t="shared" si="2"/>
        <v>19.99</v>
      </c>
      <c r="J17" s="92">
        <f>ROUND(+H17*$E17*12+G17*E17*12,0)</f>
        <v>1328</v>
      </c>
      <c r="K17" s="92">
        <f>ROUND(+I17*$E17*12,0)</f>
        <v>1439</v>
      </c>
      <c r="L17" s="92">
        <f>+K17-J17</f>
        <v>111</v>
      </c>
      <c r="M17" s="184">
        <f>IF(L17=0,"na",+L17/J17)</f>
        <v>0.08358433734939759</v>
      </c>
    </row>
    <row r="18" spans="1:13" ht="12.75">
      <c r="A18" s="66" t="str">
        <f>+A12</f>
        <v>58E &amp; 59E</v>
      </c>
      <c r="B18" s="114">
        <v>250</v>
      </c>
      <c r="C18" s="114" t="s">
        <v>377</v>
      </c>
      <c r="D18" s="114" t="s">
        <v>350</v>
      </c>
      <c r="E18" s="18">
        <v>16</v>
      </c>
      <c r="F18" s="114"/>
      <c r="G18" s="110">
        <v>0.31</v>
      </c>
      <c r="H18" s="111">
        <v>18.89</v>
      </c>
      <c r="I18" s="111">
        <f t="shared" si="2"/>
        <v>20.81</v>
      </c>
      <c r="J18" s="92">
        <f>ROUND(+H18*$E18*12+G18*E18*12,0)</f>
        <v>3686</v>
      </c>
      <c r="K18" s="92">
        <f>ROUND(+I18*$E18*12,0)</f>
        <v>3996</v>
      </c>
      <c r="L18" s="92">
        <f>+K18-J18</f>
        <v>310</v>
      </c>
      <c r="M18" s="184">
        <f>IF(L18=0,"na",+L18/J18)</f>
        <v>0.08410200759631037</v>
      </c>
    </row>
    <row r="19" spans="1:13" ht="12.75">
      <c r="A19" s="66" t="str">
        <f>+A11</f>
        <v>58E &amp; 59E</v>
      </c>
      <c r="B19" s="114">
        <v>400</v>
      </c>
      <c r="C19" s="114" t="s">
        <v>377</v>
      </c>
      <c r="D19" s="114" t="s">
        <v>350</v>
      </c>
      <c r="E19" s="18">
        <v>71</v>
      </c>
      <c r="F19" s="114"/>
      <c r="G19" s="110">
        <v>0.5</v>
      </c>
      <c r="H19" s="111">
        <v>24.6</v>
      </c>
      <c r="I19" s="111">
        <f t="shared" si="2"/>
        <v>27.2</v>
      </c>
      <c r="J19" s="92">
        <f t="shared" si="3"/>
        <v>21385</v>
      </c>
      <c r="K19" s="92">
        <f>ROUND(+I19*$E19*12,0)</f>
        <v>23174</v>
      </c>
      <c r="L19" s="92">
        <f>+K19-J19</f>
        <v>1789</v>
      </c>
      <c r="M19" s="184">
        <f t="shared" si="4"/>
        <v>0.08365676876315174</v>
      </c>
    </row>
    <row r="20" spans="1:13" ht="12.75">
      <c r="A20" s="66"/>
      <c r="B20" s="114"/>
      <c r="C20" s="114"/>
      <c r="D20" s="114"/>
      <c r="E20" s="18"/>
      <c r="F20" s="114"/>
      <c r="G20" s="114"/>
      <c r="H20" s="110"/>
      <c r="I20" s="110"/>
      <c r="J20" s="92"/>
      <c r="K20" s="92"/>
      <c r="L20" s="92"/>
      <c r="M20" s="112"/>
    </row>
    <row r="21" spans="1:13" ht="12.75">
      <c r="A21" s="66" t="str">
        <f>+A12</f>
        <v>58E &amp; 59E</v>
      </c>
      <c r="B21" s="114">
        <v>175</v>
      </c>
      <c r="C21" s="114" t="s">
        <v>376</v>
      </c>
      <c r="D21" s="114" t="s">
        <v>351</v>
      </c>
      <c r="E21" s="18">
        <v>3</v>
      </c>
      <c r="F21" s="114"/>
      <c r="G21" s="110">
        <v>0.24</v>
      </c>
      <c r="H21" s="111">
        <v>15.94</v>
      </c>
      <c r="I21" s="111">
        <f t="shared" si="2"/>
        <v>17.53</v>
      </c>
      <c r="J21" s="92">
        <f t="shared" si="3"/>
        <v>582</v>
      </c>
      <c r="K21" s="92">
        <f>ROUND(+I21*$E21*12,0)</f>
        <v>631</v>
      </c>
      <c r="L21" s="92">
        <f>+K21-J21</f>
        <v>49</v>
      </c>
      <c r="M21" s="184">
        <f t="shared" si="4"/>
        <v>0.08419243986254296</v>
      </c>
    </row>
    <row r="22" spans="1:13" ht="12.75">
      <c r="A22" s="66" t="str">
        <f>+A13</f>
        <v>58E &amp; 59E</v>
      </c>
      <c r="B22" s="114">
        <v>250</v>
      </c>
      <c r="C22" s="114" t="s">
        <v>376</v>
      </c>
      <c r="D22" s="114" t="s">
        <v>351</v>
      </c>
      <c r="E22" s="18">
        <v>11</v>
      </c>
      <c r="F22" s="114"/>
      <c r="G22" s="110">
        <v>0.33</v>
      </c>
      <c r="H22" s="111">
        <v>18.62</v>
      </c>
      <c r="I22" s="111">
        <f t="shared" si="2"/>
        <v>20.54</v>
      </c>
      <c r="J22" s="92">
        <f>ROUND(+H22*$E22*12+G22*E22*12,0)</f>
        <v>2501</v>
      </c>
      <c r="K22" s="92">
        <f>ROUND(+I22*$E22*12,0)</f>
        <v>2711</v>
      </c>
      <c r="L22" s="92">
        <f>+K22-J22</f>
        <v>210</v>
      </c>
      <c r="M22" s="184">
        <f>IF(L22=0,"na",+L22/J22)</f>
        <v>0.08396641343462614</v>
      </c>
    </row>
    <row r="23" spans="1:13" ht="12.75">
      <c r="A23" s="66" t="str">
        <f>+A13</f>
        <v>58E &amp; 59E</v>
      </c>
      <c r="B23" s="114">
        <v>400</v>
      </c>
      <c r="C23" s="114" t="s">
        <v>376</v>
      </c>
      <c r="D23" s="114" t="s">
        <v>351</v>
      </c>
      <c r="E23" s="18">
        <v>70</v>
      </c>
      <c r="F23" s="114"/>
      <c r="G23" s="110">
        <v>0.52</v>
      </c>
      <c r="H23" s="111">
        <v>23.05</v>
      </c>
      <c r="I23" s="111">
        <f t="shared" si="2"/>
        <v>25.54</v>
      </c>
      <c r="J23" s="92">
        <f t="shared" si="3"/>
        <v>19799</v>
      </c>
      <c r="K23" s="92">
        <f>ROUND(+I23*$E23*12,0)</f>
        <v>21454</v>
      </c>
      <c r="L23" s="92">
        <f>+K23-J23</f>
        <v>1655</v>
      </c>
      <c r="M23" s="184">
        <f t="shared" si="4"/>
        <v>0.08359008030708621</v>
      </c>
    </row>
    <row r="24" spans="1:13" ht="12.75">
      <c r="A24" s="66" t="str">
        <f>+A28</f>
        <v>58E &amp; 59E</v>
      </c>
      <c r="B24" s="114">
        <v>1000</v>
      </c>
      <c r="C24" s="114" t="s">
        <v>376</v>
      </c>
      <c r="D24" s="114" t="s">
        <v>351</v>
      </c>
      <c r="E24" s="18">
        <v>99</v>
      </c>
      <c r="F24" s="114"/>
      <c r="G24" s="110">
        <v>1.25</v>
      </c>
      <c r="H24" s="111">
        <v>42.38</v>
      </c>
      <c r="I24" s="111">
        <f t="shared" si="2"/>
        <v>47.28</v>
      </c>
      <c r="J24" s="92">
        <f t="shared" si="3"/>
        <v>51832</v>
      </c>
      <c r="K24" s="92">
        <f>ROUND(+I24*$E24*12,0)</f>
        <v>56169</v>
      </c>
      <c r="L24" s="92">
        <f>+K24-J24</f>
        <v>4337</v>
      </c>
      <c r="M24" s="184">
        <f t="shared" si="4"/>
        <v>0.08367417811390647</v>
      </c>
    </row>
    <row r="25" spans="1:13" ht="12.75">
      <c r="A25" s="66"/>
      <c r="B25" s="114"/>
      <c r="C25" s="114"/>
      <c r="D25" s="114"/>
      <c r="E25" s="18"/>
      <c r="F25" s="114"/>
      <c r="G25" s="110"/>
      <c r="H25" s="111"/>
      <c r="I25" s="111"/>
      <c r="J25" s="92"/>
      <c r="K25" s="92"/>
      <c r="L25" s="92"/>
      <c r="M25" s="184"/>
    </row>
    <row r="26" spans="1:13" ht="12.75">
      <c r="A26" s="66" t="str">
        <f>+A21</f>
        <v>58E &amp; 59E</v>
      </c>
      <c r="B26" s="114">
        <v>175</v>
      </c>
      <c r="C26" s="114" t="s">
        <v>377</v>
      </c>
      <c r="D26" s="114" t="s">
        <v>351</v>
      </c>
      <c r="E26" s="18">
        <v>0</v>
      </c>
      <c r="F26" s="114"/>
      <c r="G26" s="110">
        <v>0.24</v>
      </c>
      <c r="H26" s="111">
        <v>19.65</v>
      </c>
      <c r="I26" s="111">
        <f t="shared" si="2"/>
        <v>21.55</v>
      </c>
      <c r="J26" s="92">
        <f>ROUND(+H26*$E26*12+G26*E26*12,0)</f>
        <v>0</v>
      </c>
      <c r="K26" s="92">
        <f>ROUND(+I26*$E26*12,0)</f>
        <v>0</v>
      </c>
      <c r="L26" s="92">
        <f>+K26-J26</f>
        <v>0</v>
      </c>
      <c r="M26" s="184" t="str">
        <f>IF(L26=0,"na",+L26/J26)</f>
        <v>na</v>
      </c>
    </row>
    <row r="27" spans="1:13" ht="12.75">
      <c r="A27" s="66" t="str">
        <f>+A22</f>
        <v>58E &amp; 59E</v>
      </c>
      <c r="B27" s="114">
        <v>250</v>
      </c>
      <c r="C27" s="114" t="s">
        <v>377</v>
      </c>
      <c r="D27" s="114" t="s">
        <v>351</v>
      </c>
      <c r="E27" s="18">
        <v>1</v>
      </c>
      <c r="F27" s="114"/>
      <c r="G27" s="110">
        <v>0.33</v>
      </c>
      <c r="H27" s="111">
        <v>22.21</v>
      </c>
      <c r="I27" s="111">
        <f t="shared" si="2"/>
        <v>24.43</v>
      </c>
      <c r="J27" s="92">
        <f>ROUND(+H27*$E27*12+G27*E27*12,0)</f>
        <v>270</v>
      </c>
      <c r="K27" s="92">
        <f>ROUND(+I27*$E27*12,0)</f>
        <v>293</v>
      </c>
      <c r="L27" s="92">
        <f>+K27-J27</f>
        <v>23</v>
      </c>
      <c r="M27" s="184">
        <f>IF(L27=0,"na",+L27/J27)</f>
        <v>0.08518518518518518</v>
      </c>
    </row>
    <row r="28" spans="1:13" ht="12.75">
      <c r="A28" s="66" t="str">
        <f>+A23</f>
        <v>58E &amp; 59E</v>
      </c>
      <c r="B28" s="114">
        <v>400</v>
      </c>
      <c r="C28" s="114" t="s">
        <v>377</v>
      </c>
      <c r="D28" s="114" t="s">
        <v>351</v>
      </c>
      <c r="E28" s="18">
        <v>59</v>
      </c>
      <c r="F28" s="114"/>
      <c r="G28" s="110">
        <v>0.52</v>
      </c>
      <c r="H28" s="111">
        <v>27.97</v>
      </c>
      <c r="I28" s="111">
        <f t="shared" si="2"/>
        <v>30.87</v>
      </c>
      <c r="J28" s="92">
        <f t="shared" si="3"/>
        <v>20171</v>
      </c>
      <c r="K28" s="92">
        <f>ROUND(+I28*$E28*12,0)</f>
        <v>21856</v>
      </c>
      <c r="L28" s="92">
        <f>+K28-J28</f>
        <v>1685</v>
      </c>
      <c r="M28" s="184">
        <f t="shared" si="4"/>
        <v>0.083535769173566</v>
      </c>
    </row>
    <row r="29" spans="1:13" ht="12.75">
      <c r="A29" s="72"/>
      <c r="B29" s="114"/>
      <c r="C29" s="114"/>
      <c r="D29" s="114"/>
      <c r="E29" s="18"/>
      <c r="F29" s="114"/>
      <c r="G29" s="114"/>
      <c r="H29" s="110"/>
      <c r="I29" s="110"/>
      <c r="J29" s="86"/>
      <c r="K29" s="86"/>
      <c r="L29" s="86"/>
      <c r="M29" s="198"/>
    </row>
    <row r="30" spans="1:13" ht="13.5" thickBot="1">
      <c r="A30" s="79" t="s">
        <v>378</v>
      </c>
      <c r="B30" s="114"/>
      <c r="C30" s="114"/>
      <c r="D30" s="114"/>
      <c r="E30" s="35">
        <f>SUM(E8:E28)</f>
        <v>1483</v>
      </c>
      <c r="F30" s="35">
        <f>SUM('Lighting Summary'!B17)</f>
        <v>2095409.3516</v>
      </c>
      <c r="G30" s="19"/>
      <c r="H30" s="110"/>
      <c r="I30" s="110"/>
      <c r="J30" s="83">
        <f>SUM(J8:J28)</f>
        <v>378369</v>
      </c>
      <c r="K30" s="83">
        <f>SUM(K8:K28)</f>
        <v>410047</v>
      </c>
      <c r="L30" s="83">
        <f>SUM(L8:L28)</f>
        <v>31678</v>
      </c>
      <c r="M30" s="188">
        <f t="shared" si="4"/>
        <v>0.0837225036934844</v>
      </c>
    </row>
    <row r="31" spans="1:13" ht="13.5" thickTop="1">
      <c r="A31" s="79"/>
      <c r="B31" s="114"/>
      <c r="C31" s="114"/>
      <c r="D31" s="114"/>
      <c r="E31" s="19"/>
      <c r="F31" s="19"/>
      <c r="G31" s="19"/>
      <c r="H31" s="110"/>
      <c r="I31" s="110"/>
      <c r="J31" s="86"/>
      <c r="K31" s="86"/>
      <c r="L31" s="86"/>
      <c r="M31" s="115"/>
    </row>
    <row r="32" spans="1:11" ht="12.75">
      <c r="A32" s="78"/>
      <c r="E32" s="2"/>
      <c r="J32" s="92"/>
      <c r="K32" s="92"/>
    </row>
    <row r="33" spans="1:9" ht="12.75" hidden="1">
      <c r="A33" s="58" t="str">
        <f>+'Schedule 003'!$A$14</f>
        <v>Proposed Increase</v>
      </c>
      <c r="I33" s="194">
        <f>+'Lighting Summary'!$E$26</f>
        <v>0.08367238671140526</v>
      </c>
    </row>
    <row r="34" ht="12.75" hidden="1"/>
    <row r="35" ht="12.75" hidden="1"/>
    <row r="36" spans="1:10" ht="12.75" hidden="1">
      <c r="A36" s="79" t="str">
        <f>+'Schedule 003'!$A$16</f>
        <v>Annual Schedule 95</v>
      </c>
      <c r="J36" s="92">
        <f>(SUMPRODUCT(E8:E13,G8:G13)+SUMPRODUCT(E26:E28,G26:G28)+SUMPRODUCT(E15:E19,G15:G19)+SUMPRODUCT(E21:E24,G21:G24))*12</f>
        <v>7433.64</v>
      </c>
    </row>
  </sheetData>
  <sheetProtection/>
  <printOptions/>
  <pageMargins left="0.46" right="0.27" top="1.5" bottom="1" header="0.5" footer="0.5"/>
  <pageSetup fitToHeight="1" fitToWidth="1" horizontalDpi="600" verticalDpi="600" orientation="landscape" scale="90" r:id="rId1"/>
  <headerFooter alignWithMargins="0">
    <oddHeader>&amp;L&amp;"Times New Roman,Regular"Puget Sound Energy
Docket UE-0702300/UG-072301&amp;R&amp;"Times New Roman,Regular"Electric Rate Spread and Rate Design 
Exhibit A to Multiparty Settlement&amp;"Arial,Regular"
</oddHeader>
    <oddFooter>&amp;R&amp;"Times New Roman,Regular"Page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zoomScale="75" zoomScaleNormal="75" zoomScalePageLayoutView="0" workbookViewId="0" topLeftCell="A1">
      <pane xSplit="2" ySplit="6" topLeftCell="C7" activePane="bottomRight" state="frozen"/>
      <selection pane="topLeft" activeCell="D3" sqref="D3"/>
      <selection pane="topRight" activeCell="D3" sqref="D3"/>
      <selection pane="bottomLeft" activeCell="D3" sqref="D3"/>
      <selection pane="bottomRight" activeCell="F44" sqref="F44"/>
    </sheetView>
  </sheetViews>
  <sheetFormatPr defaultColWidth="9.140625" defaultRowHeight="12.75"/>
  <cols>
    <col min="1" max="1" width="36.421875" style="58" bestFit="1" customWidth="1"/>
    <col min="2" max="2" width="8.7109375" style="58" bestFit="1" customWidth="1"/>
    <col min="3" max="3" width="17.7109375" style="58" bestFit="1" customWidth="1"/>
    <col min="4" max="4" width="18.7109375" style="58" bestFit="1" customWidth="1"/>
    <col min="5" max="5" width="15.00390625" style="58" bestFit="1" customWidth="1"/>
    <col min="6" max="6" width="13.7109375" style="58" customWidth="1"/>
    <col min="7" max="8" width="14.00390625" style="58" bestFit="1" customWidth="1"/>
    <col min="9" max="9" width="10.28125" style="58" bestFit="1" customWidth="1"/>
    <col min="10" max="10" width="9.140625" style="58" customWidth="1"/>
    <col min="11" max="11" width="16.00390625" style="58" bestFit="1" customWidth="1"/>
    <col min="12" max="16384" width="9.140625" style="58" customWidth="1"/>
  </cols>
  <sheetData>
    <row r="1" spans="1:9" ht="12.75">
      <c r="A1" s="57" t="s">
        <v>0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201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7" t="s">
        <v>1</v>
      </c>
      <c r="B3" s="57"/>
      <c r="C3" s="57"/>
      <c r="D3" s="57"/>
      <c r="E3" s="57"/>
      <c r="F3" s="57"/>
      <c r="G3" s="57"/>
      <c r="H3" s="57"/>
      <c r="I3" s="57"/>
    </row>
    <row r="4" spans="1:9" ht="12.75">
      <c r="A4" s="57"/>
      <c r="B4" s="57"/>
      <c r="C4" s="57"/>
      <c r="D4" s="57"/>
      <c r="E4" s="57"/>
      <c r="F4" s="57"/>
      <c r="G4" s="57"/>
      <c r="H4" s="57"/>
      <c r="I4" s="57"/>
    </row>
    <row r="5" spans="1:9" ht="12.75">
      <c r="A5" s="57"/>
      <c r="B5" s="57"/>
      <c r="C5" s="57"/>
      <c r="D5" s="57"/>
      <c r="E5" s="57"/>
      <c r="F5" s="57"/>
      <c r="G5" s="57"/>
      <c r="H5" s="57"/>
      <c r="I5" s="57"/>
    </row>
    <row r="6" spans="1:9" s="61" customFormat="1" ht="38.25">
      <c r="A6" s="59" t="s">
        <v>3</v>
      </c>
      <c r="B6" s="59" t="s">
        <v>4</v>
      </c>
      <c r="C6" s="59" t="s">
        <v>5</v>
      </c>
      <c r="D6" s="60" t="s">
        <v>202</v>
      </c>
      <c r="E6" s="60" t="s">
        <v>203</v>
      </c>
      <c r="F6" s="60" t="s">
        <v>204</v>
      </c>
      <c r="G6" s="60" t="s">
        <v>205</v>
      </c>
      <c r="H6" s="59" t="s">
        <v>206</v>
      </c>
      <c r="I6" s="60" t="s">
        <v>207</v>
      </c>
    </row>
    <row r="7" spans="1:9" s="61" customFormat="1" ht="12.75">
      <c r="A7" s="62" t="s">
        <v>19</v>
      </c>
      <c r="B7" s="63"/>
      <c r="C7" s="63"/>
      <c r="D7" s="64"/>
      <c r="E7" s="65"/>
      <c r="F7" s="64"/>
      <c r="G7" s="64"/>
      <c r="H7" s="64"/>
      <c r="I7" s="64"/>
    </row>
    <row r="8" spans="1:12" ht="12.75">
      <c r="A8" s="66" t="str">
        <f>+'Residential Sch 7'!A4</f>
        <v>Residential</v>
      </c>
      <c r="B8" s="67">
        <v>7</v>
      </c>
      <c r="C8" s="68">
        <f>+'Residential Sch 7'!D22</f>
        <v>10688799626.4513</v>
      </c>
      <c r="D8" s="69">
        <f>+'Residential Sch 7'!F22</f>
        <v>984090382.6754009</v>
      </c>
      <c r="E8" s="69">
        <f>+'Residential Sch 7'!H22</f>
        <v>1066431247.2107376</v>
      </c>
      <c r="F8" s="69">
        <f>+E8-D8</f>
        <v>82340864.53533673</v>
      </c>
      <c r="G8" s="69"/>
      <c r="H8" s="69"/>
      <c r="I8" s="70"/>
      <c r="L8" s="71"/>
    </row>
    <row r="9" spans="1:9" ht="12.75">
      <c r="A9" s="72" t="s">
        <v>208</v>
      </c>
      <c r="C9" s="73">
        <f>SUM(C8:C8)</f>
        <v>10688799626.4513</v>
      </c>
      <c r="D9" s="74">
        <f>SUM(D8:D8)</f>
        <v>984090382.6754009</v>
      </c>
      <c r="E9" s="74">
        <f>SUM(E8:E8)</f>
        <v>1066431247.2107376</v>
      </c>
      <c r="F9" s="74">
        <f>SUM(F8:F8)</f>
        <v>82340864.53533673</v>
      </c>
      <c r="G9" s="74">
        <f>+'Rate Spread'!M11</f>
        <v>82341191.05819094</v>
      </c>
      <c r="H9" s="74">
        <f>+G9-F9</f>
        <v>326.5228542089462</v>
      </c>
      <c r="I9" s="75">
        <f>+F9/D9</f>
        <v>0.08367205490971312</v>
      </c>
    </row>
    <row r="10" spans="3:9" ht="12.75">
      <c r="C10" s="76"/>
      <c r="D10" s="77"/>
      <c r="E10" s="77"/>
      <c r="F10" s="77"/>
      <c r="G10" s="77"/>
      <c r="H10" s="77"/>
      <c r="I10" s="70"/>
    </row>
    <row r="11" spans="1:9" ht="12.75">
      <c r="A11" s="58" t="s">
        <v>20</v>
      </c>
      <c r="C11" s="76"/>
      <c r="D11" s="77"/>
      <c r="E11" s="77"/>
      <c r="F11" s="77"/>
      <c r="G11" s="77"/>
      <c r="H11" s="77"/>
      <c r="I11" s="70"/>
    </row>
    <row r="12" spans="1:12" ht="12.75">
      <c r="A12" s="78" t="s">
        <v>21</v>
      </c>
      <c r="B12" s="67">
        <v>24</v>
      </c>
      <c r="C12" s="76">
        <f>+'Secondary Sch 24'!D22</f>
        <v>2617272033.8314</v>
      </c>
      <c r="D12" s="77">
        <f>+'Secondary Sch 24'!F22</f>
        <v>225492779.55570355</v>
      </c>
      <c r="E12" s="77">
        <f>+'Secondary Sch 24'!H22</f>
        <v>244359175.83761826</v>
      </c>
      <c r="F12" s="69">
        <f>+E12-D12</f>
        <v>18866396.28191471</v>
      </c>
      <c r="G12" s="69"/>
      <c r="H12" s="69"/>
      <c r="I12" s="70"/>
      <c r="L12" s="71"/>
    </row>
    <row r="13" spans="1:12" ht="12.75">
      <c r="A13" s="78" t="s">
        <v>22</v>
      </c>
      <c r="B13" s="67">
        <v>25</v>
      </c>
      <c r="C13" s="76">
        <f>+'Secondary Sch 25'!D28</f>
        <v>3059870060.67237</v>
      </c>
      <c r="D13" s="77">
        <f>+'Secondary Sch 25'!F28</f>
        <v>259771628.2068422</v>
      </c>
      <c r="E13" s="77">
        <f>+'Secondary Sch 25'!H28</f>
        <v>268266856.45828748</v>
      </c>
      <c r="F13" s="69">
        <f>+E13-D13</f>
        <v>8495228.251445264</v>
      </c>
      <c r="G13" s="69"/>
      <c r="H13" s="69"/>
      <c r="I13" s="70"/>
      <c r="L13" s="71"/>
    </row>
    <row r="14" spans="1:12" ht="12.75">
      <c r="A14" s="78" t="s">
        <v>24</v>
      </c>
      <c r="B14" s="67">
        <v>26</v>
      </c>
      <c r="C14" s="76">
        <f>+'Secondary Sch 26'!D24</f>
        <v>2097575464.5002759</v>
      </c>
      <c r="D14" s="77">
        <f>+'Secondary Sch 26'!F24</f>
        <v>159068092.2753655</v>
      </c>
      <c r="E14" s="77">
        <f>+'Secondary Sch 26'!H24</f>
        <v>164292488.12099522</v>
      </c>
      <c r="F14" s="69">
        <f>+E14-D14</f>
        <v>5224395.845629722</v>
      </c>
      <c r="G14" s="69"/>
      <c r="H14" s="69"/>
      <c r="I14" s="70"/>
      <c r="L14" s="71"/>
    </row>
    <row r="15" spans="1:12" ht="12.75">
      <c r="A15" s="66" t="s">
        <v>209</v>
      </c>
      <c r="B15" s="67">
        <v>29</v>
      </c>
      <c r="C15" s="76">
        <f>+'Secondary Sch 29'!D30</f>
        <v>14944704.5713</v>
      </c>
      <c r="D15" s="77">
        <f>+'Secondary Sch 29'!F30</f>
        <v>1128845.2452346145</v>
      </c>
      <c r="E15" s="77">
        <f>+'Secondary Sch 29'!H30</f>
        <v>1204890.1215944665</v>
      </c>
      <c r="F15" s="346">
        <f>+E15-D15</f>
        <v>76044.87635985203</v>
      </c>
      <c r="G15" s="69"/>
      <c r="H15" s="69"/>
      <c r="I15" s="70"/>
      <c r="L15" s="71"/>
    </row>
    <row r="16" spans="1:12" ht="12.75">
      <c r="A16" s="79" t="s">
        <v>25</v>
      </c>
      <c r="C16" s="73">
        <f>SUM(C12:C15)</f>
        <v>7789662263.575345</v>
      </c>
      <c r="D16" s="74">
        <f>SUM(D12:D15)</f>
        <v>645461345.2831459</v>
      </c>
      <c r="E16" s="74">
        <f>SUM(E12:E15)</f>
        <v>678123410.5384953</v>
      </c>
      <c r="F16" s="74">
        <f>SUM(F12:F15)</f>
        <v>32662065.255349547</v>
      </c>
      <c r="G16" s="74">
        <f>+'Rate Spread'!$M$17</f>
        <v>32665285.083498597</v>
      </c>
      <c r="H16" s="74">
        <f>+G16-F16</f>
        <v>3219.828149050474</v>
      </c>
      <c r="I16" s="75">
        <f>+F16/D16</f>
        <v>0.050602666595040806</v>
      </c>
      <c r="L16" s="71"/>
    </row>
    <row r="17" spans="3:12" ht="12.75">
      <c r="C17" s="76"/>
      <c r="D17" s="77"/>
      <c r="E17" s="77"/>
      <c r="F17" s="77"/>
      <c r="G17" s="77"/>
      <c r="H17" s="77"/>
      <c r="I17" s="70"/>
      <c r="L17" s="71"/>
    </row>
    <row r="18" spans="1:12" ht="12.75">
      <c r="A18" s="58" t="s">
        <v>26</v>
      </c>
      <c r="C18" s="76"/>
      <c r="D18" s="77"/>
      <c r="E18" s="77"/>
      <c r="F18" s="77"/>
      <c r="G18" s="77"/>
      <c r="H18" s="77"/>
      <c r="I18" s="70"/>
      <c r="L18" s="71"/>
    </row>
    <row r="19" spans="1:12" ht="12.75">
      <c r="A19" s="78" t="s">
        <v>210</v>
      </c>
      <c r="B19" s="67">
        <v>31</v>
      </c>
      <c r="C19" s="76">
        <f>+'Primary Sch 31'!D24</f>
        <v>1370554020.026316</v>
      </c>
      <c r="D19" s="77">
        <f>+'Primary Sch 31'!F24</f>
        <v>99227836.15334499</v>
      </c>
      <c r="E19" s="77">
        <f>+'Primary Sch 31'!H24</f>
        <v>107529929.48264849</v>
      </c>
      <c r="F19" s="69">
        <f>+E19-D19</f>
        <v>8302093.329303503</v>
      </c>
      <c r="G19" s="69"/>
      <c r="H19" s="69"/>
      <c r="I19" s="70"/>
      <c r="L19" s="71"/>
    </row>
    <row r="20" spans="1:12" ht="12.75">
      <c r="A20" s="66" t="s">
        <v>209</v>
      </c>
      <c r="B20" s="67">
        <v>35</v>
      </c>
      <c r="C20" s="76">
        <f>+'Primary Sch 35'!B24</f>
        <v>4864218</v>
      </c>
      <c r="D20" s="77">
        <f>+'Primary Sch 35'!D24</f>
        <v>247424.1259528982</v>
      </c>
      <c r="E20" s="77">
        <f>+'Primary Sch 35'!F24</f>
        <v>268128.081468</v>
      </c>
      <c r="F20" s="69">
        <f>+E20-D20</f>
        <v>20703.955515101814</v>
      </c>
      <c r="G20" s="69"/>
      <c r="H20" s="69"/>
      <c r="I20" s="70"/>
      <c r="L20" s="71"/>
    </row>
    <row r="21" spans="1:12" ht="12.75">
      <c r="A21" s="66" t="s">
        <v>29</v>
      </c>
      <c r="B21" s="67">
        <v>43</v>
      </c>
      <c r="C21" s="76">
        <f>+'Primary Sch 43'!D22</f>
        <v>166310246.19</v>
      </c>
      <c r="D21" s="77">
        <f>+'Primary Sch 43'!F22</f>
        <v>12849515.74653046</v>
      </c>
      <c r="E21" s="77">
        <f>+'Primary Sch 43'!H22</f>
        <v>13924649.135179969</v>
      </c>
      <c r="F21" s="69">
        <f>+E21-D21</f>
        <v>1075133.3886495084</v>
      </c>
      <c r="G21" s="69"/>
      <c r="H21" s="69"/>
      <c r="I21" s="70"/>
      <c r="L21" s="71"/>
    </row>
    <row r="22" spans="1:12" ht="12.75">
      <c r="A22" s="72" t="s">
        <v>30</v>
      </c>
      <c r="C22" s="73">
        <f>SUM(C19:C21)</f>
        <v>1541728484.216316</v>
      </c>
      <c r="D22" s="74">
        <f>SUM(D19:D21)</f>
        <v>112324776.02582835</v>
      </c>
      <c r="E22" s="74">
        <f>SUM(E19:E21)</f>
        <v>121722706.69929646</v>
      </c>
      <c r="F22" s="74">
        <f>SUM(F19:F21)</f>
        <v>9397930.673468113</v>
      </c>
      <c r="G22" s="74">
        <f>+'Rate Spread'!$M$22</f>
        <v>9398482.096905097</v>
      </c>
      <c r="H22" s="74">
        <f>+G22-F22</f>
        <v>551.4234369844198</v>
      </c>
      <c r="I22" s="75">
        <f>+F22/D22</f>
        <v>0.08366747752345502</v>
      </c>
      <c r="L22" s="71"/>
    </row>
    <row r="23" ht="12.75">
      <c r="I23" s="70"/>
    </row>
    <row r="24" spans="1:12" ht="12.75">
      <c r="A24" s="58" t="s">
        <v>31</v>
      </c>
      <c r="B24" s="67">
        <v>40</v>
      </c>
      <c r="C24" s="73">
        <f>+'Campus Sch 40'!D40</f>
        <v>616521098.9719381</v>
      </c>
      <c r="D24" s="74">
        <f>+'Campus Sch 40'!F40</f>
        <v>38977060.8036143</v>
      </c>
      <c r="E24" s="74">
        <f>+'Campus Sch 40'!H40</f>
        <v>40514941.24602049</v>
      </c>
      <c r="F24" s="74">
        <f>+E24-D24</f>
        <v>1537880.442406185</v>
      </c>
      <c r="G24" s="80">
        <f>+'Rate Spread'!$M$24</f>
        <v>1537880.442406188</v>
      </c>
      <c r="H24" s="81">
        <f>+G24-F24</f>
        <v>3.026798367500305E-09</v>
      </c>
      <c r="I24" s="75">
        <f>+F24/D24</f>
        <v>0.03945603928820561</v>
      </c>
      <c r="L24" s="71"/>
    </row>
    <row r="25" ht="12.75">
      <c r="I25" s="70"/>
    </row>
    <row r="26" spans="1:9" ht="12.75">
      <c r="A26" s="58" t="s">
        <v>211</v>
      </c>
      <c r="C26" s="76"/>
      <c r="D26" s="77"/>
      <c r="E26" s="77"/>
      <c r="F26" s="77"/>
      <c r="G26" s="77"/>
      <c r="H26" s="77"/>
      <c r="I26" s="70"/>
    </row>
    <row r="27" spans="1:12" ht="12.75">
      <c r="A27" s="78" t="s">
        <v>212</v>
      </c>
      <c r="B27" s="67">
        <v>46</v>
      </c>
      <c r="C27" s="76">
        <f>+'HV Sch 46'!B18</f>
        <v>51364412</v>
      </c>
      <c r="D27" s="77">
        <f>+'HV Sch 46'!D18</f>
        <v>2850180.1000118987</v>
      </c>
      <c r="E27" s="77">
        <f>+'HV Sch 46'!F18</f>
        <v>3068730.892163</v>
      </c>
      <c r="F27" s="69">
        <f>+E27-D27</f>
        <v>218550.7921511014</v>
      </c>
      <c r="G27" s="69"/>
      <c r="H27" s="69"/>
      <c r="I27" s="70"/>
      <c r="L27" s="71"/>
    </row>
    <row r="28" spans="1:12" ht="12.75">
      <c r="A28" s="78" t="s">
        <v>210</v>
      </c>
      <c r="B28" s="67">
        <v>49</v>
      </c>
      <c r="C28" s="76">
        <f>+'HV Sch 49'!B18</f>
        <v>508093006</v>
      </c>
      <c r="D28" s="77">
        <f>+'HV Sch 49'!D18</f>
        <v>29045777.865512345</v>
      </c>
      <c r="E28" s="77">
        <f>+'HV Sch 49'!F18</f>
        <v>31495479.86535</v>
      </c>
      <c r="F28" s="69">
        <f>+E28-D28</f>
        <v>2449701.9998376556</v>
      </c>
      <c r="G28" s="69"/>
      <c r="H28" s="69"/>
      <c r="I28" s="70"/>
      <c r="L28" s="71"/>
    </row>
    <row r="29" spans="1:9" ht="12.75">
      <c r="A29" s="79" t="s">
        <v>32</v>
      </c>
      <c r="C29" s="73">
        <f>SUM(C27:C28)</f>
        <v>559457418</v>
      </c>
      <c r="D29" s="74">
        <f>SUM(D27:D28)</f>
        <v>31895957.965524245</v>
      </c>
      <c r="E29" s="74">
        <f>SUM(E27:E28)</f>
        <v>34564210.757513</v>
      </c>
      <c r="F29" s="74">
        <f>SUM(F27:F28)</f>
        <v>2668252.791988757</v>
      </c>
      <c r="G29" s="74">
        <f>+'Rate Spread'!$M$26</f>
        <v>2668810.9294220693</v>
      </c>
      <c r="H29" s="74">
        <f>+G29-F29</f>
        <v>558.1374333123676</v>
      </c>
      <c r="I29" s="75">
        <f>+F29/D29</f>
        <v>0.08365488802289063</v>
      </c>
    </row>
    <row r="30" ht="12.75">
      <c r="I30" s="70"/>
    </row>
    <row r="31" spans="1:12" ht="12.75">
      <c r="A31" s="58" t="s">
        <v>35</v>
      </c>
      <c r="B31" s="67" t="s">
        <v>36</v>
      </c>
      <c r="C31" s="73">
        <f>+Lighting!B21</f>
        <v>79343267.5189</v>
      </c>
      <c r="D31" s="74">
        <f>+Lighting!C21</f>
        <v>15450313.556139601</v>
      </c>
      <c r="E31" s="74">
        <f>+Lighting!D21</f>
        <v>16742845.270880401</v>
      </c>
      <c r="F31" s="74">
        <f>+E31-D31</f>
        <v>1292531.7147407997</v>
      </c>
      <c r="G31" s="80">
        <f>+'Rate Spread'!$M$30</f>
        <v>1292764.6106817797</v>
      </c>
      <c r="H31" s="80">
        <f>+G31-F31</f>
        <v>232.89594097994268</v>
      </c>
      <c r="I31" s="75">
        <f>+F31/D31</f>
        <v>0.08365731284639057</v>
      </c>
      <c r="L31" s="71"/>
    </row>
    <row r="32" spans="2:9" ht="12.75">
      <c r="B32" s="67"/>
      <c r="I32" s="70"/>
    </row>
    <row r="33" spans="1:9" ht="13.5" thickBot="1">
      <c r="A33" s="79" t="s">
        <v>213</v>
      </c>
      <c r="C33" s="82">
        <f aca="true" t="shared" si="0" ref="C33:H33">SUM(C9,C16,C22,C24,C29,C31)</f>
        <v>21275512158.733803</v>
      </c>
      <c r="D33" s="83">
        <f t="shared" si="0"/>
        <v>1828199836.3096533</v>
      </c>
      <c r="E33" s="83">
        <f t="shared" si="0"/>
        <v>1958099361.7229433</v>
      </c>
      <c r="F33" s="83">
        <f t="shared" si="0"/>
        <v>129899525.41329013</v>
      </c>
      <c r="G33" s="83">
        <f t="shared" si="0"/>
        <v>129904414.22110468</v>
      </c>
      <c r="H33" s="83">
        <f t="shared" si="0"/>
        <v>4888.807814539177</v>
      </c>
      <c r="I33" s="84">
        <f>+F33/D33</f>
        <v>0.07105324201073183</v>
      </c>
    </row>
    <row r="34" spans="3:9" ht="13.5" thickTop="1">
      <c r="C34" s="85"/>
      <c r="D34" s="86"/>
      <c r="E34" s="86"/>
      <c r="F34" s="86"/>
      <c r="G34" s="86"/>
      <c r="H34" s="86"/>
      <c r="I34" s="87"/>
    </row>
    <row r="35" spans="1:9" ht="12.75">
      <c r="A35" s="78" t="s">
        <v>214</v>
      </c>
      <c r="B35" s="67" t="s">
        <v>38</v>
      </c>
      <c r="C35" s="76">
        <f>+'Small Firm Resale'!D10</f>
        <v>7652696</v>
      </c>
      <c r="D35" s="77">
        <f>SUM('Small Firm Resale'!F18)</f>
        <v>355704.70744</v>
      </c>
      <c r="E35" s="77">
        <f>SUM('Small Firm Resale'!H18)</f>
        <v>360403.46278400003</v>
      </c>
      <c r="F35" s="69"/>
      <c r="G35" s="69"/>
      <c r="H35" s="69"/>
      <c r="I35" s="88"/>
    </row>
    <row r="36" spans="1:9" ht="12.75">
      <c r="A36" s="66" t="s">
        <v>215</v>
      </c>
      <c r="B36" s="89" t="s">
        <v>216</v>
      </c>
      <c r="C36" s="76">
        <f>+'Transportation Special Contract'!B10</f>
        <v>147863815</v>
      </c>
      <c r="D36" s="77">
        <f>+'Transportation Special Contract'!D14</f>
        <v>786676.7</v>
      </c>
      <c r="E36" s="77">
        <f>+'Transportation Special Contract'!F14</f>
        <v>877465.0824099999</v>
      </c>
      <c r="F36" s="69"/>
      <c r="G36" s="69"/>
      <c r="H36" s="69"/>
      <c r="I36" s="88"/>
    </row>
    <row r="37" spans="1:9" ht="12.75">
      <c r="A37" s="79" t="s">
        <v>217</v>
      </c>
      <c r="C37" s="73">
        <f>SUM(C35:C36)</f>
        <v>155516511</v>
      </c>
      <c r="D37" s="74">
        <f>SUM(D35:D36)</f>
        <v>1142381.40744</v>
      </c>
      <c r="E37" s="74">
        <f>SUM(E35:E36)</f>
        <v>1237868.545194</v>
      </c>
      <c r="F37" s="74">
        <f>+E37-D37</f>
        <v>95487.13775400002</v>
      </c>
      <c r="G37" s="74">
        <f>+'Rate Spread'!$M$32</f>
        <v>95585.77889523911</v>
      </c>
      <c r="H37" s="74">
        <f>+G37-F37</f>
        <v>98.64114123908803</v>
      </c>
      <c r="I37" s="75">
        <f>+F37/D37</f>
        <v>0.08358603976930988</v>
      </c>
    </row>
    <row r="38" ht="12.75">
      <c r="I38" s="70"/>
    </row>
    <row r="39" spans="1:9" ht="12.75">
      <c r="A39" s="58" t="s">
        <v>218</v>
      </c>
      <c r="C39" s="76"/>
      <c r="D39" s="77"/>
      <c r="E39" s="77"/>
      <c r="F39" s="77"/>
      <c r="G39" s="77"/>
      <c r="H39" s="77"/>
      <c r="I39" s="70"/>
    </row>
    <row r="40" spans="1:9" ht="12.75">
      <c r="A40" s="78"/>
      <c r="B40" s="67">
        <v>449</v>
      </c>
      <c r="C40" s="76">
        <f>SUM('Sch 449'!B26)</f>
        <v>1776999365</v>
      </c>
      <c r="D40" s="77">
        <f>+'Sch 449'!D26</f>
        <v>8099775.0126524</v>
      </c>
      <c r="E40" s="77">
        <f>+'Sch 449'!F26</f>
        <v>8093904.9096743995</v>
      </c>
      <c r="F40" s="69">
        <f>+E40-D40</f>
        <v>-5870.102978000417</v>
      </c>
      <c r="G40" s="69"/>
      <c r="H40" s="69"/>
      <c r="I40" s="70"/>
    </row>
    <row r="41" spans="1:9" ht="12.75">
      <c r="A41" s="78"/>
      <c r="B41" s="67">
        <v>459</v>
      </c>
      <c r="C41" s="76">
        <f>+'Sch 459'!B20</f>
        <v>337957762</v>
      </c>
      <c r="D41" s="77">
        <f>+'Sch 459'!D20</f>
        <v>567312.2715056201</v>
      </c>
      <c r="E41" s="77">
        <f>+'Sch 459'!F20</f>
        <v>572601.69143362</v>
      </c>
      <c r="F41" s="69">
        <f>+E41-D41</f>
        <v>5289.419927999959</v>
      </c>
      <c r="G41" s="69"/>
      <c r="H41" s="69"/>
      <c r="I41" s="70"/>
    </row>
    <row r="42" spans="1:9" ht="12.75">
      <c r="A42" s="72" t="s">
        <v>219</v>
      </c>
      <c r="C42" s="73">
        <f>SUM(C40:C41)</f>
        <v>2114957127</v>
      </c>
      <c r="D42" s="74">
        <f>SUM(D40:D41)</f>
        <v>8667087.28415802</v>
      </c>
      <c r="E42" s="74">
        <f>SUM(E40:E41)</f>
        <v>8666506.60110802</v>
      </c>
      <c r="F42" s="74">
        <f>SUM(F40:F41)</f>
        <v>-580.683050000458</v>
      </c>
      <c r="G42" s="74">
        <f>+'Rate Spread'!$M$28</f>
        <v>0</v>
      </c>
      <c r="H42" s="74">
        <f>+G42-F42</f>
        <v>580.683050000458</v>
      </c>
      <c r="I42" s="75">
        <f>+F42/D42</f>
        <v>-6.699863875397323E-05</v>
      </c>
    </row>
    <row r="43" spans="4:9" ht="12.75">
      <c r="D43" s="90"/>
      <c r="I43" s="70"/>
    </row>
    <row r="44" spans="1:9" ht="13.5" thickBot="1">
      <c r="A44" s="79" t="s">
        <v>220</v>
      </c>
      <c r="C44" s="91">
        <f aca="true" t="shared" si="1" ref="C44:H44">SUM(C33,C37,C42)</f>
        <v>23545985796.733803</v>
      </c>
      <c r="D44" s="83">
        <f t="shared" si="1"/>
        <v>1838009305.0012512</v>
      </c>
      <c r="E44" s="83">
        <f t="shared" si="1"/>
        <v>1968003736.8692453</v>
      </c>
      <c r="F44" s="83">
        <f t="shared" si="1"/>
        <v>129994431.86799411</v>
      </c>
      <c r="G44" s="83">
        <f t="shared" si="1"/>
        <v>129999999.99999993</v>
      </c>
      <c r="H44" s="83">
        <f t="shared" si="1"/>
        <v>5568.132005778723</v>
      </c>
      <c r="I44" s="84">
        <f>+F44/D44</f>
        <v>0.07072566581370252</v>
      </c>
    </row>
    <row r="45" spans="4:8" ht="13.5" thickTop="1">
      <c r="D45" s="92"/>
      <c r="E45" s="90"/>
      <c r="F45" s="90"/>
      <c r="G45" s="90"/>
      <c r="H45" s="90"/>
    </row>
  </sheetData>
  <sheetProtection/>
  <printOptions/>
  <pageMargins left="0.46" right="0.27" top="1.5" bottom="1" header="0.5" footer="0.5"/>
  <pageSetup fitToHeight="1" fitToWidth="1" horizontalDpi="600" verticalDpi="600" orientation="landscape" scale="75" r:id="rId1"/>
  <headerFooter alignWithMargins="0">
    <oddHeader>&amp;L&amp;"Times New Roman,Regular"Puget Sound Energy
Docket UE-0702300/UG-072301&amp;R&amp;"Times New Roman,Regular"Electric Rate Spread and Rate Design 
Exhibit A to Multiparty Settlement&amp;"Arial,Regular"
</oddHeader>
    <oddFooter>&amp;R&amp;"Times New Roman,Regular"Page &amp;P of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24.421875" style="58" customWidth="1"/>
    <col min="2" max="2" width="9.140625" style="58" customWidth="1"/>
    <col min="3" max="3" width="8.421875" style="58" bestFit="1" customWidth="1"/>
    <col min="4" max="16384" width="9.140625" style="58" customWidth="1"/>
  </cols>
  <sheetData>
    <row r="1" spans="1:8" ht="12.75">
      <c r="A1" s="57" t="s">
        <v>0</v>
      </c>
      <c r="B1" s="57"/>
      <c r="C1" s="57"/>
      <c r="D1" s="57"/>
      <c r="E1" s="57"/>
      <c r="F1" s="57"/>
      <c r="G1" s="57"/>
      <c r="H1" s="57"/>
    </row>
    <row r="2" spans="1:8" ht="12.75">
      <c r="A2" s="57" t="s">
        <v>379</v>
      </c>
      <c r="B2" s="57"/>
      <c r="C2" s="57"/>
      <c r="D2" s="57"/>
      <c r="E2" s="57"/>
      <c r="F2" s="57"/>
      <c r="G2" s="57"/>
      <c r="H2" s="57"/>
    </row>
    <row r="3" spans="1:13" ht="12.75">
      <c r="A3" s="57" t="str">
        <f>+'Lighting Summary'!A4</f>
        <v>Twelve Months ended September 30, 2007</v>
      </c>
      <c r="B3" s="57"/>
      <c r="C3" s="57"/>
      <c r="D3" s="57"/>
      <c r="E3" s="57"/>
      <c r="F3" s="57"/>
      <c r="G3" s="57"/>
      <c r="H3" s="57"/>
      <c r="K3" s="57"/>
      <c r="L3" s="57"/>
      <c r="M3" s="57"/>
    </row>
    <row r="4" spans="1:8" ht="12.75">
      <c r="A4" s="57" t="s">
        <v>380</v>
      </c>
      <c r="B4" s="57"/>
      <c r="C4" s="57"/>
      <c r="D4" s="57"/>
      <c r="E4" s="57"/>
      <c r="F4" s="57"/>
      <c r="G4" s="57"/>
      <c r="H4" s="57"/>
    </row>
    <row r="5" spans="1:8" ht="12.75">
      <c r="A5" s="57" t="s">
        <v>381</v>
      </c>
      <c r="B5" s="57"/>
      <c r="C5" s="57"/>
      <c r="D5" s="57"/>
      <c r="E5" s="57"/>
      <c r="F5" s="57"/>
      <c r="G5" s="57"/>
      <c r="H5" s="57"/>
    </row>
    <row r="7" spans="1:8" s="61" customFormat="1" ht="38.25">
      <c r="A7" s="59" t="s">
        <v>4</v>
      </c>
      <c r="B7" s="59" t="str">
        <f>+'Schedule 003'!D7</f>
        <v>Inventory
@
9-1-07</v>
      </c>
      <c r="C7" s="60" t="s">
        <v>382</v>
      </c>
      <c r="D7" s="60" t="s">
        <v>383</v>
      </c>
      <c r="E7" s="60" t="s">
        <v>340</v>
      </c>
      <c r="F7" s="60" t="s">
        <v>296</v>
      </c>
      <c r="G7" s="59" t="s">
        <v>297</v>
      </c>
      <c r="H7" s="59" t="s">
        <v>207</v>
      </c>
    </row>
    <row r="8" spans="1:8" ht="12.75">
      <c r="A8" s="199" t="s">
        <v>384</v>
      </c>
      <c r="B8" s="19">
        <v>1212</v>
      </c>
      <c r="C8" s="200">
        <v>1.89</v>
      </c>
      <c r="D8" s="201">
        <f>ROUND((+C8*(1+$E$17)),2)</f>
        <v>2.05</v>
      </c>
      <c r="E8" s="77">
        <f>ROUND(+C8*$B8*12,0)</f>
        <v>27488</v>
      </c>
      <c r="F8" s="77">
        <f>ROUND(+D8*$B8*12,0)</f>
        <v>29815</v>
      </c>
      <c r="G8" s="77">
        <f>+F8-E8</f>
        <v>2327</v>
      </c>
      <c r="H8" s="115">
        <f>+G8/E8</f>
        <v>0.08465512223515716</v>
      </c>
    </row>
    <row r="9" spans="1:8" ht="12.75">
      <c r="A9" s="100"/>
      <c r="B9" s="100"/>
      <c r="C9" s="100"/>
      <c r="D9" s="100"/>
      <c r="E9" s="100"/>
      <c r="F9" s="100"/>
      <c r="G9" s="100"/>
      <c r="H9" s="100"/>
    </row>
    <row r="10" spans="1:8" ht="12.75">
      <c r="A10" s="199" t="s">
        <v>385</v>
      </c>
      <c r="B10" s="19">
        <v>210</v>
      </c>
      <c r="C10" s="201">
        <v>7.45</v>
      </c>
      <c r="D10" s="201">
        <f>+E19</f>
        <v>8.07335928099997</v>
      </c>
      <c r="E10" s="77">
        <f>ROUND(+C10*$B10*12,0)</f>
        <v>18774</v>
      </c>
      <c r="F10" s="77">
        <f>ROUND(+D10*$B10*12,0)</f>
        <v>20345</v>
      </c>
      <c r="G10" s="77">
        <f>+F10-E10</f>
        <v>1571</v>
      </c>
      <c r="H10" s="115">
        <f>+G10/E10</f>
        <v>0.08367955683391926</v>
      </c>
    </row>
    <row r="11" spans="1:8" ht="12.75">
      <c r="A11" s="199" t="s">
        <v>386</v>
      </c>
      <c r="B11" s="19">
        <v>169</v>
      </c>
      <c r="C11" s="200">
        <f>+C10</f>
        <v>7.45</v>
      </c>
      <c r="D11" s="201">
        <f>+E19</f>
        <v>8.07335928099997</v>
      </c>
      <c r="E11" s="77">
        <f>ROUND(+C11*$B11*12,0)</f>
        <v>15109</v>
      </c>
      <c r="F11" s="77">
        <f>ROUND(+D11*$B11*12,0)</f>
        <v>16373</v>
      </c>
      <c r="G11" s="77">
        <f>+F11-E11</f>
        <v>1264</v>
      </c>
      <c r="H11" s="202">
        <f>IF(G11=0,"na",+G11/E11)</f>
        <v>0.08365874644251771</v>
      </c>
    </row>
    <row r="12" spans="1:8" ht="12.75">
      <c r="A12" s="100"/>
      <c r="B12" s="100"/>
      <c r="C12" s="100"/>
      <c r="D12" s="100"/>
      <c r="E12" s="100"/>
      <c r="F12" s="100"/>
      <c r="G12" s="100"/>
      <c r="H12" s="100"/>
    </row>
    <row r="13" spans="1:8" ht="12.75">
      <c r="A13" s="100" t="s">
        <v>387</v>
      </c>
      <c r="B13" s="203">
        <f>SUM(B10:B12)</f>
        <v>379</v>
      </c>
      <c r="C13" s="100"/>
      <c r="D13" s="100"/>
      <c r="E13" s="134">
        <f>SUM(E10:E12)</f>
        <v>33883</v>
      </c>
      <c r="F13" s="134">
        <f>SUM(F10:F12)</f>
        <v>36718</v>
      </c>
      <c r="G13" s="134">
        <f>SUM(G10:G12)</f>
        <v>2835</v>
      </c>
      <c r="H13" s="202">
        <f>IF(G13=0,"na",+G13/E13)</f>
        <v>0.08367027713012425</v>
      </c>
    </row>
    <row r="14" spans="1:8" ht="12.75">
      <c r="A14" s="100"/>
      <c r="B14" s="203"/>
      <c r="C14" s="100"/>
      <c r="D14" s="100"/>
      <c r="E14" s="134"/>
      <c r="F14" s="134"/>
      <c r="G14" s="134"/>
      <c r="H14" s="202"/>
    </row>
    <row r="15" spans="1:8" ht="12.75">
      <c r="A15" s="100" t="s">
        <v>388</v>
      </c>
      <c r="B15" s="100"/>
      <c r="C15" s="100"/>
      <c r="D15" s="100"/>
      <c r="E15" s="204">
        <f>ROUND(+E13/B13/12,2)</f>
        <v>7.45</v>
      </c>
      <c r="F15" s="100"/>
      <c r="G15" s="100"/>
      <c r="H15" s="100"/>
    </row>
    <row r="16" spans="1:8" ht="12.75">
      <c r="A16" s="100"/>
      <c r="B16" s="100"/>
      <c r="C16" s="100"/>
      <c r="D16" s="100"/>
      <c r="E16" s="204"/>
      <c r="F16" s="100"/>
      <c r="G16" s="100"/>
      <c r="H16" s="100"/>
    </row>
    <row r="17" spans="1:8" ht="12.75">
      <c r="A17" s="58" t="str">
        <f>+'Schedule 003'!$A$14</f>
        <v>Proposed Increase</v>
      </c>
      <c r="B17" s="100"/>
      <c r="C17" s="100"/>
      <c r="D17" s="100"/>
      <c r="E17" s="194">
        <f>+'Lighting Summary'!$E$26</f>
        <v>0.08367238671140526</v>
      </c>
      <c r="F17" s="100"/>
      <c r="G17" s="100"/>
      <c r="H17" s="100"/>
    </row>
    <row r="18" spans="1:8" ht="12.75">
      <c r="A18" s="100"/>
      <c r="B18" s="100"/>
      <c r="C18" s="100"/>
      <c r="D18" s="100"/>
      <c r="E18" s="100"/>
      <c r="F18" s="100"/>
      <c r="G18" s="100"/>
      <c r="H18" s="100"/>
    </row>
    <row r="19" spans="1:8" ht="12.75">
      <c r="A19" s="199" t="s">
        <v>389</v>
      </c>
      <c r="B19" s="100"/>
      <c r="C19" s="100"/>
      <c r="D19" s="100"/>
      <c r="E19" s="200">
        <f>+E15*(1+E17)</f>
        <v>8.07335928099997</v>
      </c>
      <c r="F19" s="100"/>
      <c r="G19" s="100"/>
      <c r="H19" s="100"/>
    </row>
    <row r="21" ht="12.75">
      <c r="C21" s="205"/>
    </row>
    <row r="24" ht="12.75">
      <c r="F24" s="194"/>
    </row>
  </sheetData>
  <sheetProtection/>
  <printOptions/>
  <pageMargins left="0.46" right="0.27" top="1.5" bottom="1" header="0.5" footer="0.5"/>
  <pageSetup fitToHeight="1" fitToWidth="1" horizontalDpi="600" verticalDpi="600" orientation="landscape" r:id="rId1"/>
  <headerFooter alignWithMargins="0">
    <oddHeader>&amp;L&amp;"Times New Roman,Regular"Puget Sound Energy
Docket UE-0702300/UG-072301&amp;R&amp;"Times New Roman,Regular"Electric Rate Spread and Rate Design 
Exhibit A to Multiparty Settlement&amp;"Arial,Regular"
</oddHeader>
    <oddFooter>&amp;R&amp;"Times New Roman,Regular"Page &amp;P of 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4.421875" style="2" bestFit="1" customWidth="1"/>
    <col min="2" max="2" width="24.8515625" style="2" customWidth="1"/>
    <col min="3" max="3" width="15.00390625" style="2" bestFit="1" customWidth="1"/>
    <col min="4" max="5" width="10.7109375" style="2" bestFit="1" customWidth="1"/>
    <col min="6" max="6" width="11.28125" style="2" bestFit="1" customWidth="1"/>
    <col min="7" max="7" width="13.421875" style="2" bestFit="1" customWidth="1"/>
    <col min="8" max="8" width="15.00390625" style="2" bestFit="1" customWidth="1"/>
    <col min="9" max="9" width="35.8515625" style="2" bestFit="1" customWidth="1"/>
    <col min="10" max="16384" width="9.140625" style="2" customWidth="1"/>
  </cols>
  <sheetData>
    <row r="1" spans="1:9" ht="12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1" t="s">
        <v>44</v>
      </c>
      <c r="B2" s="1"/>
      <c r="C2" s="1"/>
      <c r="D2" s="1"/>
      <c r="E2" s="1"/>
      <c r="F2" s="1"/>
      <c r="G2" s="1"/>
      <c r="H2" s="1"/>
      <c r="I2" s="1"/>
    </row>
    <row r="3" spans="1:9" ht="12.75">
      <c r="A3" s="206" t="s">
        <v>45</v>
      </c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s="11" customFormat="1" ht="51">
      <c r="A5" s="207" t="s">
        <v>46</v>
      </c>
      <c r="B5" s="208" t="s">
        <v>47</v>
      </c>
      <c r="C5" s="209" t="s">
        <v>48</v>
      </c>
      <c r="D5" s="207" t="s">
        <v>49</v>
      </c>
      <c r="E5" s="207" t="s">
        <v>50</v>
      </c>
      <c r="F5" s="207" t="s">
        <v>51</v>
      </c>
      <c r="G5" s="209" t="s">
        <v>52</v>
      </c>
      <c r="H5" s="209" t="s">
        <v>53</v>
      </c>
      <c r="I5" s="210" t="s">
        <v>54</v>
      </c>
    </row>
    <row r="6" ht="12.75">
      <c r="A6" s="11">
        <v>1</v>
      </c>
    </row>
    <row r="7" spans="1:2" ht="12.75">
      <c r="A7" s="11">
        <f>+A6+1</f>
        <v>2</v>
      </c>
      <c r="B7" s="2" t="s">
        <v>55</v>
      </c>
    </row>
    <row r="8" spans="1:11" ht="12.75">
      <c r="A8" s="11">
        <f aca="true" t="shared" si="0" ref="A8:A34">+A7+1</f>
        <v>3</v>
      </c>
      <c r="B8" s="27" t="s">
        <v>56</v>
      </c>
      <c r="C8" s="18">
        <f>+'Residential Sch 7'!$D$10</f>
        <v>11374965</v>
      </c>
      <c r="D8" s="150">
        <f>+'Residential Sch 7'!$E$10</f>
        <v>6.02</v>
      </c>
      <c r="E8" s="150"/>
      <c r="F8" s="211">
        <v>7</v>
      </c>
      <c r="G8" s="29">
        <f>+D8*C8</f>
        <v>68477289.3</v>
      </c>
      <c r="H8" s="29">
        <f>+F8*C8</f>
        <v>79624755</v>
      </c>
      <c r="I8" s="380" t="s">
        <v>488</v>
      </c>
      <c r="K8" s="213"/>
    </row>
    <row r="9" spans="1:9" ht="12.75">
      <c r="A9" s="11">
        <f t="shared" si="0"/>
        <v>4</v>
      </c>
      <c r="B9" s="27" t="s">
        <v>57</v>
      </c>
      <c r="C9" s="18">
        <f>+'Residential Sch 7'!$D$11</f>
        <v>3377</v>
      </c>
      <c r="D9" s="150">
        <f>+'Residential Sch 7'!$E$11</f>
        <v>14.85</v>
      </c>
      <c r="E9" s="150"/>
      <c r="F9" s="211">
        <f>ROUND(+F8/D8*D9,2)-0.02</f>
        <v>17.25</v>
      </c>
      <c r="G9" s="29">
        <f>+D9*C9</f>
        <v>50148.45</v>
      </c>
      <c r="H9" s="29">
        <f>+F9*C9</f>
        <v>58253.25</v>
      </c>
      <c r="I9" s="380"/>
    </row>
    <row r="10" spans="1:9" ht="12.75">
      <c r="A10" s="11">
        <f t="shared" si="0"/>
        <v>5</v>
      </c>
      <c r="B10" s="2" t="s">
        <v>58</v>
      </c>
      <c r="C10" s="214">
        <f>SUM(C8:C9)</f>
        <v>11378342</v>
      </c>
      <c r="E10" s="150"/>
      <c r="G10" s="151">
        <f>SUM(G8:G9)</f>
        <v>68527437.75</v>
      </c>
      <c r="H10" s="151">
        <f>SUM(H8:H9)</f>
        <v>79683008.25</v>
      </c>
      <c r="I10" s="215"/>
    </row>
    <row r="11" spans="1:9" ht="12.75">
      <c r="A11" s="11">
        <f t="shared" si="0"/>
        <v>6</v>
      </c>
      <c r="H11" s="216"/>
      <c r="I11" s="217"/>
    </row>
    <row r="12" spans="1:9" ht="12.75">
      <c r="A12" s="11">
        <f t="shared" si="0"/>
        <v>7</v>
      </c>
      <c r="B12" s="2" t="s">
        <v>59</v>
      </c>
      <c r="I12" s="218"/>
    </row>
    <row r="13" spans="1:9" ht="12.75">
      <c r="A13" s="11">
        <f t="shared" si="0"/>
        <v>8</v>
      </c>
      <c r="B13" s="27" t="s">
        <v>60</v>
      </c>
      <c r="C13" s="18">
        <f>+'Residential Sch 7'!$B$14</f>
        <v>5821836138.282999</v>
      </c>
      <c r="D13" s="155">
        <f>+'Residential Sch 7'!$E$14</f>
        <v>0.074314</v>
      </c>
      <c r="E13" s="155">
        <f>+'Residential Sch 7'!$E$29</f>
        <v>0.003245</v>
      </c>
      <c r="F13" s="219">
        <f>ROUND(SUM(D13:E13)+H32,6)</f>
        <v>0.084216</v>
      </c>
      <c r="G13" s="29">
        <f>+C13*SUM(D13:E13)</f>
        <v>451535789.04909116</v>
      </c>
      <c r="H13" s="29">
        <f>+C13*SUM(F13)</f>
        <v>490291752.22164106</v>
      </c>
      <c r="I13" s="351" t="s">
        <v>61</v>
      </c>
    </row>
    <row r="14" spans="1:9" ht="12.75">
      <c r="A14" s="11">
        <f t="shared" si="0"/>
        <v>9</v>
      </c>
      <c r="B14" s="27" t="s">
        <v>62</v>
      </c>
      <c r="C14" s="18"/>
      <c r="F14" s="33"/>
      <c r="G14" s="29"/>
      <c r="H14" s="29"/>
      <c r="I14" s="351"/>
    </row>
    <row r="15" spans="1:9" ht="12.75">
      <c r="A15" s="11">
        <f t="shared" si="0"/>
        <v>10</v>
      </c>
      <c r="B15" s="156" t="s">
        <v>63</v>
      </c>
      <c r="C15" s="18">
        <f>+'Residential Sch 7'!$B$15</f>
        <v>4944559234.168301</v>
      </c>
      <c r="D15" s="155"/>
      <c r="F15" s="33"/>
      <c r="G15" s="29"/>
      <c r="H15" s="29"/>
      <c r="I15" s="218"/>
    </row>
    <row r="16" spans="1:9" ht="12.75">
      <c r="A16" s="11">
        <f t="shared" si="0"/>
        <v>11</v>
      </c>
      <c r="B16" s="156" t="s">
        <v>64</v>
      </c>
      <c r="C16" s="18">
        <f>+'Residential Sch 7'!$C$15</f>
        <v>-111534469</v>
      </c>
      <c r="D16" s="155"/>
      <c r="F16" s="33"/>
      <c r="G16" s="29"/>
      <c r="H16" s="29"/>
      <c r="I16" s="218"/>
    </row>
    <row r="17" spans="1:9" ht="12.75">
      <c r="A17" s="11">
        <f t="shared" si="0"/>
        <v>12</v>
      </c>
      <c r="B17" s="27" t="s">
        <v>65</v>
      </c>
      <c r="C17" s="214">
        <f>SUM(C15:C16)</f>
        <v>4833024765.168301</v>
      </c>
      <c r="D17" s="155">
        <f>+'Residential Sch 7'!$E$15</f>
        <v>0.092122</v>
      </c>
      <c r="E17" s="155">
        <f>+'Residential Sch 7'!$E$29</f>
        <v>0.003245</v>
      </c>
      <c r="F17" s="219">
        <f>ROUND(SUM(D17:E17)+H32,6)-0.000001</f>
        <v>0.102023</v>
      </c>
      <c r="G17" s="29">
        <f>+C17*SUM(D17:E17)</f>
        <v>460911072.7798053</v>
      </c>
      <c r="H17" s="29">
        <f>+C17*SUM(F17)</f>
        <v>493079685.61676556</v>
      </c>
      <c r="I17" s="351" t="s">
        <v>66</v>
      </c>
    </row>
    <row r="18" spans="1:9" ht="12.75">
      <c r="A18" s="11">
        <f t="shared" si="0"/>
        <v>13</v>
      </c>
      <c r="B18" s="24" t="s">
        <v>67</v>
      </c>
      <c r="C18" s="214">
        <f>SUM(C17,C13)</f>
        <v>10654860903.4513</v>
      </c>
      <c r="F18" s="33"/>
      <c r="G18" s="13">
        <f>SUM(G17,G13)</f>
        <v>912446861.8288965</v>
      </c>
      <c r="H18" s="13">
        <f>SUM(H17,H13)</f>
        <v>983371437.8384066</v>
      </c>
      <c r="I18" s="215"/>
    </row>
    <row r="19" spans="1:9" ht="12.75">
      <c r="A19" s="11">
        <f t="shared" si="0"/>
        <v>14</v>
      </c>
      <c r="I19" s="218"/>
    </row>
    <row r="20" spans="1:9" ht="12.75">
      <c r="A20" s="11">
        <f t="shared" si="0"/>
        <v>15</v>
      </c>
      <c r="B20" s="24" t="s">
        <v>68</v>
      </c>
      <c r="C20" s="18">
        <f>+'Residential Sch 7'!$D$20</f>
        <v>33938723</v>
      </c>
      <c r="D20" s="155">
        <f>+'Residential Sch 7'!$E$20</f>
        <v>0.09181497773220361</v>
      </c>
      <c r="F20" s="219">
        <f>ROUND(SUM(D20)*(1+H28),6)</f>
        <v>0.099497</v>
      </c>
      <c r="G20" s="13">
        <f>+C20*SUM(D20:D20)</f>
        <v>3116083.0965044266</v>
      </c>
      <c r="H20" s="13">
        <f>+C20*F20</f>
        <v>3376801.122331</v>
      </c>
      <c r="I20" s="212" t="s">
        <v>69</v>
      </c>
    </row>
    <row r="21" spans="1:4" ht="12.75">
      <c r="A21" s="11">
        <f t="shared" si="0"/>
        <v>16</v>
      </c>
      <c r="B21" s="24"/>
      <c r="C21" s="18"/>
      <c r="D21" s="155"/>
    </row>
    <row r="22" spans="1:9" ht="13.5" thickBot="1">
      <c r="A22" s="11">
        <f t="shared" si="0"/>
        <v>17</v>
      </c>
      <c r="B22" s="2" t="s">
        <v>70</v>
      </c>
      <c r="C22" s="221">
        <f>SUM(C20,C18)</f>
        <v>10688799626.4513</v>
      </c>
      <c r="I22" s="218"/>
    </row>
    <row r="23" spans="1:9" ht="13.5" thickTop="1">
      <c r="A23" s="11">
        <f t="shared" si="0"/>
        <v>18</v>
      </c>
      <c r="I23" s="218"/>
    </row>
    <row r="24" spans="1:9" ht="13.5" thickBot="1">
      <c r="A24" s="11">
        <f t="shared" si="0"/>
        <v>19</v>
      </c>
      <c r="B24" s="2" t="s">
        <v>71</v>
      </c>
      <c r="G24" s="160">
        <f>SUM(G20,G18,G10)</f>
        <v>984090382.675401</v>
      </c>
      <c r="H24" s="160">
        <f>SUM(H20,H18,H10)</f>
        <v>1066431247.2107376</v>
      </c>
      <c r="I24" s="215"/>
    </row>
    <row r="25" spans="1:9" ht="13.5" thickTop="1">
      <c r="A25" s="11">
        <f t="shared" si="0"/>
        <v>20</v>
      </c>
      <c r="I25" s="218"/>
    </row>
    <row r="26" spans="1:9" ht="12.75">
      <c r="A26" s="11">
        <f t="shared" si="0"/>
        <v>21</v>
      </c>
      <c r="B26" s="222" t="s">
        <v>72</v>
      </c>
      <c r="C26" s="222"/>
      <c r="D26" s="222"/>
      <c r="E26" s="222"/>
      <c r="F26" s="222"/>
      <c r="G26" s="222"/>
      <c r="H26" s="29">
        <f>+'Rate Spread'!$M$11</f>
        <v>82341191.05819094</v>
      </c>
      <c r="I26" s="220" t="s">
        <v>489</v>
      </c>
    </row>
    <row r="27" spans="1:8" ht="12.75">
      <c r="A27" s="11">
        <f t="shared" si="0"/>
        <v>22</v>
      </c>
      <c r="B27" s="222" t="s">
        <v>73</v>
      </c>
      <c r="C27" s="222"/>
      <c r="D27" s="222"/>
      <c r="E27" s="222"/>
      <c r="F27" s="222"/>
      <c r="G27" s="222"/>
      <c r="H27" s="40">
        <f>SUM(G24,H26)</f>
        <v>1066431573.7335919</v>
      </c>
    </row>
    <row r="28" spans="1:8" ht="12.75">
      <c r="A28" s="11">
        <f t="shared" si="0"/>
        <v>23</v>
      </c>
      <c r="B28" s="222" t="s">
        <v>74</v>
      </c>
      <c r="C28" s="222"/>
      <c r="D28" s="222"/>
      <c r="E28" s="222"/>
      <c r="F28" s="222"/>
      <c r="G28" s="222"/>
      <c r="H28" s="16">
        <f>+H26/G24</f>
        <v>0.08367238671140527</v>
      </c>
    </row>
    <row r="29" spans="1:7" ht="12.75">
      <c r="A29" s="11">
        <f t="shared" si="0"/>
        <v>24</v>
      </c>
      <c r="B29" s="10"/>
      <c r="G29" s="40"/>
    </row>
    <row r="30" spans="1:8" ht="12.75">
      <c r="A30" s="11">
        <f t="shared" si="0"/>
        <v>25</v>
      </c>
      <c r="B30" s="24" t="s">
        <v>75</v>
      </c>
      <c r="G30" s="40"/>
      <c r="H30" s="40">
        <f>+H27-H10-G18-H20</f>
        <v>70924902.5323644</v>
      </c>
    </row>
    <row r="31" spans="1:9" ht="12.75">
      <c r="A31" s="11">
        <f t="shared" si="0"/>
        <v>26</v>
      </c>
      <c r="B31" s="24" t="s">
        <v>76</v>
      </c>
      <c r="H31" s="16">
        <f>+H30/SUM(G13,G17)</f>
        <v>0.07773044710812359</v>
      </c>
      <c r="I31" s="212" t="s">
        <v>69</v>
      </c>
    </row>
    <row r="32" spans="1:9" ht="12.75">
      <c r="A32" s="11">
        <f t="shared" si="0"/>
        <v>27</v>
      </c>
      <c r="B32" s="24" t="s">
        <v>77</v>
      </c>
      <c r="H32" s="223">
        <f>+H30/SUM(C18,)</f>
        <v>0.006656577047325935</v>
      </c>
      <c r="I32" s="220" t="s">
        <v>61</v>
      </c>
    </row>
    <row r="33" spans="1:3" ht="13.5" thickBot="1">
      <c r="A33" s="11">
        <f t="shared" si="0"/>
        <v>28</v>
      </c>
      <c r="C33" s="40"/>
    </row>
    <row r="34" spans="1:8" ht="13.5" thickBot="1">
      <c r="A34" s="11">
        <f t="shared" si="0"/>
        <v>29</v>
      </c>
      <c r="B34" s="24" t="s">
        <v>78</v>
      </c>
      <c r="C34" s="224"/>
      <c r="G34" s="40"/>
      <c r="H34" s="225">
        <f>+H24-H27</f>
        <v>-326.5228543281555</v>
      </c>
    </row>
  </sheetData>
  <sheetProtection/>
  <mergeCells count="1">
    <mergeCell ref="I8:I9"/>
  </mergeCells>
  <printOptions/>
  <pageMargins left="0.46" right="0.27" top="1.5" bottom="1" header="0.5" footer="0.5"/>
  <pageSetup fitToHeight="1" fitToWidth="1" horizontalDpi="600" verticalDpi="600" orientation="landscape" scale="93" r:id="rId1"/>
  <headerFooter alignWithMargins="0">
    <oddHeader>&amp;L&amp;"Times New Roman,Regular"Puget Sound Energy
Docket UE-0702300/UG-072301&amp;R&amp;"Times New Roman,Regular"Electric Rate Spread and Rate Design 
Exhibit A to Multiparty Settlement&amp;"Arial,Regular"
</oddHeader>
    <oddFooter>&amp;R&amp;"Times New Roman,Regular"Page &amp;P of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4.421875" style="2" bestFit="1" customWidth="1"/>
    <col min="2" max="2" width="28.140625" style="2" customWidth="1"/>
    <col min="3" max="3" width="14.00390625" style="2" bestFit="1" customWidth="1"/>
    <col min="4" max="5" width="10.7109375" style="2" bestFit="1" customWidth="1"/>
    <col min="6" max="6" width="12.7109375" style="2" bestFit="1" customWidth="1"/>
    <col min="7" max="7" width="13.421875" style="2" bestFit="1" customWidth="1"/>
    <col min="8" max="8" width="14.00390625" style="2" bestFit="1" customWidth="1"/>
    <col min="9" max="9" width="30.140625" style="2" bestFit="1" customWidth="1"/>
    <col min="10" max="16384" width="9.140625" style="2" customWidth="1"/>
  </cols>
  <sheetData>
    <row r="1" spans="1:9" ht="12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1" t="s">
        <v>44</v>
      </c>
      <c r="B2" s="1"/>
      <c r="C2" s="1"/>
      <c r="D2" s="1"/>
      <c r="E2" s="1"/>
      <c r="F2" s="1"/>
      <c r="G2" s="1"/>
      <c r="H2" s="1"/>
      <c r="I2" s="1"/>
    </row>
    <row r="3" spans="1:9" ht="12.75">
      <c r="A3" s="1" t="s">
        <v>79</v>
      </c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s="11" customFormat="1" ht="51">
      <c r="A5" s="207" t="str">
        <f>+'Rate Design Sch 7'!A5</f>
        <v>Line No.</v>
      </c>
      <c r="B5" s="208" t="str">
        <f>+'Rate Design Sch 7'!B5</f>
        <v>Description</v>
      </c>
      <c r="C5" s="207" t="str">
        <f>+'Rate Design Sch 7'!C5</f>
        <v>Bill
Determinants</v>
      </c>
      <c r="D5" s="207" t="str">
        <f>+'Rate Design Sch 7'!D5</f>
        <v>Base Rates
Effective 
9-1-07</v>
      </c>
      <c r="E5" s="207" t="str">
        <f>+'Rate Design Sch 7'!E5</f>
        <v>PCORC
Effective
9-1-07</v>
      </c>
      <c r="F5" s="207" t="str">
        <f>+'Rate Design Sch 7'!F5</f>
        <v>Proposed
Rates
Effective 2008</v>
      </c>
      <c r="G5" s="207" t="str">
        <f>+'Rate Design Sch 7'!G5</f>
        <v>Proforma
Revenue
Effective
9-1-07</v>
      </c>
      <c r="H5" s="207" t="str">
        <f>+'Rate Design Sch 7'!H5</f>
        <v>Proposed
Revenue
Effective
2008</v>
      </c>
      <c r="I5" s="208" t="str">
        <f>+'Rate Design Sch 7'!I5</f>
        <v>Notes:</v>
      </c>
    </row>
    <row r="6" ht="12.75">
      <c r="A6" s="11">
        <v>1</v>
      </c>
    </row>
    <row r="7" spans="1:2" ht="12.75">
      <c r="A7" s="11">
        <f aca="true" t="shared" si="0" ref="A7:A35">+A6+1</f>
        <v>2</v>
      </c>
      <c r="B7" s="2" t="s">
        <v>55</v>
      </c>
    </row>
    <row r="8" spans="1:11" ht="25.5" customHeight="1">
      <c r="A8" s="11">
        <f t="shared" si="0"/>
        <v>3</v>
      </c>
      <c r="B8" s="27" t="s">
        <v>56</v>
      </c>
      <c r="C8" s="18">
        <f>+'Secondary Sch 24'!$D$10</f>
        <v>1040499</v>
      </c>
      <c r="D8" s="150">
        <f>+'Secondary Sch 24'!$E$10</f>
        <v>6.8</v>
      </c>
      <c r="E8" s="150"/>
      <c r="F8" s="211">
        <v>9.25</v>
      </c>
      <c r="G8" s="29">
        <f>+D8*C8</f>
        <v>7075393.2</v>
      </c>
      <c r="H8" s="29">
        <f>+F8*C8</f>
        <v>9624615.75</v>
      </c>
      <c r="I8" s="380" t="s">
        <v>488</v>
      </c>
      <c r="K8" s="216">
        <v>16.77</v>
      </c>
    </row>
    <row r="9" spans="1:11" ht="12.75">
      <c r="A9" s="11">
        <f t="shared" si="0"/>
        <v>4</v>
      </c>
      <c r="B9" s="27" t="s">
        <v>57</v>
      </c>
      <c r="C9" s="18">
        <f>+'Secondary Sch 24'!$D$11</f>
        <v>401495</v>
      </c>
      <c r="D9" s="150">
        <f>+'Secondary Sch 24'!$E$11</f>
        <v>16.79</v>
      </c>
      <c r="F9" s="211">
        <v>23.5</v>
      </c>
      <c r="G9" s="29">
        <f>+D9*C9</f>
        <v>6741101.05</v>
      </c>
      <c r="H9" s="29">
        <f>+F9*C9</f>
        <v>9435132.5</v>
      </c>
      <c r="I9" s="380"/>
      <c r="K9" s="216">
        <f>(G8+G9)/$C$10</f>
        <v>9.581519930041317</v>
      </c>
    </row>
    <row r="10" spans="1:11" ht="12.75">
      <c r="A10" s="11">
        <f t="shared" si="0"/>
        <v>5</v>
      </c>
      <c r="B10" s="2" t="s">
        <v>58</v>
      </c>
      <c r="C10" s="214">
        <f>SUM(C8:C9)</f>
        <v>1441994</v>
      </c>
      <c r="G10" s="151">
        <f>SUM(G8:G9)</f>
        <v>13816494.25</v>
      </c>
      <c r="H10" s="151">
        <f>SUM(H8:H9)</f>
        <v>19059748.25</v>
      </c>
      <c r="I10" s="226"/>
      <c r="K10" s="15">
        <f>+K8/K9-1</f>
        <v>0.750244232903003</v>
      </c>
    </row>
    <row r="11" spans="1:11" ht="12.75">
      <c r="A11" s="11">
        <f t="shared" si="0"/>
        <v>6</v>
      </c>
      <c r="D11" s="216"/>
      <c r="K11" s="216">
        <f>(H8+H9)/$C$10</f>
        <v>13.21763353384272</v>
      </c>
    </row>
    <row r="12" spans="1:2" ht="12.75">
      <c r="A12" s="11">
        <f t="shared" si="0"/>
        <v>7</v>
      </c>
      <c r="B12" s="2" t="s">
        <v>59</v>
      </c>
    </row>
    <row r="13" spans="1:5" ht="12.75">
      <c r="A13" s="11">
        <f t="shared" si="0"/>
        <v>8</v>
      </c>
      <c r="B13" s="27" t="s">
        <v>80</v>
      </c>
      <c r="C13" s="18">
        <f>+'Secondary Sch 24'!$B$14</f>
        <v>1388857913.7160997</v>
      </c>
      <c r="E13" s="227"/>
    </row>
    <row r="14" spans="1:9" ht="12.75">
      <c r="A14" s="11">
        <f t="shared" si="0"/>
        <v>9</v>
      </c>
      <c r="B14" s="27" t="s">
        <v>64</v>
      </c>
      <c r="C14" s="18">
        <f>+'Secondary Sch 24'!$C$14</f>
        <v>-11965439</v>
      </c>
      <c r="E14" s="227"/>
      <c r="F14" s="228"/>
      <c r="G14" s="213"/>
      <c r="I14" s="226"/>
    </row>
    <row r="15" spans="1:9" ht="25.5">
      <c r="A15" s="11">
        <f t="shared" si="0"/>
        <v>10</v>
      </c>
      <c r="B15" s="156" t="s">
        <v>81</v>
      </c>
      <c r="C15" s="12">
        <f>SUM(C13:C14)</f>
        <v>1376892474.7160997</v>
      </c>
      <c r="D15" s="155">
        <f>+'Secondary Sch 24'!$E$14</f>
        <v>0.079049</v>
      </c>
      <c r="E15" s="155">
        <f>+'Secondary Sch 24'!$E$29</f>
        <v>0.003125</v>
      </c>
      <c r="F15" s="219">
        <f>ROUND(SUM(D15:E15)*(1+H33),6)-0.000001</f>
        <v>0.087462</v>
      </c>
      <c r="G15" s="29">
        <f>+C15*SUM(D15:E15)</f>
        <v>113144762.21732077</v>
      </c>
      <c r="H15" s="29">
        <f>+C15*SUM(F15)</f>
        <v>120425769.62361951</v>
      </c>
      <c r="I15" s="226" t="s">
        <v>82</v>
      </c>
    </row>
    <row r="16" spans="1:9" ht="12.75">
      <c r="A16" s="11">
        <f t="shared" si="0"/>
        <v>11</v>
      </c>
      <c r="B16" s="27" t="s">
        <v>83</v>
      </c>
      <c r="C16" s="18">
        <f>+'Secondary Sch 24'!$B$15</f>
        <v>1237234757.1153002</v>
      </c>
      <c r="D16" s="155"/>
      <c r="F16" s="33"/>
      <c r="G16" s="29"/>
      <c r="H16" s="29"/>
      <c r="I16" s="226"/>
    </row>
    <row r="17" spans="1:9" ht="12.75" customHeight="1">
      <c r="A17" s="11">
        <f t="shared" si="0"/>
        <v>12</v>
      </c>
      <c r="B17" s="27" t="s">
        <v>64</v>
      </c>
      <c r="C17" s="18">
        <f>+'Secondary Sch 24'!$C$15</f>
        <v>-7300019</v>
      </c>
      <c r="D17" s="155"/>
      <c r="F17" s="33"/>
      <c r="G17" s="29"/>
      <c r="H17" s="16">
        <f>(+H18-G18)/G18</f>
        <v>0.06436659990678816</v>
      </c>
      <c r="I17" s="226"/>
    </row>
    <row r="18" spans="1:9" ht="12.75">
      <c r="A18" s="11">
        <f t="shared" si="0"/>
        <v>13</v>
      </c>
      <c r="B18" s="156" t="s">
        <v>84</v>
      </c>
      <c r="C18" s="214">
        <f>SUM(C16:C17)</f>
        <v>1229934738.1153002</v>
      </c>
      <c r="D18" s="155">
        <f>+'Secondary Sch 24'!$E$15</f>
        <v>0.076264</v>
      </c>
      <c r="E18" s="155">
        <f>+E15</f>
        <v>0.003125</v>
      </c>
      <c r="F18" s="219">
        <f>ROUND(SUM(D18:E18)*(1+H33),6)</f>
        <v>0.084499</v>
      </c>
      <c r="G18" s="29">
        <f>+C18*SUM(D18:E18)</f>
        <v>97643288.92423557</v>
      </c>
      <c r="H18" s="29">
        <f>+C18*SUM(F18)</f>
        <v>103928255.43600476</v>
      </c>
      <c r="I18" s="226" t="s">
        <v>69</v>
      </c>
    </row>
    <row r="19" spans="1:9" ht="12.75">
      <c r="A19" s="11">
        <f t="shared" si="0"/>
        <v>14</v>
      </c>
      <c r="B19" s="24" t="s">
        <v>67</v>
      </c>
      <c r="C19" s="214">
        <f>SUM(C18,C15)</f>
        <v>2606827212.8314</v>
      </c>
      <c r="F19" s="33"/>
      <c r="G19" s="13">
        <f>SUM(G18,G15)</f>
        <v>210788051.14155632</v>
      </c>
      <c r="H19" s="13">
        <f>SUM(H18,H15)</f>
        <v>224354025.05962425</v>
      </c>
      <c r="I19" s="226"/>
    </row>
    <row r="20" spans="1:9" ht="12.75">
      <c r="A20" s="11">
        <f t="shared" si="0"/>
        <v>15</v>
      </c>
      <c r="I20" s="226"/>
    </row>
    <row r="21" spans="1:9" ht="12.75">
      <c r="A21" s="11">
        <f t="shared" si="0"/>
        <v>16</v>
      </c>
      <c r="B21" s="27" t="s">
        <v>68</v>
      </c>
      <c r="C21" s="19">
        <f>+'Secondary Sch 24'!$D$20</f>
        <v>10444821</v>
      </c>
      <c r="D21" s="155">
        <f>+'Secondary Sch 24'!$E$20</f>
        <v>0.08504063058114877</v>
      </c>
      <c r="F21" s="219">
        <f>ROUND(SUM(D21)*(1+H33),6)</f>
        <v>0.090514</v>
      </c>
      <c r="G21" s="13">
        <f>+C21*SUM(D21:D21)</f>
        <v>888234.164147225</v>
      </c>
      <c r="H21" s="13">
        <f>+C21*SUM(F21)</f>
        <v>945402.527994</v>
      </c>
      <c r="I21" s="226" t="s">
        <v>69</v>
      </c>
    </row>
    <row r="22" spans="1:3" ht="13.5" thickBot="1">
      <c r="A22" s="11">
        <f t="shared" si="0"/>
        <v>17</v>
      </c>
      <c r="B22" s="2" t="s">
        <v>70</v>
      </c>
      <c r="C22" s="221">
        <f>SUM(C21,C19)</f>
        <v>2617272033.8314</v>
      </c>
    </row>
    <row r="23" ht="13.5" thickTop="1">
      <c r="A23" s="11">
        <f t="shared" si="0"/>
        <v>18</v>
      </c>
    </row>
    <row r="24" spans="1:9" ht="13.5" thickBot="1">
      <c r="A24" s="11">
        <f t="shared" si="0"/>
        <v>19</v>
      </c>
      <c r="B24" s="2" t="s">
        <v>71</v>
      </c>
      <c r="D24" s="40"/>
      <c r="E24" s="40"/>
      <c r="F24" s="40"/>
      <c r="G24" s="160">
        <f>SUM(G21,G19,G10)</f>
        <v>225492779.55570355</v>
      </c>
      <c r="H24" s="160">
        <f>SUM(H21,H19,H10)</f>
        <v>244359175.83761826</v>
      </c>
      <c r="I24" s="226"/>
    </row>
    <row r="25" spans="1:9" ht="13.5" thickTop="1">
      <c r="A25" s="11">
        <f t="shared" si="0"/>
        <v>20</v>
      </c>
      <c r="D25" s="29"/>
      <c r="E25" s="29"/>
      <c r="F25" s="29"/>
      <c r="I25" s="226"/>
    </row>
    <row r="26" spans="1:9" ht="12.75">
      <c r="A26" s="11">
        <f t="shared" si="0"/>
        <v>21</v>
      </c>
      <c r="B26" s="222" t="s">
        <v>72</v>
      </c>
      <c r="C26" s="222"/>
      <c r="D26" s="222"/>
      <c r="E26" s="222"/>
      <c r="F26" s="222"/>
      <c r="G26" s="222"/>
      <c r="H26" s="29">
        <f>+'Rate Spread'!$M$14</f>
        <v>18867519.051614463</v>
      </c>
      <c r="I26" s="220" t="s">
        <v>489</v>
      </c>
    </row>
    <row r="27" spans="1:8" ht="12.75">
      <c r="A27" s="11">
        <f t="shared" si="0"/>
        <v>22</v>
      </c>
      <c r="B27" s="222" t="s">
        <v>73</v>
      </c>
      <c r="C27" s="222"/>
      <c r="D27" s="222"/>
      <c r="E27" s="222"/>
      <c r="F27" s="222"/>
      <c r="G27" s="222"/>
      <c r="H27" s="40">
        <f>SUM(G24,H26)</f>
        <v>244360298.607318</v>
      </c>
    </row>
    <row r="28" spans="1:8" ht="12.75">
      <c r="A28" s="11">
        <f t="shared" si="0"/>
        <v>23</v>
      </c>
      <c r="B28" s="222" t="s">
        <v>74</v>
      </c>
      <c r="C28" s="222"/>
      <c r="D28" s="222"/>
      <c r="E28" s="222"/>
      <c r="F28" s="222"/>
      <c r="G28" s="222"/>
      <c r="H28" s="16">
        <f>+H26/G24</f>
        <v>0.08367238671140516</v>
      </c>
    </row>
    <row r="29" spans="1:7" ht="12.75">
      <c r="A29" s="11">
        <f t="shared" si="0"/>
        <v>24</v>
      </c>
      <c r="B29" s="10"/>
      <c r="C29" s="229"/>
      <c r="D29" s="155"/>
      <c r="G29" s="40"/>
    </row>
    <row r="30" spans="1:8" ht="12.75">
      <c r="A30" s="11">
        <f t="shared" si="0"/>
        <v>25</v>
      </c>
      <c r="B30" s="10" t="s">
        <v>85</v>
      </c>
      <c r="G30" s="40"/>
      <c r="H30" s="40">
        <f>+H27-H10</f>
        <v>225300550.357318</v>
      </c>
    </row>
    <row r="31" spans="1:8" ht="12.75">
      <c r="A31" s="11">
        <f t="shared" si="0"/>
        <v>26</v>
      </c>
      <c r="B31" s="10" t="s">
        <v>86</v>
      </c>
      <c r="H31" s="40">
        <f>SUM(G15,G18,G21)</f>
        <v>211676285.30570355</v>
      </c>
    </row>
    <row r="32" spans="1:8" ht="12.75">
      <c r="A32" s="11">
        <f t="shared" si="0"/>
        <v>27</v>
      </c>
      <c r="B32" s="10" t="s">
        <v>87</v>
      </c>
      <c r="H32" s="213">
        <f>+H30-H31</f>
        <v>13624265.051614463</v>
      </c>
    </row>
    <row r="33" spans="1:9" ht="12.75">
      <c r="A33" s="11">
        <f t="shared" si="0"/>
        <v>28</v>
      </c>
      <c r="B33" s="10" t="s">
        <v>88</v>
      </c>
      <c r="H33" s="16">
        <f>+H32/H31</f>
        <v>0.06436368170358932</v>
      </c>
      <c r="I33" s="226" t="s">
        <v>69</v>
      </c>
    </row>
    <row r="34" spans="1:4" ht="13.5" thickBot="1">
      <c r="A34" s="11">
        <f t="shared" si="0"/>
        <v>29</v>
      </c>
      <c r="C34" s="40"/>
      <c r="D34" s="155"/>
    </row>
    <row r="35" spans="1:8" ht="13.5" thickBot="1">
      <c r="A35" s="11">
        <f t="shared" si="0"/>
        <v>30</v>
      </c>
      <c r="B35" s="24" t="str">
        <f>+'Rate Design Sch 7'!$B$34</f>
        <v>Over (Under) Recover Target Rate Spread</v>
      </c>
      <c r="C35" s="224"/>
      <c r="D35" s="155"/>
      <c r="G35" s="40"/>
      <c r="H35" s="225">
        <f>+H24-H27</f>
        <v>-1122.7696997523308</v>
      </c>
    </row>
  </sheetData>
  <sheetProtection/>
  <mergeCells count="1">
    <mergeCell ref="I8:I9"/>
  </mergeCells>
  <printOptions/>
  <pageMargins left="0.46" right="0.27" top="1.5" bottom="1" header="0.5" footer="0.5"/>
  <pageSetup fitToHeight="1" fitToWidth="1" horizontalDpi="600" verticalDpi="600" orientation="landscape" scale="88" r:id="rId3"/>
  <headerFooter alignWithMargins="0">
    <oddHeader>&amp;L&amp;"Times New Roman,Regular"Puget Sound Energy
Docket UE-0702300/UG-072301&amp;R&amp;"Times New Roman,Regular"Electric Rate Spread and Rate Design 
Exhibit A to Multiparty Settlement&amp;"Arial,Regular"
</oddHeader>
    <oddFooter>&amp;R&amp;"Times New Roman,Regular"Page &amp;P of &amp;N</oddFooter>
  </headerFooter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9"/>
  <sheetViews>
    <sheetView zoomScale="75" zoomScaleNormal="75" zoomScalePageLayoutView="0" workbookViewId="0" topLeftCell="A1">
      <selection activeCell="H107" sqref="H107"/>
    </sheetView>
  </sheetViews>
  <sheetFormatPr defaultColWidth="9.140625" defaultRowHeight="12.75"/>
  <cols>
    <col min="1" max="1" width="4.57421875" style="2" bestFit="1" customWidth="1"/>
    <col min="2" max="2" width="40.7109375" style="2" bestFit="1" customWidth="1"/>
    <col min="3" max="3" width="16.28125" style="2" bestFit="1" customWidth="1"/>
    <col min="4" max="4" width="15.8515625" style="2" bestFit="1" customWidth="1"/>
    <col min="5" max="5" width="11.8515625" style="2" bestFit="1" customWidth="1"/>
    <col min="6" max="6" width="12.7109375" style="2" bestFit="1" customWidth="1"/>
    <col min="7" max="7" width="16.421875" style="2" bestFit="1" customWidth="1"/>
    <col min="8" max="8" width="14.7109375" style="2" bestFit="1" customWidth="1"/>
    <col min="9" max="9" width="37.140625" style="2" bestFit="1" customWidth="1"/>
    <col min="10" max="10" width="5.00390625" style="2" customWidth="1"/>
    <col min="11" max="11" width="16.28125" style="2" bestFit="1" customWidth="1"/>
    <col min="12" max="12" width="12.00390625" style="2" bestFit="1" customWidth="1"/>
    <col min="13" max="16384" width="9.140625" style="2" customWidth="1"/>
  </cols>
  <sheetData>
    <row r="1" spans="1:9" ht="12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1" t="s">
        <v>44</v>
      </c>
      <c r="B2" s="1"/>
      <c r="C2" s="1"/>
      <c r="D2" s="1"/>
      <c r="E2" s="1"/>
      <c r="F2" s="1"/>
      <c r="G2" s="1"/>
      <c r="H2" s="1"/>
      <c r="I2" s="1"/>
    </row>
    <row r="3" spans="1:9" ht="12.75">
      <c r="A3" s="1" t="s">
        <v>89</v>
      </c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s="11" customFormat="1" ht="51">
      <c r="A5" s="207" t="str">
        <f>+'Rate Design Sch 7'!A5</f>
        <v>Line No.</v>
      </c>
      <c r="B5" s="208" t="str">
        <f>+'Rate Design Sch 7'!B5</f>
        <v>Description</v>
      </c>
      <c r="C5" s="207" t="str">
        <f>+'Rate Design Sch 7'!C5</f>
        <v>Bill
Determinants</v>
      </c>
      <c r="D5" s="207" t="str">
        <f>+'Rate Design Sch 7'!D5</f>
        <v>Base Rates
Effective 
9-1-07</v>
      </c>
      <c r="E5" s="207" t="str">
        <f>+'Rate Design Sch 7'!E5</f>
        <v>PCORC
Effective
9-1-07</v>
      </c>
      <c r="F5" s="207" t="str">
        <f>+'Rate Design Sch 7'!F5</f>
        <v>Proposed
Rates
Effective 2008</v>
      </c>
      <c r="G5" s="207" t="str">
        <f>+'Rate Design Sch 7'!G5</f>
        <v>Proforma
Revenue
Effective
9-1-07</v>
      </c>
      <c r="H5" s="207" t="str">
        <f>+'Rate Design Sch 7'!H5</f>
        <v>Proposed
Revenue
Effective
2008</v>
      </c>
      <c r="I5" s="208" t="str">
        <f>+'Rate Design Sch 7'!I5</f>
        <v>Notes:</v>
      </c>
    </row>
    <row r="6" spans="1:12" s="11" customFormat="1" ht="12.75">
      <c r="A6" s="11">
        <v>1</v>
      </c>
      <c r="B6" s="230"/>
      <c r="C6" s="231"/>
      <c r="D6" s="232"/>
      <c r="E6" s="232"/>
      <c r="F6" s="232"/>
      <c r="G6" s="232"/>
      <c r="H6" s="231"/>
      <c r="I6" s="233"/>
      <c r="K6" s="234"/>
      <c r="L6" s="234"/>
    </row>
    <row r="7" spans="1:15" ht="13.5" thickBot="1">
      <c r="A7" s="11">
        <f aca="true" t="shared" si="0" ref="A7:A49">+A6+1</f>
        <v>2</v>
      </c>
      <c r="B7" s="2" t="s">
        <v>55</v>
      </c>
      <c r="C7" s="35">
        <f>+'Secondary Sch 25'!$D$10</f>
        <v>93148</v>
      </c>
      <c r="D7" s="150">
        <f>+'Secondary Sch 25'!$E$10</f>
        <v>27.2</v>
      </c>
      <c r="E7" s="150"/>
      <c r="F7" s="235">
        <v>50</v>
      </c>
      <c r="G7" s="36">
        <f>+C7*D7</f>
        <v>2533625.6</v>
      </c>
      <c r="H7" s="36">
        <f>+C7*F7</f>
        <v>4657400</v>
      </c>
      <c r="I7" s="218" t="s">
        <v>488</v>
      </c>
      <c r="J7" s="234"/>
      <c r="K7" s="216">
        <v>73.63</v>
      </c>
      <c r="M7" s="11"/>
      <c r="N7" s="216"/>
      <c r="O7" s="150"/>
    </row>
    <row r="8" spans="1:13" ht="13.5" thickTop="1">
      <c r="A8" s="11">
        <f t="shared" si="0"/>
        <v>3</v>
      </c>
      <c r="F8" s="33"/>
      <c r="G8" s="29"/>
      <c r="H8" s="29"/>
      <c r="I8" s="218"/>
      <c r="M8" s="11"/>
    </row>
    <row r="9" spans="1:9" ht="13.5" thickBot="1">
      <c r="A9" s="11">
        <f t="shared" si="0"/>
        <v>4</v>
      </c>
      <c r="B9" s="2" t="s">
        <v>59</v>
      </c>
      <c r="F9" s="33"/>
      <c r="G9" s="29"/>
      <c r="H9" s="29"/>
      <c r="I9" s="218"/>
    </row>
    <row r="10" spans="1:21" ht="13.5" thickBot="1">
      <c r="A10" s="11">
        <f t="shared" si="0"/>
        <v>5</v>
      </c>
      <c r="B10" s="27" t="s">
        <v>90</v>
      </c>
      <c r="F10" s="33"/>
      <c r="G10" s="29"/>
      <c r="H10" s="29"/>
      <c r="I10" s="218"/>
      <c r="K10" s="385" t="s">
        <v>508</v>
      </c>
      <c r="L10" s="386"/>
      <c r="M10" s="386"/>
      <c r="N10" s="386"/>
      <c r="O10" s="386"/>
      <c r="P10" s="386"/>
      <c r="Q10" s="386"/>
      <c r="R10" s="386"/>
      <c r="S10" s="386"/>
      <c r="T10" s="386"/>
      <c r="U10" s="387"/>
    </row>
    <row r="11" spans="1:21" ht="12.75" customHeight="1">
      <c r="A11" s="11">
        <f t="shared" si="0"/>
        <v>6</v>
      </c>
      <c r="B11" s="156" t="s">
        <v>80</v>
      </c>
      <c r="C11" s="18">
        <f>+'Secondary Sch 25'!$B$12</f>
        <v>781028543.1319999</v>
      </c>
      <c r="D11" s="155">
        <f>+'Secondary Sch 25'!$E$12</f>
        <v>0.082041</v>
      </c>
      <c r="E11" s="155">
        <f>+'Secondary Sch 25'!$E$35</f>
        <v>0.003115</v>
      </c>
      <c r="F11" s="219">
        <f>ROUND(((1+K17)*(SUM(D11:E11))),6)</f>
        <v>0.088261</v>
      </c>
      <c r="G11" s="29">
        <f>+C11*SUM(D11:E11)</f>
        <v>66509266.61894859</v>
      </c>
      <c r="H11" s="29">
        <f>+C11*F11</f>
        <v>68934360.24537344</v>
      </c>
      <c r="I11" s="388" t="s">
        <v>558</v>
      </c>
      <c r="K11" s="240">
        <f>SUM(G11:G12)</f>
        <v>125981739.96257104</v>
      </c>
      <c r="L11" s="48" t="s">
        <v>498</v>
      </c>
      <c r="M11" s="353" t="s">
        <v>493</v>
      </c>
      <c r="N11" s="33"/>
      <c r="O11" s="33"/>
      <c r="P11" s="33"/>
      <c r="Q11" s="33"/>
      <c r="R11" s="33"/>
      <c r="S11" s="33"/>
      <c r="T11" s="33"/>
      <c r="U11" s="51"/>
    </row>
    <row r="12" spans="1:21" ht="12.75">
      <c r="A12" s="11">
        <f t="shared" si="0"/>
        <v>7</v>
      </c>
      <c r="B12" s="156" t="s">
        <v>83</v>
      </c>
      <c r="C12" s="18">
        <f>+'Secondary Sch 25'!$B$13</f>
        <v>766793106.5449001</v>
      </c>
      <c r="D12" s="155">
        <f>+'Secondary Sch 25'!$E$13</f>
        <v>0.074445</v>
      </c>
      <c r="E12" s="155">
        <f>+'Secondary Sch 25'!$E$35</f>
        <v>0.003115</v>
      </c>
      <c r="F12" s="219">
        <f>ROUND(((1+K17)*(SUM(D12:E12))),6)</f>
        <v>0.080388</v>
      </c>
      <c r="G12" s="29">
        <f>+C12*SUM(D12:E12)</f>
        <v>59472473.34362245</v>
      </c>
      <c r="H12" s="29">
        <f>+C12*F12</f>
        <v>61640964.24893143</v>
      </c>
      <c r="I12" s="388"/>
      <c r="K12" s="240">
        <f>+K11-K31</f>
        <v>98336205.0472728</v>
      </c>
      <c r="L12" s="48" t="s">
        <v>499</v>
      </c>
      <c r="M12" s="353" t="s">
        <v>496</v>
      </c>
      <c r="N12" s="33"/>
      <c r="O12" s="33"/>
      <c r="P12" s="33"/>
      <c r="Q12" s="33"/>
      <c r="R12" s="33"/>
      <c r="S12" s="33"/>
      <c r="T12" s="33"/>
      <c r="U12" s="51"/>
    </row>
    <row r="13" spans="1:21" ht="12.75">
      <c r="A13" s="11">
        <f t="shared" si="0"/>
        <v>8</v>
      </c>
      <c r="B13" s="27" t="s">
        <v>91</v>
      </c>
      <c r="C13" s="18">
        <f>SUM(C11:C12)</f>
        <v>1547821649.6769</v>
      </c>
      <c r="D13" s="155"/>
      <c r="F13" s="33"/>
      <c r="H13" s="29"/>
      <c r="I13" s="388"/>
      <c r="K13" s="240">
        <f>+K31</f>
        <v>27645534.915298235</v>
      </c>
      <c r="L13" s="48" t="s">
        <v>500</v>
      </c>
      <c r="M13" s="353" t="str">
        <f>+N31</f>
        <v>Sch 25 + Sch 29 Demand Charge Revenue - First Block Energy Charge</v>
      </c>
      <c r="N13" s="33"/>
      <c r="O13" s="33"/>
      <c r="P13" s="33"/>
      <c r="Q13" s="33"/>
      <c r="R13" s="33"/>
      <c r="S13" s="33"/>
      <c r="T13" s="33"/>
      <c r="U13" s="51"/>
    </row>
    <row r="14" spans="1:21" ht="12.75">
      <c r="A14" s="11">
        <f t="shared" si="0"/>
        <v>9</v>
      </c>
      <c r="B14" s="27" t="s">
        <v>92</v>
      </c>
      <c r="C14" s="18"/>
      <c r="F14" s="33"/>
      <c r="H14" s="29"/>
      <c r="I14" s="218"/>
      <c r="K14" s="240">
        <f>+K12*H40</f>
        <v>3230765.491592119</v>
      </c>
      <c r="L14" s="356" t="s">
        <v>501</v>
      </c>
      <c r="M14" s="353" t="s">
        <v>497</v>
      </c>
      <c r="N14" s="33"/>
      <c r="O14" s="33"/>
      <c r="P14" s="33"/>
      <c r="Q14" s="33"/>
      <c r="R14" s="33"/>
      <c r="S14" s="33"/>
      <c r="T14" s="33"/>
      <c r="U14" s="51"/>
    </row>
    <row r="15" spans="1:21" ht="12.75">
      <c r="A15" s="11">
        <f t="shared" si="0"/>
        <v>10</v>
      </c>
      <c r="B15" s="156" t="s">
        <v>93</v>
      </c>
      <c r="C15" s="18">
        <f>+'Secondary Sch 25'!$B$14</f>
        <v>1499730302.954</v>
      </c>
      <c r="D15" s="155"/>
      <c r="E15" s="155"/>
      <c r="F15" s="33"/>
      <c r="H15" s="29"/>
      <c r="I15" s="218"/>
      <c r="K15" s="240">
        <f>+K13*H41</f>
        <v>1362411.3340251525</v>
      </c>
      <c r="L15" s="356" t="s">
        <v>502</v>
      </c>
      <c r="M15" s="353" t="s">
        <v>506</v>
      </c>
      <c r="N15" s="33"/>
      <c r="O15" s="33"/>
      <c r="P15" s="33"/>
      <c r="Q15" s="33"/>
      <c r="R15" s="33"/>
      <c r="S15" s="33"/>
      <c r="T15" s="33"/>
      <c r="U15" s="51"/>
    </row>
    <row r="16" spans="1:21" ht="12.75">
      <c r="A16" s="11">
        <f t="shared" si="0"/>
        <v>11</v>
      </c>
      <c r="B16" s="156" t="s">
        <v>64</v>
      </c>
      <c r="C16" s="18">
        <f>+'Secondary Sch 25'!$C$14</f>
        <v>-529631.9585296367</v>
      </c>
      <c r="D16" s="155"/>
      <c r="E16" s="155"/>
      <c r="F16" s="33"/>
      <c r="G16" s="29"/>
      <c r="H16" s="29"/>
      <c r="I16" s="218"/>
      <c r="K16" s="245">
        <f>SUM(K14:K15)</f>
        <v>4593176.8256172715</v>
      </c>
      <c r="L16" s="48" t="s">
        <v>503</v>
      </c>
      <c r="M16" s="353" t="s">
        <v>507</v>
      </c>
      <c r="N16" s="33"/>
      <c r="O16" s="33"/>
      <c r="P16" s="33"/>
      <c r="Q16" s="33"/>
      <c r="R16" s="33"/>
      <c r="S16" s="33"/>
      <c r="T16" s="33"/>
      <c r="U16" s="51"/>
    </row>
    <row r="17" spans="1:21" ht="13.5" thickBot="1">
      <c r="A17" s="11">
        <f t="shared" si="0"/>
        <v>12</v>
      </c>
      <c r="B17" s="27" t="s">
        <v>94</v>
      </c>
      <c r="C17" s="18">
        <f>SUM(C15:C16)</f>
        <v>1499200670.9954703</v>
      </c>
      <c r="D17" s="155">
        <f>+'Secondary Sch 25'!$E$14</f>
        <v>0.060417000000000005</v>
      </c>
      <c r="E17" s="155">
        <f>+'Secondary Sch 25'!$E$35</f>
        <v>0.003115</v>
      </c>
      <c r="F17" s="219">
        <f>ROUND((H38-H7-H30-H32-H23-H11-H12-'Rate Design Sch 29'!H36)/SUM(C17),6)-0</f>
        <v>0.063576</v>
      </c>
      <c r="G17" s="29">
        <f>+C17*SUM(D17:E17)</f>
        <v>95247217.02968423</v>
      </c>
      <c r="H17" s="29">
        <f>+C17*F17</f>
        <v>95313181.859208</v>
      </c>
      <c r="I17" s="220" t="s">
        <v>95</v>
      </c>
      <c r="K17" s="327">
        <f>+K16/K11</f>
        <v>0.03645906801241114</v>
      </c>
      <c r="L17" s="357" t="s">
        <v>504</v>
      </c>
      <c r="M17" s="354" t="s">
        <v>505</v>
      </c>
      <c r="N17" s="249"/>
      <c r="O17" s="249"/>
      <c r="P17" s="249"/>
      <c r="Q17" s="249"/>
      <c r="R17" s="249"/>
      <c r="S17" s="249"/>
      <c r="T17" s="249"/>
      <c r="U17" s="261"/>
    </row>
    <row r="18" spans="1:9" ht="12.75">
      <c r="A18" s="11">
        <f t="shared" si="0"/>
        <v>13</v>
      </c>
      <c r="B18" s="24" t="s">
        <v>96</v>
      </c>
      <c r="C18" s="214">
        <f>SUM(C17,C13)</f>
        <v>3047022320.67237</v>
      </c>
      <c r="D18" s="155"/>
      <c r="E18" s="155"/>
      <c r="F18" s="228"/>
      <c r="G18" s="13">
        <f>SUM(G17,G11:G12)</f>
        <v>221228956.99225527</v>
      </c>
      <c r="H18" s="13">
        <f>SUM(H17,H11:H12)</f>
        <v>225888506.35351288</v>
      </c>
      <c r="I18" s="218"/>
    </row>
    <row r="19" spans="1:9" ht="12.75">
      <c r="A19" s="11">
        <f t="shared" si="0"/>
        <v>14</v>
      </c>
      <c r="F19" s="228"/>
      <c r="G19" s="29"/>
      <c r="H19" s="29"/>
      <c r="I19" s="218"/>
    </row>
    <row r="20" spans="1:9" ht="12.75">
      <c r="A20" s="11">
        <f t="shared" si="0"/>
        <v>15</v>
      </c>
      <c r="B20" s="24" t="s">
        <v>68</v>
      </c>
      <c r="F20" s="14"/>
      <c r="G20" s="29"/>
      <c r="H20" s="29"/>
      <c r="I20" s="218"/>
    </row>
    <row r="21" spans="1:9" ht="12.75">
      <c r="A21" s="11">
        <f t="shared" si="0"/>
        <v>16</v>
      </c>
      <c r="B21" s="22" t="s">
        <v>97</v>
      </c>
      <c r="C21" s="19">
        <f>-C23*(D23-(D17+E17))/(D17-D11)</f>
        <v>10197100.800890937</v>
      </c>
      <c r="F21" s="33"/>
      <c r="G21" s="29"/>
      <c r="H21" s="29"/>
      <c r="I21" s="218"/>
    </row>
    <row r="22" spans="1:9" ht="12.75">
      <c r="A22" s="11">
        <f t="shared" si="0"/>
        <v>17</v>
      </c>
      <c r="B22" s="22" t="s">
        <v>98</v>
      </c>
      <c r="C22" s="19">
        <f>C23-C21</f>
        <v>2650639.1991090626</v>
      </c>
      <c r="F22" s="33"/>
      <c r="G22" s="29"/>
      <c r="H22" s="29"/>
      <c r="I22" s="218"/>
    </row>
    <row r="23" spans="1:9" ht="12.75">
      <c r="A23" s="11">
        <f t="shared" si="0"/>
        <v>18</v>
      </c>
      <c r="B23" s="22" t="s">
        <v>99</v>
      </c>
      <c r="C23" s="19">
        <f>+'Secondary Sch 25'!$D$26</f>
        <v>12847740</v>
      </c>
      <c r="D23" s="155">
        <f>+'Secondary Sch 25'!$E$26</f>
        <v>0.080694715599667</v>
      </c>
      <c r="F23" s="237">
        <f>ROUND(D23*(1+H40),6)</f>
        <v>0.083346</v>
      </c>
      <c r="G23" s="29">
        <f>+C23*SUM(D23:D23)</f>
        <v>1036744.7253984656</v>
      </c>
      <c r="H23" s="29">
        <f>+C23*SUM(F23)</f>
        <v>1070807.73804</v>
      </c>
      <c r="I23" s="218" t="s">
        <v>100</v>
      </c>
    </row>
    <row r="24" spans="1:9" ht="13.5" thickBot="1">
      <c r="A24" s="11">
        <f t="shared" si="0"/>
        <v>19</v>
      </c>
      <c r="B24" s="24" t="s">
        <v>70</v>
      </c>
      <c r="C24" s="221">
        <f>SUM(C23,C18)</f>
        <v>3059870060.67237</v>
      </c>
      <c r="F24" s="33"/>
      <c r="G24" s="36">
        <f>SUM(G23,G18)</f>
        <v>222265701.71765372</v>
      </c>
      <c r="H24" s="36">
        <f>SUM(H23,H18)</f>
        <v>226959314.09155288</v>
      </c>
      <c r="I24" s="218"/>
    </row>
    <row r="25" spans="1:9" ht="14.25" thickBot="1" thickTop="1">
      <c r="A25" s="11">
        <f t="shared" si="0"/>
        <v>20</v>
      </c>
      <c r="C25" s="238"/>
      <c r="F25" s="33"/>
      <c r="G25" s="29"/>
      <c r="H25" s="29"/>
      <c r="I25" s="218"/>
    </row>
    <row r="26" spans="1:13" ht="13.5" thickBot="1">
      <c r="A26" s="11">
        <f t="shared" si="0"/>
        <v>21</v>
      </c>
      <c r="B26" s="24" t="s">
        <v>101</v>
      </c>
      <c r="F26" s="33"/>
      <c r="G26" s="29"/>
      <c r="H26" s="29"/>
      <c r="I26" s="218"/>
      <c r="K26" s="382" t="s">
        <v>102</v>
      </c>
      <c r="L26" s="383"/>
      <c r="M26" s="384"/>
    </row>
    <row r="27" spans="1:14" ht="12.75">
      <c r="A27" s="11">
        <f t="shared" si="0"/>
        <v>22</v>
      </c>
      <c r="B27" s="27" t="s">
        <v>103</v>
      </c>
      <c r="C27" s="18">
        <f>+'Secondary Sch 25'!$B$17</f>
        <v>6636130.95</v>
      </c>
      <c r="D27" s="150">
        <v>0</v>
      </c>
      <c r="F27" s="239">
        <v>0</v>
      </c>
      <c r="G27" s="29">
        <f>+C27*D27</f>
        <v>0</v>
      </c>
      <c r="H27" s="29">
        <f>+C27*F27</f>
        <v>0</v>
      </c>
      <c r="I27" s="381" t="s">
        <v>104</v>
      </c>
      <c r="K27" s="240">
        <v>80035080.51364033</v>
      </c>
      <c r="L27" s="33"/>
      <c r="M27" s="51"/>
      <c r="N27" s="2" t="s">
        <v>491</v>
      </c>
    </row>
    <row r="28" spans="1:13" ht="12.75">
      <c r="A28" s="11">
        <f t="shared" si="0"/>
        <v>23</v>
      </c>
      <c r="B28" s="27" t="s">
        <v>105</v>
      </c>
      <c r="C28" s="18">
        <f>+'Secondary Sch 25'!$D$18</f>
        <v>2383723</v>
      </c>
      <c r="D28" s="150">
        <f>+'Secondary Sch 25'!$E$18</f>
        <v>8.31</v>
      </c>
      <c r="F28" s="241">
        <f>ROUND(((1+H41)*(C28*D28))/C28,2)</f>
        <v>8.72</v>
      </c>
      <c r="G28" s="29">
        <f>+C28*D28</f>
        <v>19808738.130000003</v>
      </c>
      <c r="H28" s="29">
        <f>+C28*F28</f>
        <v>20786064.560000002</v>
      </c>
      <c r="I28" s="381"/>
      <c r="K28" s="242"/>
      <c r="L28" s="243"/>
      <c r="M28" s="244"/>
    </row>
    <row r="29" spans="1:14" ht="12.75">
      <c r="A29" s="11">
        <f t="shared" si="0"/>
        <v>24</v>
      </c>
      <c r="B29" s="27" t="s">
        <v>106</v>
      </c>
      <c r="C29" s="18">
        <f>+'Secondary Sch 25'!$D$19</f>
        <v>2266686.158</v>
      </c>
      <c r="D29" s="150">
        <f>+'Secondary Sch 25'!$E$19</f>
        <v>5.54</v>
      </c>
      <c r="F29" s="241">
        <f>ROUND(((1+H41)*(C29*D29))/C29,2)</f>
        <v>5.81</v>
      </c>
      <c r="G29" s="29">
        <f>+C29*D29</f>
        <v>12557441.315319998</v>
      </c>
      <c r="H29" s="29">
        <f>+C29*F29</f>
        <v>13169446.577979999</v>
      </c>
      <c r="I29" s="381"/>
      <c r="K29" s="245">
        <f>SUM(K30:K31)</f>
        <v>62692812.92368674</v>
      </c>
      <c r="L29" s="152">
        <f>SUM(L30:L31)</f>
        <v>68896134.78038089</v>
      </c>
      <c r="M29" s="244">
        <f>+L29/K29</f>
        <v>1.0989478947809406</v>
      </c>
      <c r="N29" s="24" t="s">
        <v>492</v>
      </c>
    </row>
    <row r="30" spans="1:14" ht="13.5" thickBot="1">
      <c r="A30" s="11">
        <f t="shared" si="0"/>
        <v>25</v>
      </c>
      <c r="B30" s="10" t="s">
        <v>107</v>
      </c>
      <c r="C30" s="221">
        <f>SUM(C27:C29)</f>
        <v>11286540.108</v>
      </c>
      <c r="F30" s="246"/>
      <c r="G30" s="36">
        <f>SUM(G27:G29)</f>
        <v>32366179.445320003</v>
      </c>
      <c r="H30" s="36">
        <f>SUM(H27:H29)</f>
        <v>33955511.13798</v>
      </c>
      <c r="I30" s="218"/>
      <c r="K30" s="245">
        <f>SUM('Rate Design Sch 29'!G32,'Rate Design Sch 29'!G34,G30,G32)</f>
        <v>35047278.008388504</v>
      </c>
      <c r="L30" s="152">
        <f>SUM('Rate Design Sch 29'!H32,'Rate Design Sch 29'!H34,H30,H32)</f>
        <v>36725119.4859346</v>
      </c>
      <c r="M30" s="244">
        <f>+L30/K30</f>
        <v>1.0478736601782457</v>
      </c>
      <c r="N30" s="24" t="s">
        <v>494</v>
      </c>
    </row>
    <row r="31" spans="1:14" ht="13.5" thickTop="1">
      <c r="A31" s="11">
        <f t="shared" si="0"/>
        <v>26</v>
      </c>
      <c r="C31" s="238"/>
      <c r="F31" s="33"/>
      <c r="G31" s="29"/>
      <c r="H31" s="29"/>
      <c r="I31" s="218"/>
      <c r="K31" s="240">
        <f>(SUM(G11:G12)/C13-SUM(D17:E17))*C13</f>
        <v>27645534.915298235</v>
      </c>
      <c r="L31" s="17">
        <f>(SUM(H11:H12)/C13-F17)*C13</f>
        <v>32171015.29444629</v>
      </c>
      <c r="M31" s="244">
        <f>+L31/K31</f>
        <v>1.1636966111530649</v>
      </c>
      <c r="N31" s="24" t="s">
        <v>495</v>
      </c>
    </row>
    <row r="32" spans="1:13" ht="13.5" thickBot="1">
      <c r="A32" s="11">
        <f t="shared" si="0"/>
        <v>27</v>
      </c>
      <c r="B32" s="24" t="s">
        <v>108</v>
      </c>
      <c r="C32" s="35">
        <f>+'Secondary Sch 25'!$D$22</f>
        <v>983442054.2900002</v>
      </c>
      <c r="D32" s="229">
        <f>+'Secondary Sch 25'!$E$22</f>
        <v>0.00265</v>
      </c>
      <c r="F32" s="247">
        <f>ROUND(((1+H40)*(C32*D32))/C32,5)</f>
        <v>0.00274</v>
      </c>
      <c r="G32" s="36">
        <f>+C32*D32</f>
        <v>2606121.4438685006</v>
      </c>
      <c r="H32" s="36">
        <f>+C32*F32</f>
        <v>2694631.2287546005</v>
      </c>
      <c r="I32" s="218" t="s">
        <v>100</v>
      </c>
      <c r="K32" s="248" t="s">
        <v>109</v>
      </c>
      <c r="L32" s="249" t="s">
        <v>110</v>
      </c>
      <c r="M32" s="250"/>
    </row>
    <row r="33" spans="1:9" ht="13.5" thickTop="1">
      <c r="A33" s="11">
        <f t="shared" si="0"/>
        <v>28</v>
      </c>
      <c r="C33" s="238"/>
      <c r="F33" s="33"/>
      <c r="G33" s="29"/>
      <c r="H33" s="29"/>
      <c r="I33" s="218"/>
    </row>
    <row r="34" spans="1:9" ht="13.5" thickBot="1">
      <c r="A34" s="11">
        <f t="shared" si="0"/>
        <v>29</v>
      </c>
      <c r="B34" s="2" t="s">
        <v>71</v>
      </c>
      <c r="D34" s="40"/>
      <c r="E34" s="40"/>
      <c r="F34" s="40"/>
      <c r="G34" s="36">
        <f>SUM(G7,G24,G30,G32)</f>
        <v>259771628.2068422</v>
      </c>
      <c r="H34" s="36">
        <f>SUM(H7,H24,H30,H32)</f>
        <v>268266856.4582875</v>
      </c>
      <c r="I34" s="218"/>
    </row>
    <row r="35" spans="1:9" ht="13.5" thickTop="1">
      <c r="A35" s="11">
        <f t="shared" si="0"/>
        <v>30</v>
      </c>
      <c r="D35" s="29"/>
      <c r="E35" s="29"/>
      <c r="F35" s="29"/>
      <c r="G35" s="29"/>
      <c r="H35" s="29"/>
      <c r="I35" s="218"/>
    </row>
    <row r="36" spans="1:9" ht="12.75">
      <c r="A36" s="11">
        <f t="shared" si="0"/>
        <v>31</v>
      </c>
      <c r="B36" s="251" t="s">
        <v>111</v>
      </c>
      <c r="C36" s="40"/>
      <c r="D36" s="29"/>
      <c r="E36" s="40"/>
      <c r="F36" s="29"/>
      <c r="H36" s="252">
        <f>+'Rate Spread'!$M$15</f>
        <v>8571697.941402227</v>
      </c>
      <c r="I36" s="220" t="s">
        <v>489</v>
      </c>
    </row>
    <row r="37" spans="1:8" ht="12.75">
      <c r="A37" s="11">
        <f t="shared" si="0"/>
        <v>32</v>
      </c>
      <c r="B37" s="251" t="s">
        <v>112</v>
      </c>
      <c r="C37" s="40"/>
      <c r="D37" s="155"/>
      <c r="F37" s="29"/>
      <c r="H37" s="29">
        <f>+G34+'Rate Design Sch 29'!G36</f>
        <v>260900473.45207682</v>
      </c>
    </row>
    <row r="38" spans="1:8" ht="12.75">
      <c r="A38" s="11">
        <f t="shared" si="0"/>
        <v>33</v>
      </c>
      <c r="B38" s="253" t="s">
        <v>113</v>
      </c>
      <c r="C38" s="40"/>
      <c r="D38" s="155"/>
      <c r="F38" s="29"/>
      <c r="H38" s="29">
        <f>SUM(H36:H37)</f>
        <v>269472171.39347905</v>
      </c>
    </row>
    <row r="39" spans="1:8" ht="12.75">
      <c r="A39" s="11">
        <f t="shared" si="0"/>
        <v>34</v>
      </c>
      <c r="B39" s="24"/>
      <c r="C39" s="40"/>
      <c r="D39" s="155"/>
      <c r="F39" s="29"/>
      <c r="H39" s="29"/>
    </row>
    <row r="40" spans="1:9" ht="12.75">
      <c r="A40" s="11">
        <f t="shared" si="0"/>
        <v>35</v>
      </c>
      <c r="B40" s="24" t="s">
        <v>114</v>
      </c>
      <c r="C40" s="40"/>
      <c r="D40" s="155"/>
      <c r="F40" s="29"/>
      <c r="H40" s="16">
        <f>+H36/H37</f>
        <v>0.03285428281515445</v>
      </c>
      <c r="I40" s="218" t="s">
        <v>115</v>
      </c>
    </row>
    <row r="41" spans="1:9" ht="12.75">
      <c r="A41" s="11">
        <f t="shared" si="0"/>
        <v>36</v>
      </c>
      <c r="B41" s="10" t="s">
        <v>116</v>
      </c>
      <c r="C41" s="213"/>
      <c r="D41" s="155"/>
      <c r="F41" s="29"/>
      <c r="H41" s="16">
        <f>+H40*1.5</f>
        <v>0.04928142422273167</v>
      </c>
      <c r="I41" s="220" t="s">
        <v>116</v>
      </c>
    </row>
    <row r="42" spans="1:8" ht="12.75">
      <c r="A42" s="11">
        <f t="shared" si="0"/>
        <v>37</v>
      </c>
      <c r="B42" s="24"/>
      <c r="C42" s="213"/>
      <c r="D42" s="155"/>
      <c r="F42" s="29"/>
      <c r="H42" s="16"/>
    </row>
    <row r="43" spans="1:7" ht="12.75">
      <c r="A43" s="11">
        <f t="shared" si="0"/>
        <v>38</v>
      </c>
      <c r="B43" s="10" t="s">
        <v>117</v>
      </c>
      <c r="C43" s="224"/>
      <c r="D43" s="155"/>
      <c r="G43" s="29"/>
    </row>
    <row r="44" spans="1:8" ht="12.75">
      <c r="A44" s="11">
        <f t="shared" si="0"/>
        <v>39</v>
      </c>
      <c r="B44" s="24" t="s">
        <v>118</v>
      </c>
      <c r="C44" s="229"/>
      <c r="D44" s="155"/>
      <c r="G44" s="29"/>
      <c r="H44" s="29">
        <f>+H34</f>
        <v>268266856.4582875</v>
      </c>
    </row>
    <row r="45" spans="1:8" ht="12.75">
      <c r="A45" s="11">
        <f t="shared" si="0"/>
        <v>40</v>
      </c>
      <c r="B45" s="10" t="s">
        <v>119</v>
      </c>
      <c r="G45" s="29"/>
      <c r="H45" s="29">
        <f>+'Rate Design Sch 29'!H36</f>
        <v>1204890.1215944665</v>
      </c>
    </row>
    <row r="46" spans="1:8" ht="12.75">
      <c r="A46" s="11">
        <f t="shared" si="0"/>
        <v>41</v>
      </c>
      <c r="B46" s="10" t="s">
        <v>120</v>
      </c>
      <c r="G46" s="29"/>
      <c r="H46" s="13">
        <f>SUM(H44:H45)</f>
        <v>269471746.57988197</v>
      </c>
    </row>
    <row r="47" spans="1:8" ht="12.75">
      <c r="A47" s="11">
        <f t="shared" si="0"/>
        <v>42</v>
      </c>
      <c r="B47" s="24" t="s">
        <v>121</v>
      </c>
      <c r="G47" s="29"/>
      <c r="H47" s="13">
        <f>SUM(H36:H37)</f>
        <v>269472171.39347905</v>
      </c>
    </row>
    <row r="48" spans="1:8" ht="13.5" thickBot="1">
      <c r="A48" s="11">
        <f t="shared" si="0"/>
        <v>43</v>
      </c>
      <c r="B48" s="24"/>
      <c r="G48" s="29"/>
      <c r="H48" s="17"/>
    </row>
    <row r="49" spans="1:8" ht="13.5" thickBot="1">
      <c r="A49" s="11">
        <f t="shared" si="0"/>
        <v>44</v>
      </c>
      <c r="B49" s="24" t="str">
        <f>+'Rate Design Sch 7'!$B$34</f>
        <v>Over (Under) Recover Target Rate Spread</v>
      </c>
      <c r="G49" s="29"/>
      <c r="H49" s="254">
        <f>+H46-H47</f>
        <v>-424.81359708309174</v>
      </c>
    </row>
    <row r="50" spans="1:8" ht="12.75">
      <c r="A50" s="11"/>
      <c r="G50" s="29"/>
      <c r="H50" s="29"/>
    </row>
    <row r="51" spans="1:8" ht="12.75">
      <c r="A51" s="11"/>
      <c r="B51" s="216"/>
      <c r="G51" s="29"/>
      <c r="H51" s="29"/>
    </row>
    <row r="52" spans="7:8" ht="12.75">
      <c r="G52" s="29"/>
      <c r="H52" s="29"/>
    </row>
    <row r="53" spans="7:8" ht="12.75">
      <c r="G53" s="29"/>
      <c r="H53" s="29"/>
    </row>
    <row r="54" spans="7:8" ht="12.75">
      <c r="G54" s="29"/>
      <c r="H54" s="29"/>
    </row>
    <row r="55" spans="7:8" ht="12.75">
      <c r="G55" s="29"/>
      <c r="H55" s="29"/>
    </row>
    <row r="56" spans="7:8" ht="12.75">
      <c r="G56" s="29"/>
      <c r="H56" s="29"/>
    </row>
    <row r="57" spans="7:8" ht="12.75">
      <c r="G57" s="29"/>
      <c r="H57" s="29"/>
    </row>
    <row r="58" spans="7:8" ht="12.75">
      <c r="G58" s="29"/>
      <c r="H58" s="29"/>
    </row>
    <row r="59" spans="7:8" ht="12.75">
      <c r="G59" s="29"/>
      <c r="H59" s="29"/>
    </row>
    <row r="60" spans="7:8" ht="12.75">
      <c r="G60" s="29"/>
      <c r="H60" s="29"/>
    </row>
    <row r="61" spans="7:8" ht="12.75">
      <c r="G61" s="29"/>
      <c r="H61" s="29"/>
    </row>
    <row r="62" spans="7:8" ht="12.75">
      <c r="G62" s="29"/>
      <c r="H62" s="29"/>
    </row>
    <row r="63" spans="7:8" ht="12.75">
      <c r="G63" s="29"/>
      <c r="H63" s="29"/>
    </row>
    <row r="64" spans="7:8" ht="12.75">
      <c r="G64" s="29"/>
      <c r="H64" s="29"/>
    </row>
    <row r="65" spans="7:8" ht="12.75">
      <c r="G65" s="29"/>
      <c r="H65" s="29"/>
    </row>
    <row r="66" spans="7:8" ht="12.75">
      <c r="G66" s="29"/>
      <c r="H66" s="29"/>
    </row>
    <row r="67" spans="7:8" ht="12.75">
      <c r="G67" s="29"/>
      <c r="H67" s="29"/>
    </row>
    <row r="68" spans="7:8" ht="12.75">
      <c r="G68" s="29"/>
      <c r="H68" s="29"/>
    </row>
    <row r="69" spans="7:8" ht="12.75">
      <c r="G69" s="29"/>
      <c r="H69" s="29"/>
    </row>
  </sheetData>
  <sheetProtection/>
  <mergeCells count="4">
    <mergeCell ref="I27:I29"/>
    <mergeCell ref="K26:M26"/>
    <mergeCell ref="K10:U10"/>
    <mergeCell ref="I11:I13"/>
  </mergeCells>
  <printOptions/>
  <pageMargins left="0.46" right="0.27" top="1.5" bottom="1" header="0.5" footer="0.5"/>
  <pageSetup fitToHeight="1" fitToWidth="1" horizontalDpi="600" verticalDpi="600" orientation="landscape" scale="65" r:id="rId3"/>
  <headerFooter alignWithMargins="0">
    <oddHeader>&amp;L&amp;"Times New Roman,Regular"Puget Sound Energy
Docket UE-0702300/UG-072301&amp;R&amp;"Times New Roman,Regular"Electric Rate Spread and Rate Design 
Exhibit A to Multiparty Settlement&amp;"Arial,Regular"
</oddHeader>
    <oddFooter>&amp;R&amp;"Times New Roman,Regular"Page &amp;P of &amp;N</oddFooter>
  </headerFooter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4.421875" style="2" bestFit="1" customWidth="1"/>
    <col min="2" max="2" width="37.28125" style="2" bestFit="1" customWidth="1"/>
    <col min="3" max="3" width="12.00390625" style="2" bestFit="1" customWidth="1"/>
    <col min="4" max="5" width="10.7109375" style="2" bestFit="1" customWidth="1"/>
    <col min="6" max="6" width="12.421875" style="2" bestFit="1" customWidth="1"/>
    <col min="7" max="7" width="16.140625" style="2" bestFit="1" customWidth="1"/>
    <col min="8" max="8" width="12.57421875" style="2" customWidth="1"/>
    <col min="9" max="9" width="36.421875" style="2" customWidth="1"/>
    <col min="10" max="10" width="12.28125" style="2" bestFit="1" customWidth="1"/>
    <col min="11" max="11" width="15.00390625" style="2" bestFit="1" customWidth="1"/>
    <col min="12" max="16384" width="9.140625" style="2" customWidth="1"/>
  </cols>
  <sheetData>
    <row r="1" spans="1:9" ht="12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1" t="s">
        <v>44</v>
      </c>
      <c r="B2" s="1"/>
      <c r="C2" s="1"/>
      <c r="D2" s="1"/>
      <c r="E2" s="1"/>
      <c r="F2" s="1"/>
      <c r="G2" s="1"/>
      <c r="H2" s="1"/>
      <c r="I2" s="1"/>
    </row>
    <row r="3" spans="1:9" ht="12.75">
      <c r="A3" s="1" t="s">
        <v>122</v>
      </c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s="11" customFormat="1" ht="51">
      <c r="A5" s="207" t="str">
        <f>+'Rate Design Sch 7'!A5</f>
        <v>Line No.</v>
      </c>
      <c r="B5" s="208" t="str">
        <f>+'Rate Design Sch 7'!B5</f>
        <v>Description</v>
      </c>
      <c r="C5" s="207" t="str">
        <f>+'Rate Design Sch 7'!C5</f>
        <v>Bill
Determinants</v>
      </c>
      <c r="D5" s="207" t="str">
        <f>+'Rate Design Sch 7'!D5</f>
        <v>Base Rates
Effective 
9-1-07</v>
      </c>
      <c r="E5" s="207" t="str">
        <f>+'Rate Design Sch 7'!E5</f>
        <v>PCORC
Effective
9-1-07</v>
      </c>
      <c r="F5" s="207" t="str">
        <f>+'Rate Design Sch 7'!F5</f>
        <v>Proposed
Rates
Effective 2008</v>
      </c>
      <c r="G5" s="207" t="str">
        <f>+'Rate Design Sch 7'!G5</f>
        <v>Proforma
Revenue
Effective
9-1-07</v>
      </c>
      <c r="H5" s="207" t="str">
        <f>+'Rate Design Sch 7'!H5</f>
        <v>Proposed
Revenue
Effective
2008</v>
      </c>
      <c r="I5" s="208" t="str">
        <f>+'Rate Design Sch 7'!I5</f>
        <v>Notes:</v>
      </c>
    </row>
    <row r="6" ht="12.75">
      <c r="A6" s="11">
        <v>1</v>
      </c>
    </row>
    <row r="7" spans="1:2" ht="12.75">
      <c r="A7" s="11">
        <f>+A6+1</f>
        <v>2</v>
      </c>
      <c r="B7" s="2" t="s">
        <v>55</v>
      </c>
    </row>
    <row r="8" spans="1:9" ht="12.75" customHeight="1">
      <c r="A8" s="11">
        <f aca="true" t="shared" si="0" ref="A8:A38">+A7+1</f>
        <v>3</v>
      </c>
      <c r="B8" s="27" t="s">
        <v>56</v>
      </c>
      <c r="C8" s="18">
        <f>+'Secondary Sch 29'!$D$10</f>
        <v>2769</v>
      </c>
      <c r="D8" s="150">
        <f>+'Secondary Sch 29'!$E$10</f>
        <v>6.8</v>
      </c>
      <c r="F8" s="235">
        <f>+'Rate Design Sch 24'!F8</f>
        <v>9.25</v>
      </c>
      <c r="G8" s="29">
        <f>+C8*D8</f>
        <v>18829.2</v>
      </c>
      <c r="H8" s="29">
        <f>+C8*F8</f>
        <v>25613.25</v>
      </c>
      <c r="I8" s="380" t="s">
        <v>512</v>
      </c>
    </row>
    <row r="9" spans="1:9" ht="12.75">
      <c r="A9" s="11">
        <f t="shared" si="0"/>
        <v>4</v>
      </c>
      <c r="B9" s="27" t="s">
        <v>57</v>
      </c>
      <c r="C9" s="18">
        <f>+'Secondary Sch 29'!$D$11</f>
        <v>5595</v>
      </c>
      <c r="D9" s="150">
        <f>+'Secondary Sch 29'!$E$11</f>
        <v>16.79</v>
      </c>
      <c r="F9" s="235">
        <f>+'Rate Design Sch 24'!F9</f>
        <v>23.5</v>
      </c>
      <c r="G9" s="29">
        <f>+C9*D9</f>
        <v>93940.04999999999</v>
      </c>
      <c r="H9" s="29">
        <f>+C9*F9</f>
        <v>131482.5</v>
      </c>
      <c r="I9" s="389"/>
    </row>
    <row r="10" spans="1:9" ht="13.5" thickBot="1">
      <c r="A10" s="11">
        <f t="shared" si="0"/>
        <v>5</v>
      </c>
      <c r="B10" s="2" t="s">
        <v>58</v>
      </c>
      <c r="C10" s="221">
        <f>SUM(C8:C9)</f>
        <v>8364</v>
      </c>
      <c r="E10" s="150"/>
      <c r="F10" s="33"/>
      <c r="G10" s="36">
        <f>SUM(G8:G9)</f>
        <v>112769.24999999999</v>
      </c>
      <c r="H10" s="36">
        <f>SUM(H8:H9)</f>
        <v>157095.75</v>
      </c>
      <c r="I10" s="389"/>
    </row>
    <row r="11" spans="1:9" ht="13.5" thickTop="1">
      <c r="A11" s="11">
        <f t="shared" si="0"/>
        <v>6</v>
      </c>
      <c r="F11" s="33"/>
      <c r="G11" s="29"/>
      <c r="H11" s="29"/>
      <c r="I11" s="218"/>
    </row>
    <row r="12" spans="1:9" ht="12.75">
      <c r="A12" s="11">
        <f t="shared" si="0"/>
        <v>7</v>
      </c>
      <c r="B12" s="2" t="s">
        <v>59</v>
      </c>
      <c r="F12" s="33"/>
      <c r="G12" s="29"/>
      <c r="H12" s="29"/>
      <c r="I12" s="218"/>
    </row>
    <row r="13" spans="1:9" ht="12.75" customHeight="1">
      <c r="A13" s="11">
        <f t="shared" si="0"/>
        <v>8</v>
      </c>
      <c r="B13" s="27" t="s">
        <v>90</v>
      </c>
      <c r="F13" s="33"/>
      <c r="G13" s="29"/>
      <c r="H13" s="29"/>
      <c r="I13" s="218"/>
    </row>
    <row r="14" spans="1:9" ht="12.75" customHeight="1">
      <c r="A14" s="11">
        <f t="shared" si="0"/>
        <v>9</v>
      </c>
      <c r="B14" s="156" t="s">
        <v>80</v>
      </c>
      <c r="C14" s="18">
        <f>+'Secondary Sch 29'!$B$14</f>
        <v>2098763.1476</v>
      </c>
      <c r="D14" s="155">
        <f>+'Secondary Sch 29'!$E$14</f>
        <v>0.081732</v>
      </c>
      <c r="E14" s="155">
        <f>+'Secondary Sch 29'!$E$36</f>
        <v>0.002566</v>
      </c>
      <c r="F14" s="219">
        <f>+'Rate Design Sch 25'!F11</f>
        <v>0.088261</v>
      </c>
      <c r="G14" s="29">
        <f>+C14*SUM(D14:E14)</f>
        <v>176921.53581638477</v>
      </c>
      <c r="H14" s="29">
        <f>+C14*F14</f>
        <v>185238.9341703236</v>
      </c>
      <c r="I14" s="389" t="s">
        <v>513</v>
      </c>
    </row>
    <row r="15" spans="1:9" ht="12.75">
      <c r="A15" s="11">
        <f t="shared" si="0"/>
        <v>10</v>
      </c>
      <c r="B15" s="156" t="s">
        <v>83</v>
      </c>
      <c r="C15" s="18">
        <f>+'Secondary Sch 29'!$B$16</f>
        <v>11933176.224100001</v>
      </c>
      <c r="D15" s="155">
        <f>+'Secondary Sch 29'!$E$16</f>
        <v>0.057121</v>
      </c>
      <c r="E15" s="155">
        <f>+E14</f>
        <v>0.002566</v>
      </c>
      <c r="F15" s="219">
        <f>ROUND(SUM(D15:E15)*(1+H38),6)</f>
        <v>0.061648</v>
      </c>
      <c r="G15" s="29">
        <f>+C15*SUM(D15:E15)</f>
        <v>712255.4892878567</v>
      </c>
      <c r="H15" s="29">
        <f>+C15*F15</f>
        <v>735656.4478633169</v>
      </c>
      <c r="I15" s="389"/>
    </row>
    <row r="16" spans="1:9" ht="12.75">
      <c r="A16" s="11">
        <f t="shared" si="0"/>
        <v>11</v>
      </c>
      <c r="B16" s="27" t="s">
        <v>91</v>
      </c>
      <c r="C16" s="12">
        <f>SUM(C14:C15)</f>
        <v>14031939.3717</v>
      </c>
      <c r="D16" s="155"/>
      <c r="F16" s="33"/>
      <c r="G16" s="29"/>
      <c r="H16" s="29"/>
      <c r="I16" s="218"/>
    </row>
    <row r="17" spans="1:9" ht="12.75">
      <c r="A17" s="11">
        <f t="shared" si="0"/>
        <v>12</v>
      </c>
      <c r="B17" s="27" t="s">
        <v>92</v>
      </c>
      <c r="C17" s="18"/>
      <c r="F17" s="33"/>
      <c r="G17" s="29"/>
      <c r="H17" s="29"/>
      <c r="I17" s="218"/>
    </row>
    <row r="18" spans="1:9" ht="12.75" customHeight="1">
      <c r="A18" s="11">
        <f t="shared" si="0"/>
        <v>13</v>
      </c>
      <c r="B18" s="156" t="s">
        <v>80</v>
      </c>
      <c r="C18" s="18">
        <f>+'Secondary Sch 29'!$B$15</f>
        <v>112240.4688</v>
      </c>
      <c r="D18" s="155">
        <f>+'Secondary Sch 29'!$E$15</f>
        <v>0.06486</v>
      </c>
      <c r="E18" s="155">
        <f>+E15</f>
        <v>0.002566</v>
      </c>
      <c r="F18" s="219">
        <f>SUM(D18:E18)</f>
        <v>0.067426</v>
      </c>
      <c r="G18" s="29">
        <f>+C18*SUM(D18:E18)</f>
        <v>7567.9258493088</v>
      </c>
      <c r="H18" s="29">
        <f>+C18*F18</f>
        <v>7567.9258493088</v>
      </c>
      <c r="I18" s="389" t="s">
        <v>123</v>
      </c>
    </row>
    <row r="19" spans="1:9" ht="12.75">
      <c r="A19" s="11">
        <f t="shared" si="0"/>
        <v>14</v>
      </c>
      <c r="B19" s="156" t="s">
        <v>83</v>
      </c>
      <c r="C19" s="18">
        <f>+'Secondary Sch 29'!$B$17</f>
        <v>661158.7308</v>
      </c>
      <c r="D19" s="155">
        <f>+'Secondary Sch 29'!$E$17</f>
        <v>0.050493</v>
      </c>
      <c r="E19" s="155">
        <f>+E18</f>
        <v>0.002566</v>
      </c>
      <c r="F19" s="219">
        <f>SUM(D19:E19)</f>
        <v>0.053059</v>
      </c>
      <c r="G19" s="29">
        <f>+C19*SUM(D19:E19)</f>
        <v>35080.4210975172</v>
      </c>
      <c r="H19" s="29">
        <f>+C19*F19</f>
        <v>35080.4210975172</v>
      </c>
      <c r="I19" s="388"/>
    </row>
    <row r="20" spans="1:9" ht="12.75">
      <c r="A20" s="11">
        <f t="shared" si="0"/>
        <v>15</v>
      </c>
      <c r="B20" s="154" t="s">
        <v>124</v>
      </c>
      <c r="C20" s="18">
        <f>+'Secondary Sch 29'!$C$15</f>
        <v>-2796</v>
      </c>
      <c r="D20" s="155">
        <f>+'Secondary Sch 29'!$E$15</f>
        <v>0.06486</v>
      </c>
      <c r="E20" s="155">
        <f>+E19</f>
        <v>0.002566</v>
      </c>
      <c r="F20" s="219">
        <f>+F18</f>
        <v>0.067426</v>
      </c>
      <c r="G20" s="29">
        <f>+C20*SUM(D20:E20)</f>
        <v>-188.523096</v>
      </c>
      <c r="H20" s="29">
        <f>+C20*F20</f>
        <v>-188.523096</v>
      </c>
      <c r="I20" s="388"/>
    </row>
    <row r="21" spans="1:9" ht="12.75">
      <c r="A21" s="11">
        <f t="shared" si="0"/>
        <v>16</v>
      </c>
      <c r="B21" s="154" t="s">
        <v>125</v>
      </c>
      <c r="C21" s="18">
        <f>+'Secondary Sch 29'!$C$17</f>
        <v>-16544</v>
      </c>
      <c r="D21" s="155">
        <f>+'Secondary Sch 29'!$E$17</f>
        <v>0.050493</v>
      </c>
      <c r="E21" s="155">
        <f>+E20</f>
        <v>0.002566</v>
      </c>
      <c r="F21" s="219">
        <f>+F19</f>
        <v>0.053059</v>
      </c>
      <c r="G21" s="29">
        <f>+C21*SUM(D21:E21)</f>
        <v>-877.808096</v>
      </c>
      <c r="H21" s="29">
        <f>+C21*F21</f>
        <v>-877.808096</v>
      </c>
      <c r="I21" s="388"/>
    </row>
    <row r="22" spans="1:9" ht="12.75">
      <c r="A22" s="11">
        <f t="shared" si="0"/>
        <v>17</v>
      </c>
      <c r="B22" s="27" t="s">
        <v>94</v>
      </c>
      <c r="C22" s="12">
        <f>SUM(C18:C21)</f>
        <v>754059.1996</v>
      </c>
      <c r="D22" s="155"/>
      <c r="E22" s="155"/>
      <c r="F22" s="155"/>
      <c r="G22" s="155"/>
      <c r="H22" s="155"/>
      <c r="I22" s="218"/>
    </row>
    <row r="23" spans="1:9" ht="12.75">
      <c r="A23" s="11">
        <f t="shared" si="0"/>
        <v>18</v>
      </c>
      <c r="B23" s="24" t="s">
        <v>96</v>
      </c>
      <c r="C23" s="214">
        <f>SUM(C22,C16)</f>
        <v>14785998.5713</v>
      </c>
      <c r="D23" s="155"/>
      <c r="E23" s="155"/>
      <c r="F23" s="33"/>
      <c r="G23" s="13">
        <f>SUM(G18:G21,G14:G15)</f>
        <v>930759.0408590676</v>
      </c>
      <c r="H23" s="13">
        <f>SUM(H18:H21,H14:H15)</f>
        <v>962477.3977884664</v>
      </c>
      <c r="I23" s="215"/>
    </row>
    <row r="24" spans="1:9" ht="12.75">
      <c r="A24" s="11">
        <f t="shared" si="0"/>
        <v>19</v>
      </c>
      <c r="F24" s="33"/>
      <c r="G24" s="29"/>
      <c r="H24" s="29"/>
      <c r="I24" s="218"/>
    </row>
    <row r="25" spans="1:9" ht="12.75">
      <c r="A25" s="11">
        <f t="shared" si="0"/>
        <v>20</v>
      </c>
      <c r="B25" s="24" t="s">
        <v>68</v>
      </c>
      <c r="C25" s="12">
        <f>+'Secondary Sch 29'!$D$28</f>
        <v>158706</v>
      </c>
      <c r="D25" s="155">
        <f>+'Secondary Sch 29'!$E$28</f>
        <v>0.06515087756951293</v>
      </c>
      <c r="F25" s="219">
        <f>ROUND(SUM(D25:E25),6)</f>
        <v>0.065151</v>
      </c>
      <c r="G25" s="29">
        <f>+C25*SUM(D25:D25)</f>
        <v>10339.83517554712</v>
      </c>
      <c r="H25" s="29">
        <f>+C25*SUM(F25)</f>
        <v>10339.854606</v>
      </c>
      <c r="I25" s="218" t="s">
        <v>123</v>
      </c>
    </row>
    <row r="26" spans="1:9" ht="13.5" thickBot="1">
      <c r="A26" s="11">
        <f t="shared" si="0"/>
        <v>21</v>
      </c>
      <c r="B26" s="24" t="s">
        <v>70</v>
      </c>
      <c r="C26" s="221">
        <f>SUM(C25,C23)</f>
        <v>14944704.5713</v>
      </c>
      <c r="F26" s="33"/>
      <c r="G26" s="36">
        <f>SUM(G25,G23)</f>
        <v>941098.8760346147</v>
      </c>
      <c r="H26" s="36">
        <f>SUM(H25,H23)</f>
        <v>972817.2523944664</v>
      </c>
      <c r="I26" s="218"/>
    </row>
    <row r="27" spans="1:9" ht="13.5" thickTop="1">
      <c r="A27" s="11">
        <f t="shared" si="0"/>
        <v>22</v>
      </c>
      <c r="C27" s="238"/>
      <c r="F27" s="33"/>
      <c r="G27" s="29"/>
      <c r="H27" s="29"/>
      <c r="I27" s="218"/>
    </row>
    <row r="28" spans="1:9" ht="12.75">
      <c r="A28" s="11">
        <f t="shared" si="0"/>
        <v>23</v>
      </c>
      <c r="B28" s="24" t="s">
        <v>101</v>
      </c>
      <c r="F28" s="33"/>
      <c r="G28" s="29"/>
      <c r="H28" s="29"/>
      <c r="I28" s="220"/>
    </row>
    <row r="29" spans="1:9" ht="12.75" customHeight="1">
      <c r="A29" s="11">
        <f t="shared" si="0"/>
        <v>24</v>
      </c>
      <c r="B29" s="27" t="s">
        <v>103</v>
      </c>
      <c r="C29" s="18">
        <v>21989.26</v>
      </c>
      <c r="D29" s="150">
        <v>0</v>
      </c>
      <c r="F29" s="239">
        <v>0</v>
      </c>
      <c r="G29" s="29">
        <f>+C29*D29</f>
        <v>0</v>
      </c>
      <c r="H29" s="29">
        <f>+C29*F29</f>
        <v>0</v>
      </c>
      <c r="I29" s="389" t="s">
        <v>123</v>
      </c>
    </row>
    <row r="30" spans="1:9" ht="12.75">
      <c r="A30" s="11">
        <f t="shared" si="0"/>
        <v>25</v>
      </c>
      <c r="B30" s="27" t="s">
        <v>105</v>
      </c>
      <c r="C30" s="18">
        <f>+'Secondary Sch 29'!$D$20</f>
        <v>4652</v>
      </c>
      <c r="D30" s="150">
        <f>+'Secondary Sch 29'!$E$20</f>
        <v>8.55</v>
      </c>
      <c r="F30" s="239">
        <f>ROUND(D30,2)</f>
        <v>8.55</v>
      </c>
      <c r="G30" s="29">
        <f>+C30*D30</f>
        <v>39774.600000000006</v>
      </c>
      <c r="H30" s="29">
        <f>+C30*F30</f>
        <v>39774.600000000006</v>
      </c>
      <c r="I30" s="389"/>
    </row>
    <row r="31" spans="1:9" ht="12.75">
      <c r="A31" s="11">
        <f t="shared" si="0"/>
        <v>26</v>
      </c>
      <c r="B31" s="27" t="s">
        <v>106</v>
      </c>
      <c r="C31" s="18">
        <f>+'Secondary Sch 29'!$D$21</f>
        <v>7778</v>
      </c>
      <c r="D31" s="150">
        <f>+'Secondary Sch 29'!$E$21</f>
        <v>4.21</v>
      </c>
      <c r="F31" s="239">
        <f>ROUND(D31,2)</f>
        <v>4.21</v>
      </c>
      <c r="G31" s="29">
        <f>+C31*D31</f>
        <v>32745.38</v>
      </c>
      <c r="H31" s="29">
        <f>+C31*F31</f>
        <v>32745.38</v>
      </c>
      <c r="I31" s="389"/>
    </row>
    <row r="32" spans="1:9" ht="13.5" thickBot="1">
      <c r="A32" s="11">
        <f t="shared" si="0"/>
        <v>27</v>
      </c>
      <c r="B32" s="10" t="s">
        <v>107</v>
      </c>
      <c r="C32" s="221">
        <f>SUM(C29:C31)</f>
        <v>34419.259999999995</v>
      </c>
      <c r="F32" s="33"/>
      <c r="G32" s="36">
        <f>SUM(G29:G31)</f>
        <v>72519.98000000001</v>
      </c>
      <c r="H32" s="36">
        <f>SUM(H29:H31)</f>
        <v>72519.98000000001</v>
      </c>
      <c r="I32" s="218"/>
    </row>
    <row r="33" spans="1:9" ht="13.5" customHeight="1" thickTop="1">
      <c r="A33" s="11">
        <f t="shared" si="0"/>
        <v>28</v>
      </c>
      <c r="C33" s="238"/>
      <c r="F33" s="33"/>
      <c r="G33" s="29"/>
      <c r="H33" s="29"/>
      <c r="I33" s="218"/>
    </row>
    <row r="34" spans="1:9" ht="13.5" thickBot="1">
      <c r="A34" s="11">
        <f t="shared" si="0"/>
        <v>29</v>
      </c>
      <c r="B34" s="24" t="s">
        <v>108</v>
      </c>
      <c r="C34" s="35">
        <f>+'Secondary Sch 29'!$D$24</f>
        <v>903360</v>
      </c>
      <c r="D34" s="229">
        <f>+'Secondary Sch 29'!$E$24</f>
        <v>0.00272</v>
      </c>
      <c r="F34" s="247">
        <f>ROUND(D34,5)</f>
        <v>0.00272</v>
      </c>
      <c r="G34" s="36">
        <f>+C34*D34</f>
        <v>2457.1392</v>
      </c>
      <c r="H34" s="36">
        <f>+C34*F34</f>
        <v>2457.1392</v>
      </c>
      <c r="I34" s="212" t="s">
        <v>123</v>
      </c>
    </row>
    <row r="35" spans="1:9" ht="13.5" thickTop="1">
      <c r="A35" s="11">
        <f t="shared" si="0"/>
        <v>30</v>
      </c>
      <c r="C35" s="238"/>
      <c r="F35" s="33"/>
      <c r="G35" s="29"/>
      <c r="H35" s="29"/>
      <c r="I35" s="218"/>
    </row>
    <row r="36" spans="1:9" ht="13.5" thickBot="1">
      <c r="A36" s="11">
        <f t="shared" si="0"/>
        <v>31</v>
      </c>
      <c r="B36" s="2" t="s">
        <v>71</v>
      </c>
      <c r="D36" s="40"/>
      <c r="E36" s="40"/>
      <c r="F36" s="40"/>
      <c r="G36" s="36">
        <f>SUM(G10,G26,G32,G34)</f>
        <v>1128845.2452346147</v>
      </c>
      <c r="H36" s="36">
        <f>SUM(H10,H26,H32,H34)</f>
        <v>1204890.1215944665</v>
      </c>
      <c r="I36" s="218"/>
    </row>
    <row r="37" spans="1:9" ht="13.5" thickTop="1">
      <c r="A37" s="11">
        <f t="shared" si="0"/>
        <v>32</v>
      </c>
      <c r="D37" s="29"/>
      <c r="E37" s="29"/>
      <c r="F37" s="29"/>
      <c r="G37" s="29"/>
      <c r="I37" s="218"/>
    </row>
    <row r="38" spans="1:9" ht="12.75">
      <c r="A38" s="11">
        <f t="shared" si="0"/>
        <v>33</v>
      </c>
      <c r="B38" s="24" t="s">
        <v>126</v>
      </c>
      <c r="D38" s="29"/>
      <c r="E38" s="29"/>
      <c r="F38" s="29"/>
      <c r="G38" s="29"/>
      <c r="H38" s="255">
        <f>+'Rate Design Sch 25'!H40</f>
        <v>0.03285428281515445</v>
      </c>
      <c r="I38" s="218" t="s">
        <v>115</v>
      </c>
    </row>
    <row r="39" spans="1:8" ht="12.75">
      <c r="A39" s="11">
        <f>+A38+1</f>
        <v>34</v>
      </c>
      <c r="B39" s="24" t="s">
        <v>127</v>
      </c>
      <c r="C39" s="40"/>
      <c r="D39" s="29"/>
      <c r="E39" s="40"/>
      <c r="F39" s="29"/>
      <c r="H39" s="29">
        <f>+G36*(1+H38)</f>
        <v>1165932.646176095</v>
      </c>
    </row>
    <row r="40" spans="7:8" ht="12.75">
      <c r="G40" s="29"/>
      <c r="H40" s="29"/>
    </row>
    <row r="41" spans="7:8" ht="12.75">
      <c r="G41" s="29"/>
      <c r="H41" s="16"/>
    </row>
    <row r="42" spans="7:8" ht="12.75">
      <c r="G42" s="29"/>
      <c r="H42" s="29"/>
    </row>
    <row r="43" spans="7:8" ht="12.75">
      <c r="G43" s="29"/>
      <c r="H43" s="29"/>
    </row>
    <row r="44" spans="7:8" ht="12.75">
      <c r="G44" s="29"/>
      <c r="H44" s="29"/>
    </row>
    <row r="45" spans="7:8" ht="12.75">
      <c r="G45" s="29"/>
      <c r="H45" s="29"/>
    </row>
    <row r="46" spans="7:8" ht="12.75">
      <c r="G46" s="29"/>
      <c r="H46" s="29"/>
    </row>
    <row r="47" spans="7:8" ht="12.75">
      <c r="G47" s="29"/>
      <c r="H47" s="29"/>
    </row>
    <row r="48" spans="7:8" ht="12.75">
      <c r="G48" s="29"/>
      <c r="H48" s="29"/>
    </row>
    <row r="49" spans="7:8" ht="12.75">
      <c r="G49" s="29"/>
      <c r="H49" s="29"/>
    </row>
    <row r="50" spans="7:8" ht="12.75">
      <c r="G50" s="29"/>
      <c r="H50" s="29"/>
    </row>
    <row r="51" spans="7:8" ht="12.75">
      <c r="G51" s="29"/>
      <c r="H51" s="29"/>
    </row>
    <row r="52" spans="7:8" ht="12.75">
      <c r="G52" s="29"/>
      <c r="H52" s="29"/>
    </row>
    <row r="53" spans="7:8" ht="12.75">
      <c r="G53" s="29"/>
      <c r="H53" s="29"/>
    </row>
    <row r="54" spans="7:8" ht="12.75">
      <c r="G54" s="29"/>
      <c r="H54" s="29"/>
    </row>
    <row r="55" spans="7:8" ht="12.75">
      <c r="G55" s="29"/>
      <c r="H55" s="29"/>
    </row>
    <row r="56" spans="7:8" ht="12.75">
      <c r="G56" s="29"/>
      <c r="H56" s="29"/>
    </row>
    <row r="57" spans="7:8" ht="12.75">
      <c r="G57" s="29"/>
      <c r="H57" s="29"/>
    </row>
    <row r="58" spans="7:8" ht="12.75">
      <c r="G58" s="29"/>
      <c r="H58" s="29"/>
    </row>
    <row r="59" spans="7:8" ht="12.75">
      <c r="G59" s="29"/>
      <c r="H59" s="29"/>
    </row>
    <row r="60" spans="7:8" ht="12.75">
      <c r="G60" s="29"/>
      <c r="H60" s="29"/>
    </row>
  </sheetData>
  <sheetProtection/>
  <mergeCells count="4">
    <mergeCell ref="I29:I31"/>
    <mergeCell ref="I18:I21"/>
    <mergeCell ref="I8:I10"/>
    <mergeCell ref="I14:I15"/>
  </mergeCells>
  <printOptions/>
  <pageMargins left="0.46" right="0.27" top="1.5" bottom="1" header="0.5" footer="0.5"/>
  <pageSetup fitToHeight="1" fitToWidth="1" horizontalDpi="600" verticalDpi="600" orientation="landscape" scale="82" r:id="rId1"/>
  <headerFooter alignWithMargins="0">
    <oddHeader>&amp;L&amp;"Times New Roman,Regular"Puget Sound Energy
Docket UE-0702300/UG-072301&amp;R&amp;"Times New Roman,Regular"Electric Rate Spread and Rate Design 
Exhibit A to Multiparty Settlement&amp;"Arial,Regular"
</oddHeader>
    <oddFooter>&amp;R&amp;"Times New Roman,Regular"Page &amp;P of &amp;N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4.421875" style="2" bestFit="1" customWidth="1"/>
    <col min="2" max="2" width="36.00390625" style="2" bestFit="1" customWidth="1"/>
    <col min="3" max="3" width="14.00390625" style="2" bestFit="1" customWidth="1"/>
    <col min="4" max="4" width="11.7109375" style="2" customWidth="1"/>
    <col min="5" max="5" width="12.140625" style="2" customWidth="1"/>
    <col min="6" max="6" width="10.8515625" style="2" bestFit="1" customWidth="1"/>
    <col min="7" max="8" width="13.421875" style="2" bestFit="1" customWidth="1"/>
    <col min="9" max="9" width="30.140625" style="2" bestFit="1" customWidth="1"/>
    <col min="10" max="10" width="12.28125" style="2" bestFit="1" customWidth="1"/>
    <col min="11" max="11" width="15.00390625" style="2" bestFit="1" customWidth="1"/>
    <col min="12" max="13" width="12.28125" style="2" bestFit="1" customWidth="1"/>
    <col min="14" max="16384" width="9.140625" style="2" customWidth="1"/>
  </cols>
  <sheetData>
    <row r="1" spans="1:9" ht="12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1" t="s">
        <v>44</v>
      </c>
      <c r="B2" s="1"/>
      <c r="C2" s="1"/>
      <c r="D2" s="1"/>
      <c r="E2" s="1"/>
      <c r="F2" s="1"/>
      <c r="G2" s="1"/>
      <c r="H2" s="1"/>
      <c r="I2" s="1"/>
    </row>
    <row r="3" spans="1:9" ht="12.75">
      <c r="A3" s="1" t="s">
        <v>128</v>
      </c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s="11" customFormat="1" ht="51">
      <c r="A5" s="207" t="str">
        <f>+'Rate Design Sch 7'!A5</f>
        <v>Line No.</v>
      </c>
      <c r="B5" s="208" t="str">
        <f>+'Rate Design Sch 7'!B5</f>
        <v>Description</v>
      </c>
      <c r="C5" s="207" t="str">
        <f>+'Rate Design Sch 7'!C5</f>
        <v>Bill
Determinants</v>
      </c>
      <c r="D5" s="207" t="str">
        <f>+'Rate Design Sch 7'!D5</f>
        <v>Base Rates
Effective 
9-1-07</v>
      </c>
      <c r="E5" s="207" t="str">
        <f>+'Rate Design Sch 7'!E5</f>
        <v>PCORC
Effective
9-1-07</v>
      </c>
      <c r="F5" s="207" t="str">
        <f>+'Rate Design Sch 7'!F5</f>
        <v>Proposed
Rates
Effective 2008</v>
      </c>
      <c r="G5" s="207" t="str">
        <f>+'Rate Design Sch 7'!G5</f>
        <v>Proforma
Revenue
Effective
9-1-07</v>
      </c>
      <c r="H5" s="207" t="str">
        <f>+'Rate Design Sch 7'!H5</f>
        <v>Proposed
Revenue
Effective
2008</v>
      </c>
      <c r="I5" s="208" t="str">
        <f>+'Rate Design Sch 7'!I5</f>
        <v>Notes:</v>
      </c>
    </row>
    <row r="6" spans="1:9" s="11" customFormat="1" ht="12.75">
      <c r="A6" s="11">
        <v>1</v>
      </c>
      <c r="B6" s="230"/>
      <c r="C6" s="231"/>
      <c r="D6" s="232"/>
      <c r="E6" s="232"/>
      <c r="F6" s="232"/>
      <c r="G6" s="232"/>
      <c r="H6" s="231"/>
      <c r="I6" s="233"/>
    </row>
    <row r="7" spans="1:13" ht="13.5" thickBot="1">
      <c r="A7" s="11">
        <f aca="true" t="shared" si="0" ref="A7:A37">+A6+1</f>
        <v>2</v>
      </c>
      <c r="B7" s="2" t="s">
        <v>55</v>
      </c>
      <c r="C7" s="35">
        <f>+'Secondary Sch 26'!$D$10</f>
        <v>9387</v>
      </c>
      <c r="D7" s="150">
        <f>+'Secondary Sch 26'!$E$10</f>
        <v>48</v>
      </c>
      <c r="E7" s="150"/>
      <c r="F7" s="235">
        <v>100</v>
      </c>
      <c r="G7" s="36">
        <f>+C7*D7</f>
        <v>450576</v>
      </c>
      <c r="H7" s="36">
        <f>+C7*F7</f>
        <v>938700</v>
      </c>
      <c r="I7" s="218" t="s">
        <v>488</v>
      </c>
      <c r="J7" s="234"/>
      <c r="K7" s="256">
        <v>151.74</v>
      </c>
      <c r="L7" s="11"/>
      <c r="M7" s="11"/>
    </row>
    <row r="8" spans="1:9" ht="13.5" thickTop="1">
      <c r="A8" s="11">
        <f t="shared" si="0"/>
        <v>3</v>
      </c>
      <c r="F8" s="33"/>
      <c r="G8" s="29"/>
      <c r="H8" s="29"/>
      <c r="I8" s="218"/>
    </row>
    <row r="9" spans="1:9" ht="12.75">
      <c r="A9" s="11">
        <f t="shared" si="0"/>
        <v>4</v>
      </c>
      <c r="B9" s="2" t="s">
        <v>59</v>
      </c>
      <c r="F9" s="33"/>
      <c r="G9" s="29"/>
      <c r="H9" s="29"/>
      <c r="I9" s="218"/>
    </row>
    <row r="10" spans="1:9" ht="12.75">
      <c r="A10" s="11">
        <f t="shared" si="0"/>
        <v>5</v>
      </c>
      <c r="B10" s="22" t="s">
        <v>129</v>
      </c>
      <c r="C10" s="18">
        <f>+'Secondary Sch 26'!$B$12</f>
        <v>2079689442.06</v>
      </c>
      <c r="F10" s="33"/>
      <c r="G10" s="29"/>
      <c r="H10" s="29"/>
      <c r="I10" s="218"/>
    </row>
    <row r="11" spans="1:9" ht="12.75">
      <c r="A11" s="11">
        <f t="shared" si="0"/>
        <v>6</v>
      </c>
      <c r="B11" s="22" t="s">
        <v>64</v>
      </c>
      <c r="C11" s="18">
        <f>+'Secondary Sch 26'!$C$12</f>
        <v>8749920.44027593</v>
      </c>
      <c r="F11" s="33"/>
      <c r="G11" s="29"/>
      <c r="H11" s="29"/>
      <c r="I11" s="218"/>
    </row>
    <row r="12" spans="1:9" ht="12.75">
      <c r="A12" s="11">
        <f t="shared" si="0"/>
        <v>7</v>
      </c>
      <c r="B12" s="24" t="s">
        <v>96</v>
      </c>
      <c r="C12" s="214">
        <f>SUM(C10:C11)</f>
        <v>2088439362.5002759</v>
      </c>
      <c r="D12" s="155">
        <f>+'Secondary Sch 26'!$E$12</f>
        <v>0.057795</v>
      </c>
      <c r="E12" s="155">
        <f>+'Secondary Sch 26'!$E$30</f>
        <v>0.002918</v>
      </c>
      <c r="F12" s="219">
        <f>ROUND((H28-SUM(H7,H21,H23,H14))/C12,6)-0.000001</f>
        <v>0.060995</v>
      </c>
      <c r="G12" s="29">
        <f>+C12*SUM(D12:E12)</f>
        <v>126795419.01547924</v>
      </c>
      <c r="H12" s="29">
        <f>+C12*F12</f>
        <v>127384358.91570432</v>
      </c>
      <c r="I12" s="220" t="s">
        <v>130</v>
      </c>
    </row>
    <row r="13" spans="1:9" ht="12.75">
      <c r="A13" s="11">
        <f t="shared" si="0"/>
        <v>8</v>
      </c>
      <c r="F13" s="33"/>
      <c r="G13" s="29"/>
      <c r="H13" s="29"/>
      <c r="I13" s="218"/>
    </row>
    <row r="14" spans="1:9" ht="12.75">
      <c r="A14" s="11">
        <f t="shared" si="0"/>
        <v>9</v>
      </c>
      <c r="B14" s="24" t="s">
        <v>68</v>
      </c>
      <c r="C14" s="19">
        <f>+'Secondary Sch 26'!$D$22</f>
        <v>9136102</v>
      </c>
      <c r="D14" s="155">
        <f>+'Secondary Sch 26'!$E$22</f>
        <v>0.0729303897635715</v>
      </c>
      <c r="F14" s="237">
        <f>ROUND(D14*(1+H29),6)</f>
        <v>0.075326</v>
      </c>
      <c r="G14" s="29">
        <f>+C14*SUM(D14:D14)</f>
        <v>666299.4797797451</v>
      </c>
      <c r="H14" s="29">
        <f>+C14*SUM(F14)</f>
        <v>688186.019252</v>
      </c>
      <c r="I14" s="218" t="s">
        <v>100</v>
      </c>
    </row>
    <row r="15" spans="1:9" ht="12.75">
      <c r="A15" s="11">
        <f t="shared" si="0"/>
        <v>10</v>
      </c>
      <c r="B15" s="10"/>
      <c r="C15" s="19"/>
      <c r="D15" s="155"/>
      <c r="F15" s="237"/>
      <c r="G15" s="29"/>
      <c r="H15" s="29"/>
      <c r="I15" s="218"/>
    </row>
    <row r="16" spans="1:9" ht="13.5" thickBot="1">
      <c r="A16" s="11">
        <f t="shared" si="0"/>
        <v>11</v>
      </c>
      <c r="B16" s="24" t="s">
        <v>70</v>
      </c>
      <c r="C16" s="221">
        <f>SUM(C14,C12)</f>
        <v>2097575464.5002759</v>
      </c>
      <c r="F16" s="33"/>
      <c r="G16" s="36">
        <f>SUM(G14,G12)</f>
        <v>127461718.49525899</v>
      </c>
      <c r="H16" s="36">
        <f>SUM(H14,H12)</f>
        <v>128072544.93495633</v>
      </c>
      <c r="I16" s="218"/>
    </row>
    <row r="17" spans="1:13" ht="13.5" thickTop="1">
      <c r="A17" s="11">
        <f t="shared" si="0"/>
        <v>12</v>
      </c>
      <c r="C17" s="238"/>
      <c r="F17" s="33"/>
      <c r="G17" s="29"/>
      <c r="H17" s="29"/>
      <c r="I17" s="218"/>
      <c r="K17" s="15"/>
      <c r="M17" s="15"/>
    </row>
    <row r="18" spans="1:9" ht="12.75">
      <c r="A18" s="11">
        <f t="shared" si="0"/>
        <v>13</v>
      </c>
      <c r="B18" s="24" t="s">
        <v>101</v>
      </c>
      <c r="F18" s="33"/>
      <c r="G18" s="29"/>
      <c r="H18" s="29"/>
      <c r="I18" s="218"/>
    </row>
    <row r="19" spans="1:9" ht="12.75">
      <c r="A19" s="11">
        <f t="shared" si="0"/>
        <v>14</v>
      </c>
      <c r="B19" s="22" t="s">
        <v>131</v>
      </c>
      <c r="C19" s="19">
        <f>+'Secondary Sch 26'!$D$14</f>
        <v>2361739.33</v>
      </c>
      <c r="D19" s="150">
        <f>+'Secondary Sch 26'!$E$14</f>
        <v>7.5</v>
      </c>
      <c r="F19" s="241">
        <f>ROUND((1+C35)*'Rate Design Sch 31'!F19,2)</f>
        <v>8.52</v>
      </c>
      <c r="G19" s="29">
        <f>+C19*D19</f>
        <v>17713044.975</v>
      </c>
      <c r="H19" s="29">
        <f>+C19*F19</f>
        <v>20122019.0916</v>
      </c>
      <c r="I19" s="381" t="s">
        <v>132</v>
      </c>
    </row>
    <row r="20" spans="1:9" ht="12.75">
      <c r="A20" s="11">
        <f t="shared" si="0"/>
        <v>15</v>
      </c>
      <c r="B20" s="22" t="s">
        <v>133</v>
      </c>
      <c r="C20" s="19">
        <f>+'Secondary Sch 26'!$D$15</f>
        <v>2466057.47</v>
      </c>
      <c r="D20" s="150">
        <f>+'Secondary Sch 26'!$E$15</f>
        <v>4.99</v>
      </c>
      <c r="F20" s="241">
        <f>ROUND((1+C35)*'Rate Design Sch 31'!F20,2)</f>
        <v>5.67</v>
      </c>
      <c r="G20" s="29">
        <f>+C20*D20</f>
        <v>12305626.775300002</v>
      </c>
      <c r="H20" s="29">
        <f>+C20*F20</f>
        <v>13982545.8549</v>
      </c>
      <c r="I20" s="381"/>
    </row>
    <row r="21" spans="1:9" ht="13.5" thickBot="1">
      <c r="A21" s="11">
        <f t="shared" si="0"/>
        <v>16</v>
      </c>
      <c r="B21" s="10" t="s">
        <v>107</v>
      </c>
      <c r="C21" s="221">
        <f>SUM(C19:C20)</f>
        <v>4827796.800000001</v>
      </c>
      <c r="F21" s="33"/>
      <c r="G21" s="36">
        <f>SUM(G19:G20)</f>
        <v>30018671.750300005</v>
      </c>
      <c r="H21" s="36">
        <f>SUM(H19:H20)</f>
        <v>34104564.9465</v>
      </c>
      <c r="I21" s="218"/>
    </row>
    <row r="22" spans="1:9" ht="13.5" thickTop="1">
      <c r="A22" s="11">
        <f t="shared" si="0"/>
        <v>17</v>
      </c>
      <c r="C22" s="238"/>
      <c r="F22" s="33"/>
      <c r="G22" s="29"/>
      <c r="H22" s="29"/>
      <c r="I22" s="218"/>
    </row>
    <row r="23" spans="1:9" ht="13.5" thickBot="1">
      <c r="A23" s="11">
        <f t="shared" si="0"/>
        <v>18</v>
      </c>
      <c r="B23" s="24" t="s">
        <v>108</v>
      </c>
      <c r="C23" s="35">
        <f>+'Secondary Sch 26'!$D$18</f>
        <v>988805243.3100001</v>
      </c>
      <c r="D23" s="229">
        <f>+'Secondary Sch 26'!$E$18</f>
        <v>0.00115</v>
      </c>
      <c r="F23" s="247">
        <f>ROUND(((1+H29)*(C23*D23))/C23,5)</f>
        <v>0.00119</v>
      </c>
      <c r="G23" s="36">
        <f>+C23*D23</f>
        <v>1137126.0298065</v>
      </c>
      <c r="H23" s="36">
        <f>+C23*F23</f>
        <v>1176678.2395389</v>
      </c>
      <c r="I23" s="218" t="s">
        <v>100</v>
      </c>
    </row>
    <row r="24" spans="1:9" ht="13.5" thickTop="1">
      <c r="A24" s="11">
        <f t="shared" si="0"/>
        <v>19</v>
      </c>
      <c r="C24" s="238"/>
      <c r="F24" s="33"/>
      <c r="G24" s="29"/>
      <c r="H24" s="29"/>
      <c r="I24" s="218"/>
    </row>
    <row r="25" spans="1:9" ht="13.5" thickBot="1">
      <c r="A25" s="11">
        <f t="shared" si="0"/>
        <v>20</v>
      </c>
      <c r="B25" s="2" t="s">
        <v>71</v>
      </c>
      <c r="D25" s="40"/>
      <c r="E25" s="40"/>
      <c r="F25" s="40"/>
      <c r="G25" s="36">
        <f>SUM(G7,G16,G21,G23)</f>
        <v>159068092.27536547</v>
      </c>
      <c r="H25" s="36">
        <f>SUM(H7,H16,H21,H23)</f>
        <v>164292488.12099522</v>
      </c>
      <c r="I25" s="218"/>
    </row>
    <row r="26" spans="1:9" ht="13.5" thickTop="1">
      <c r="A26" s="11">
        <f t="shared" si="0"/>
        <v>21</v>
      </c>
      <c r="D26" s="29"/>
      <c r="E26" s="29"/>
      <c r="F26" s="29"/>
      <c r="G26" s="29"/>
      <c r="H26" s="29"/>
      <c r="I26" s="218"/>
    </row>
    <row r="27" spans="1:9" ht="12.75">
      <c r="A27" s="11">
        <f t="shared" si="0"/>
        <v>22</v>
      </c>
      <c r="B27" s="253" t="s">
        <v>134</v>
      </c>
      <c r="C27" s="40"/>
      <c r="D27" s="29"/>
      <c r="E27" s="40"/>
      <c r="F27" s="29"/>
      <c r="H27" s="252">
        <f>+'Rate Spread'!$M$16</f>
        <v>5226068.090481967</v>
      </c>
      <c r="I27" s="220" t="s">
        <v>489</v>
      </c>
    </row>
    <row r="28" spans="1:8" ht="12.75">
      <c r="A28" s="11">
        <f t="shared" si="0"/>
        <v>23</v>
      </c>
      <c r="B28" s="24" t="s">
        <v>135</v>
      </c>
      <c r="C28" s="40"/>
      <c r="D28" s="155"/>
      <c r="F28" s="29"/>
      <c r="H28" s="29">
        <f>+G25+H27</f>
        <v>164294160.36584744</v>
      </c>
    </row>
    <row r="29" spans="1:9" ht="12.75">
      <c r="A29" s="11">
        <f t="shared" si="0"/>
        <v>24</v>
      </c>
      <c r="B29" s="24" t="s">
        <v>114</v>
      </c>
      <c r="C29" s="40"/>
      <c r="D29" s="155"/>
      <c r="F29" s="29"/>
      <c r="H29" s="16">
        <f>+H27/G25</f>
        <v>0.0328542828151546</v>
      </c>
      <c r="I29" s="218" t="s">
        <v>115</v>
      </c>
    </row>
    <row r="30" spans="1:8" ht="13.5" thickBot="1">
      <c r="A30" s="11">
        <f t="shared" si="0"/>
        <v>25</v>
      </c>
      <c r="B30" s="24"/>
      <c r="G30" s="29"/>
      <c r="H30" s="17"/>
    </row>
    <row r="31" spans="1:8" ht="13.5" thickBot="1">
      <c r="A31" s="11">
        <f t="shared" si="0"/>
        <v>26</v>
      </c>
      <c r="B31" s="10" t="str">
        <f>+'Rate Design Sch 25'!B49</f>
        <v>Over (Under) Recover Target Rate Spread</v>
      </c>
      <c r="G31" s="29"/>
      <c r="H31" s="225">
        <f>+H25-H28</f>
        <v>-1672.2448522150517</v>
      </c>
    </row>
    <row r="32" spans="1:8" ht="12.75">
      <c r="A32" s="11">
        <f t="shared" si="0"/>
        <v>27</v>
      </c>
      <c r="G32" s="29"/>
      <c r="H32" s="29"/>
    </row>
    <row r="33" spans="1:5" ht="12.75">
      <c r="A33" s="11">
        <f t="shared" si="0"/>
        <v>28</v>
      </c>
      <c r="B33" s="390" t="s">
        <v>136</v>
      </c>
      <c r="C33" s="390"/>
      <c r="D33" s="390"/>
      <c r="E33" s="390"/>
    </row>
    <row r="34" spans="1:3" ht="12.75">
      <c r="A34" s="11">
        <f t="shared" si="0"/>
        <v>29</v>
      </c>
      <c r="B34" s="24" t="s">
        <v>137</v>
      </c>
      <c r="C34" s="150">
        <f>'Rate Design Sch 31'!F7-F7</f>
        <v>225</v>
      </c>
    </row>
    <row r="35" spans="1:6" ht="12.75">
      <c r="A35" s="11">
        <f t="shared" si="0"/>
        <v>30</v>
      </c>
      <c r="B35" s="24" t="s">
        <v>138</v>
      </c>
      <c r="C35" s="15">
        <v>0.03</v>
      </c>
      <c r="D35" s="41"/>
      <c r="E35" s="216">
        <f>ROUND(+C35*(H21/C21),2)</f>
        <v>0.21</v>
      </c>
      <c r="F35" s="216"/>
    </row>
    <row r="36" spans="1:6" ht="12.75">
      <c r="A36" s="11">
        <f t="shared" si="0"/>
        <v>31</v>
      </c>
      <c r="B36" s="24" t="s">
        <v>139</v>
      </c>
      <c r="C36" s="15">
        <v>0.03</v>
      </c>
      <c r="D36" s="41"/>
      <c r="E36" s="155">
        <f>ROUND(+C36*F12,6)</f>
        <v>0.00183</v>
      </c>
      <c r="F36" s="155"/>
    </row>
    <row r="37" spans="1:8" ht="12.75">
      <c r="A37" s="11">
        <f t="shared" si="0"/>
        <v>32</v>
      </c>
      <c r="G37" s="29"/>
      <c r="H37" s="29"/>
    </row>
    <row r="38" spans="7:8" ht="12.75">
      <c r="G38" s="29"/>
      <c r="H38" s="29"/>
    </row>
    <row r="39" spans="7:8" ht="12.75">
      <c r="G39" s="29"/>
      <c r="H39" s="29"/>
    </row>
    <row r="40" spans="7:8" ht="12.75">
      <c r="G40" s="29"/>
      <c r="H40" s="29"/>
    </row>
    <row r="41" spans="7:8" ht="12.75">
      <c r="G41" s="29"/>
      <c r="H41" s="29"/>
    </row>
    <row r="42" spans="7:8" ht="12.75">
      <c r="G42" s="29"/>
      <c r="H42" s="29"/>
    </row>
    <row r="43" spans="7:8" ht="12.75">
      <c r="G43" s="29"/>
      <c r="H43" s="29"/>
    </row>
    <row r="44" spans="7:8" ht="12.75">
      <c r="G44" s="29"/>
      <c r="H44" s="29"/>
    </row>
    <row r="45" spans="7:8" ht="12.75">
      <c r="G45" s="29"/>
      <c r="H45" s="29"/>
    </row>
    <row r="46" spans="7:8" ht="12.75">
      <c r="G46" s="29"/>
      <c r="H46" s="29"/>
    </row>
    <row r="47" spans="7:8" ht="12.75">
      <c r="G47" s="29"/>
      <c r="H47" s="29"/>
    </row>
    <row r="48" spans="7:8" ht="12.75">
      <c r="G48" s="29"/>
      <c r="H48" s="29"/>
    </row>
    <row r="49" spans="7:8" ht="12.75">
      <c r="G49" s="29"/>
      <c r="H49" s="29"/>
    </row>
    <row r="50" spans="7:8" ht="12.75">
      <c r="G50" s="29"/>
      <c r="H50" s="29"/>
    </row>
    <row r="51" spans="7:8" ht="12.75">
      <c r="G51" s="29"/>
      <c r="H51" s="29"/>
    </row>
    <row r="52" spans="7:8" ht="12.75">
      <c r="G52" s="29"/>
      <c r="H52" s="29"/>
    </row>
    <row r="53" spans="7:8" ht="12.75">
      <c r="G53" s="29"/>
      <c r="H53" s="29"/>
    </row>
    <row r="54" spans="7:8" ht="12.75">
      <c r="G54" s="29"/>
      <c r="H54" s="29"/>
    </row>
    <row r="55" spans="7:8" ht="12.75">
      <c r="G55" s="29"/>
      <c r="H55" s="29"/>
    </row>
    <row r="56" spans="7:8" ht="12.75">
      <c r="G56" s="29"/>
      <c r="H56" s="29"/>
    </row>
  </sheetData>
  <sheetProtection/>
  <mergeCells count="2">
    <mergeCell ref="I19:I20"/>
    <mergeCell ref="B33:E33"/>
  </mergeCells>
  <printOptions/>
  <pageMargins left="0.46" right="0.27" top="1.5" bottom="1" header="0.5" footer="0.5"/>
  <pageSetup fitToHeight="1" fitToWidth="1" horizontalDpi="600" verticalDpi="600" orientation="landscape" scale="85" r:id="rId3"/>
  <headerFooter alignWithMargins="0">
    <oddHeader>&amp;L&amp;"Times New Roman,Regular"Puget Sound Energy
Docket UE-0702300/UG-072301&amp;R&amp;"Times New Roman,Regular"Electric Rate Spread and Rate Design 
Exhibit A to Multiparty Settlement&amp;"Arial,Regular"
</oddHeader>
    <oddFooter>&amp;R&amp;"Times New Roman,Regular"Page &amp;P of &amp;N</oddFooter>
  </headerFooter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zoomScalePageLayoutView="0" workbookViewId="0" topLeftCell="A1">
      <selection activeCell="D3" sqref="D3"/>
    </sheetView>
  </sheetViews>
  <sheetFormatPr defaultColWidth="27.7109375" defaultRowHeight="12.75"/>
  <cols>
    <col min="1" max="1" width="5.7109375" style="2" customWidth="1"/>
    <col min="2" max="2" width="40.7109375" style="2" bestFit="1" customWidth="1"/>
    <col min="3" max="3" width="14.00390625" style="2" bestFit="1" customWidth="1"/>
    <col min="4" max="5" width="10.7109375" style="2" bestFit="1" customWidth="1"/>
    <col min="6" max="6" width="12.421875" style="2" bestFit="1" customWidth="1"/>
    <col min="7" max="7" width="12.28125" style="2" bestFit="1" customWidth="1"/>
    <col min="8" max="8" width="13.421875" style="2" bestFit="1" customWidth="1"/>
    <col min="9" max="9" width="30.140625" style="2" bestFit="1" customWidth="1"/>
    <col min="10" max="10" width="10.00390625" style="2" customWidth="1"/>
    <col min="11" max="13" width="12.28125" style="2" bestFit="1" customWidth="1"/>
    <col min="14" max="16384" width="27.7109375" style="2" customWidth="1"/>
  </cols>
  <sheetData>
    <row r="1" spans="1:10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 t="s">
        <v>44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 t="s">
        <v>140</v>
      </c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s="11" customFormat="1" ht="51">
      <c r="A5" s="207" t="str">
        <f>+'Rate Design Sch 7'!A5</f>
        <v>Line No.</v>
      </c>
      <c r="B5" s="208" t="str">
        <f>+'Rate Design Sch 7'!B5</f>
        <v>Description</v>
      </c>
      <c r="C5" s="207" t="str">
        <f>+'Rate Design Sch 7'!C5</f>
        <v>Bill
Determinants</v>
      </c>
      <c r="D5" s="207" t="str">
        <f>+'Rate Design Sch 7'!D5</f>
        <v>Base Rates
Effective 
9-1-07</v>
      </c>
      <c r="E5" s="207" t="str">
        <f>+'Rate Design Sch 7'!E5</f>
        <v>PCORC
Effective
9-1-07</v>
      </c>
      <c r="F5" s="207" t="str">
        <f>+'Rate Design Sch 7'!F5</f>
        <v>Proposed
Rates
Effective 2008</v>
      </c>
      <c r="G5" s="207" t="str">
        <f>+'Rate Design Sch 7'!G5</f>
        <v>Proforma
Revenue
Effective
9-1-07</v>
      </c>
      <c r="H5" s="207" t="str">
        <f>+'Rate Design Sch 7'!H5</f>
        <v>Proposed
Revenue
Effective
2008</v>
      </c>
      <c r="I5" s="208" t="str">
        <f>+'Rate Design Sch 7'!I5</f>
        <v>Notes:</v>
      </c>
      <c r="J5" s="257"/>
    </row>
    <row r="6" spans="1:10" s="11" customFormat="1" ht="12.75">
      <c r="A6" s="11">
        <v>1</v>
      </c>
      <c r="B6" s="230"/>
      <c r="C6" s="231"/>
      <c r="D6" s="232"/>
      <c r="E6" s="232"/>
      <c r="F6" s="232"/>
      <c r="G6" s="232"/>
      <c r="H6" s="231"/>
      <c r="I6" s="233"/>
      <c r="J6" s="257"/>
    </row>
    <row r="7" spans="1:10" ht="13.5" thickBot="1">
      <c r="A7" s="11">
        <f aca="true" t="shared" si="0" ref="A7:A39">+A6+1</f>
        <v>2</v>
      </c>
      <c r="B7" s="2" t="s">
        <v>55</v>
      </c>
      <c r="C7" s="35">
        <f>+'Primary Sch 31'!$D$10</f>
        <v>5893</v>
      </c>
      <c r="D7" s="150">
        <f>+'Primary Sch 31'!$E$10</f>
        <v>295</v>
      </c>
      <c r="E7" s="150"/>
      <c r="F7" s="235">
        <v>325</v>
      </c>
      <c r="G7" s="36">
        <f>+C7*D7</f>
        <v>1738435</v>
      </c>
      <c r="H7" s="36">
        <f>+C7*F7</f>
        <v>1915225</v>
      </c>
      <c r="I7" s="218" t="s">
        <v>488</v>
      </c>
      <c r="J7" s="257"/>
    </row>
    <row r="8" spans="1:10" ht="13.5" thickTop="1">
      <c r="A8" s="11">
        <f t="shared" si="0"/>
        <v>3</v>
      </c>
      <c r="F8" s="33"/>
      <c r="G8" s="29"/>
      <c r="H8" s="29"/>
      <c r="I8" s="218"/>
      <c r="J8" s="257"/>
    </row>
    <row r="9" spans="1:10" ht="12.75">
      <c r="A9" s="11">
        <f t="shared" si="0"/>
        <v>4</v>
      </c>
      <c r="B9" s="2" t="s">
        <v>59</v>
      </c>
      <c r="F9" s="33"/>
      <c r="G9" s="29"/>
      <c r="H9" s="29"/>
      <c r="I9" s="218"/>
      <c r="J9" s="257"/>
    </row>
    <row r="10" spans="1:10" ht="12.75">
      <c r="A10" s="11">
        <f t="shared" si="0"/>
        <v>5</v>
      </c>
      <c r="B10" s="22" t="s">
        <v>129</v>
      </c>
      <c r="C10" s="18">
        <f>+'Primary Sch 31'!$B$12</f>
        <v>1369024424.4800003</v>
      </c>
      <c r="F10" s="33"/>
      <c r="G10" s="29"/>
      <c r="H10" s="29"/>
      <c r="I10" s="218"/>
      <c r="J10" s="257"/>
    </row>
    <row r="11" spans="1:10" ht="12.75">
      <c r="A11" s="11">
        <f t="shared" si="0"/>
        <v>6</v>
      </c>
      <c r="B11" s="22" t="s">
        <v>64</v>
      </c>
      <c r="C11" s="18">
        <f>+'Primary Sch 31'!$C$12</f>
        <v>-4318073.453684403</v>
      </c>
      <c r="F11" s="33"/>
      <c r="G11" s="29"/>
      <c r="H11" s="29"/>
      <c r="I11" s="218"/>
      <c r="J11" s="257"/>
    </row>
    <row r="12" spans="1:10" ht="12.75">
      <c r="A12" s="11">
        <f t="shared" si="0"/>
        <v>7</v>
      </c>
      <c r="B12" s="24" t="s">
        <v>96</v>
      </c>
      <c r="C12" s="214">
        <f>SUM(C10:C11)</f>
        <v>1364706351.026316</v>
      </c>
      <c r="D12" s="155">
        <f>+'Primary Sch 31'!$E$12</f>
        <v>0.051902</v>
      </c>
      <c r="E12" s="155">
        <f>+'Primary Sch 31'!$E$31</f>
        <v>0.003063</v>
      </c>
      <c r="F12" s="237">
        <f>ROUND((H29-SUM(H23,H21,H7,H14)-'Rate Design Sch 35'!H23)/SUM(C12),6)-0</f>
        <v>0.058895</v>
      </c>
      <c r="G12" s="29">
        <f>+C12*SUM(D12:E12)</f>
        <v>75011084.58416146</v>
      </c>
      <c r="H12" s="29">
        <f>+C12*F12</f>
        <v>80374380.54369488</v>
      </c>
      <c r="I12" s="220" t="s">
        <v>130</v>
      </c>
      <c r="J12" s="257"/>
    </row>
    <row r="13" spans="1:10" ht="12.75">
      <c r="A13" s="11">
        <f t="shared" si="0"/>
        <v>8</v>
      </c>
      <c r="F13" s="33"/>
      <c r="G13" s="29"/>
      <c r="H13" s="29"/>
      <c r="I13" s="218"/>
      <c r="J13" s="257"/>
    </row>
    <row r="14" spans="1:10" ht="12.75">
      <c r="A14" s="11">
        <f t="shared" si="0"/>
        <v>9</v>
      </c>
      <c r="B14" s="24" t="s">
        <v>68</v>
      </c>
      <c r="C14" s="19">
        <f>+'Primary Sch 31'!$D$22</f>
        <v>5847669</v>
      </c>
      <c r="D14" s="155">
        <f>+'Primary Sch 31'!$E$22</f>
        <v>0.06962346876701592</v>
      </c>
      <c r="F14" s="237">
        <f>ROUND(D14*(1+H31),6)</f>
        <v>0.075449</v>
      </c>
      <c r="G14" s="29">
        <f>+C14*SUM(D14:D14)</f>
        <v>407134.9999813472</v>
      </c>
      <c r="H14" s="29">
        <f>+C14*SUM(F14)</f>
        <v>441200.77838100004</v>
      </c>
      <c r="I14" s="218" t="s">
        <v>100</v>
      </c>
      <c r="J14" s="257"/>
    </row>
    <row r="15" spans="1:10" ht="12.75">
      <c r="A15" s="11">
        <f t="shared" si="0"/>
        <v>10</v>
      </c>
      <c r="B15" s="10"/>
      <c r="C15" s="19"/>
      <c r="D15" s="155"/>
      <c r="F15" s="33"/>
      <c r="G15" s="29"/>
      <c r="H15" s="29"/>
      <c r="I15" s="218"/>
      <c r="J15" s="257"/>
    </row>
    <row r="16" spans="1:10" ht="13.5" thickBot="1">
      <c r="A16" s="11">
        <f t="shared" si="0"/>
        <v>11</v>
      </c>
      <c r="B16" s="24" t="s">
        <v>70</v>
      </c>
      <c r="C16" s="221">
        <f>SUM(C14,C12)</f>
        <v>1370554020.026316</v>
      </c>
      <c r="F16" s="33"/>
      <c r="G16" s="36">
        <f>SUM(G14,G12)</f>
        <v>75418219.5841428</v>
      </c>
      <c r="H16" s="36">
        <f>SUM(H14,H12)</f>
        <v>80815581.32207589</v>
      </c>
      <c r="I16" s="218"/>
      <c r="J16" s="257"/>
    </row>
    <row r="17" spans="1:10" ht="13.5" thickTop="1">
      <c r="A17" s="11">
        <f t="shared" si="0"/>
        <v>12</v>
      </c>
      <c r="C17" s="238"/>
      <c r="F17" s="33"/>
      <c r="G17" s="29"/>
      <c r="H17" s="29"/>
      <c r="I17" s="218"/>
      <c r="J17" s="218"/>
    </row>
    <row r="18" spans="1:10" ht="12.75">
      <c r="A18" s="11">
        <f t="shared" si="0"/>
        <v>13</v>
      </c>
      <c r="B18" s="24" t="s">
        <v>101</v>
      </c>
      <c r="F18" s="33"/>
      <c r="G18" s="29"/>
      <c r="H18" s="29"/>
      <c r="I18" s="218"/>
      <c r="J18" s="218"/>
    </row>
    <row r="19" spans="1:10" ht="13.5" thickBot="1">
      <c r="A19" s="11">
        <f t="shared" si="0"/>
        <v>14</v>
      </c>
      <c r="B19" s="22" t="s">
        <v>131</v>
      </c>
      <c r="C19" s="35">
        <f>+'Primary Sch 31'!$D$14</f>
        <v>1685522.6</v>
      </c>
      <c r="D19" s="150">
        <f>+'Primary Sch 31'!$E$14</f>
        <v>7.35</v>
      </c>
      <c r="F19" s="241">
        <f>ROUND(((1+H32)*(C19*D19))/C19,2)</f>
        <v>8.27</v>
      </c>
      <c r="G19" s="29">
        <f>+C19*D19</f>
        <v>12388591.11</v>
      </c>
      <c r="H19" s="29">
        <f>+C19*F19</f>
        <v>13939271.902</v>
      </c>
      <c r="I19" s="381" t="s">
        <v>141</v>
      </c>
      <c r="J19" s="218"/>
    </row>
    <row r="20" spans="1:13" ht="14.25" thickBot="1" thickTop="1">
      <c r="A20" s="11">
        <f t="shared" si="0"/>
        <v>15</v>
      </c>
      <c r="B20" s="22" t="s">
        <v>133</v>
      </c>
      <c r="C20" s="35">
        <f>+'Primary Sch 31'!$D$15</f>
        <v>1822271.76</v>
      </c>
      <c r="D20" s="150">
        <f>+'Primary Sch 31'!$E$15</f>
        <v>4.89</v>
      </c>
      <c r="F20" s="241">
        <f>ROUND(((1+H32)*(C20*D20))/C20,2)</f>
        <v>5.5</v>
      </c>
      <c r="G20" s="29">
        <f>+C20*D20</f>
        <v>8910908.906399999</v>
      </c>
      <c r="H20" s="29">
        <f>+C20*F20</f>
        <v>10022494.68</v>
      </c>
      <c r="I20" s="381"/>
      <c r="J20" s="218"/>
      <c r="K20" s="382" t="s">
        <v>102</v>
      </c>
      <c r="L20" s="383"/>
      <c r="M20" s="384"/>
    </row>
    <row r="21" spans="1:13" ht="14.25" thickBot="1" thickTop="1">
      <c r="A21" s="11">
        <f t="shared" si="0"/>
        <v>16</v>
      </c>
      <c r="B21" s="10" t="s">
        <v>107</v>
      </c>
      <c r="C21" s="221">
        <f>SUM(C19:C20)</f>
        <v>3507794.3600000003</v>
      </c>
      <c r="F21" s="33"/>
      <c r="G21" s="36">
        <f>SUM(G19:G20)</f>
        <v>21299500.0164</v>
      </c>
      <c r="H21" s="36">
        <f>SUM(H19:H20)</f>
        <v>23961766.582000002</v>
      </c>
      <c r="I21" s="218"/>
      <c r="J21" s="218"/>
      <c r="K21" s="240">
        <v>31478840</v>
      </c>
      <c r="L21" s="152">
        <f>SUM(G21,G23,'Rate Design Sch 35'!G19,'Rate Design Sch 35'!G21,'Rate Design Sch 43'!G17,'Rate Design Sch 43'!G19)</f>
        <v>25644906.7404162</v>
      </c>
      <c r="M21" s="258">
        <f>SUM(H21,H23,'Rate Design Sch 35'!H19,'Rate Design Sch 35'!H21,'Rate Design Sch 43'!H17,'Rate Design Sch 43'!H19)</f>
        <v>28814758.344913803</v>
      </c>
    </row>
    <row r="22" spans="1:13" ht="13.5" thickTop="1">
      <c r="A22" s="11">
        <f t="shared" si="0"/>
        <v>17</v>
      </c>
      <c r="C22" s="238"/>
      <c r="F22" s="33"/>
      <c r="G22" s="29"/>
      <c r="H22" s="29"/>
      <c r="I22" s="218"/>
      <c r="J22" s="218"/>
      <c r="K22" s="242"/>
      <c r="L22" s="259">
        <f>+K21/L21</f>
        <v>1.2274889637399056</v>
      </c>
      <c r="M22" s="260">
        <f>+K21/M21</f>
        <v>1.0924554571375207</v>
      </c>
    </row>
    <row r="23" spans="1:13" ht="13.5" thickBot="1">
      <c r="A23" s="11">
        <f t="shared" si="0"/>
        <v>18</v>
      </c>
      <c r="B23" s="24" t="s">
        <v>108</v>
      </c>
      <c r="C23" s="35">
        <f>+'Primary Sch 31'!$D$18</f>
        <v>820937822.1300001</v>
      </c>
      <c r="D23" s="229">
        <f>+'Primary Sch 31'!$E$18</f>
        <v>0.00094</v>
      </c>
      <c r="F23" s="247">
        <f>ROUND(((1+H31)*(G23))/C23,5)</f>
        <v>0.00102</v>
      </c>
      <c r="G23" s="36">
        <f>+C23*D23</f>
        <v>771681.5528022001</v>
      </c>
      <c r="H23" s="36">
        <f>+C23*F23</f>
        <v>837356.5785726001</v>
      </c>
      <c r="I23" s="218" t="s">
        <v>100</v>
      </c>
      <c r="J23" s="218"/>
      <c r="K23" s="248"/>
      <c r="L23" s="249" t="s">
        <v>109</v>
      </c>
      <c r="M23" s="261" t="s">
        <v>110</v>
      </c>
    </row>
    <row r="24" spans="1:10" ht="13.5" thickTop="1">
      <c r="A24" s="11">
        <f t="shared" si="0"/>
        <v>19</v>
      </c>
      <c r="C24" s="238"/>
      <c r="F24" s="33"/>
      <c r="G24" s="29"/>
      <c r="H24" s="29"/>
      <c r="I24" s="218"/>
      <c r="J24" s="218"/>
    </row>
    <row r="25" spans="1:10" ht="13.5" thickBot="1">
      <c r="A25" s="11">
        <f t="shared" si="0"/>
        <v>20</v>
      </c>
      <c r="B25" s="2" t="s">
        <v>71</v>
      </c>
      <c r="D25" s="40"/>
      <c r="E25" s="40"/>
      <c r="F25" s="40"/>
      <c r="G25" s="36">
        <f>SUM(G7,G16,G21,G23)</f>
        <v>99227836.153345</v>
      </c>
      <c r="H25" s="36">
        <f>SUM(H7,H16,H21,H23)</f>
        <v>107529929.48264849</v>
      </c>
      <c r="I25" s="218"/>
      <c r="J25" s="218"/>
    </row>
    <row r="26" spans="1:10" ht="13.5" thickTop="1">
      <c r="A26" s="11">
        <f t="shared" si="0"/>
        <v>21</v>
      </c>
      <c r="D26" s="29"/>
      <c r="E26" s="29"/>
      <c r="F26" s="29"/>
      <c r="G26" s="29"/>
      <c r="H26" s="29"/>
      <c r="I26" s="218"/>
      <c r="J26" s="218"/>
    </row>
    <row r="27" spans="1:10" ht="12.75">
      <c r="A27" s="11">
        <f t="shared" si="0"/>
        <v>22</v>
      </c>
      <c r="B27" s="253" t="s">
        <v>142</v>
      </c>
      <c r="C27" s="40"/>
      <c r="D27" s="29"/>
      <c r="E27" s="40"/>
      <c r="F27" s="29"/>
      <c r="H27" s="262">
        <f>+'Rate Spread'!$M$20</f>
        <v>8323332.446307108</v>
      </c>
      <c r="I27" s="220" t="s">
        <v>489</v>
      </c>
      <c r="J27" s="218"/>
    </row>
    <row r="28" spans="1:10" ht="12.75">
      <c r="A28" s="11">
        <f t="shared" si="0"/>
        <v>23</v>
      </c>
      <c r="B28" s="253" t="s">
        <v>143</v>
      </c>
      <c r="C28" s="40"/>
      <c r="D28" s="155"/>
      <c r="F28" s="29"/>
      <c r="H28" s="29">
        <f>+G25+'Rate Design Sch 35'!G23</f>
        <v>99475260.2792979</v>
      </c>
      <c r="J28" s="218"/>
    </row>
    <row r="29" spans="1:8" ht="12.75">
      <c r="A29" s="11">
        <f t="shared" si="0"/>
        <v>24</v>
      </c>
      <c r="B29" s="24" t="s">
        <v>144</v>
      </c>
      <c r="G29" s="29"/>
      <c r="H29" s="13">
        <f>SUM(H27:H28)</f>
        <v>107798592.72560501</v>
      </c>
    </row>
    <row r="30" spans="1:10" ht="12.75">
      <c r="A30" s="11">
        <f t="shared" si="0"/>
        <v>25</v>
      </c>
      <c r="B30" s="253"/>
      <c r="C30" s="40"/>
      <c r="D30" s="155"/>
      <c r="F30" s="29"/>
      <c r="H30" s="29"/>
      <c r="J30" s="218"/>
    </row>
    <row r="31" spans="1:10" ht="12.75">
      <c r="A31" s="11">
        <f t="shared" si="0"/>
        <v>26</v>
      </c>
      <c r="B31" s="24" t="s">
        <v>114</v>
      </c>
      <c r="C31" s="40"/>
      <c r="D31" s="155"/>
      <c r="F31" s="29"/>
      <c r="H31" s="255">
        <f>+H27/H28</f>
        <v>0.08367238671140528</v>
      </c>
      <c r="I31" s="263" t="s">
        <v>115</v>
      </c>
      <c r="J31" s="218"/>
    </row>
    <row r="32" spans="1:10" ht="12.75">
      <c r="A32" s="11">
        <f t="shared" si="0"/>
        <v>27</v>
      </c>
      <c r="B32" s="24" t="s">
        <v>145</v>
      </c>
      <c r="C32" s="213"/>
      <c r="D32" s="155"/>
      <c r="F32" s="29"/>
      <c r="H32" s="264">
        <f>+H31*1.5</f>
        <v>0.1255085800671079</v>
      </c>
      <c r="I32" s="263" t="s">
        <v>116</v>
      </c>
      <c r="J32" s="218"/>
    </row>
    <row r="33" spans="1:10" ht="12.75">
      <c r="A33" s="11">
        <f t="shared" si="0"/>
        <v>28</v>
      </c>
      <c r="J33" s="218"/>
    </row>
    <row r="34" spans="1:9" ht="12.75">
      <c r="A34" s="11">
        <f t="shared" si="0"/>
        <v>29</v>
      </c>
      <c r="B34" s="10" t="s">
        <v>117</v>
      </c>
      <c r="C34" s="224"/>
      <c r="D34" s="155"/>
      <c r="G34" s="29"/>
      <c r="I34" s="213"/>
    </row>
    <row r="35" spans="1:10" ht="12.75">
      <c r="A35" s="11">
        <f t="shared" si="0"/>
        <v>30</v>
      </c>
      <c r="B35" s="24" t="s">
        <v>146</v>
      </c>
      <c r="C35" s="229"/>
      <c r="D35" s="155"/>
      <c r="G35" s="29"/>
      <c r="H35" s="29">
        <f>+H25</f>
        <v>107529929.48264849</v>
      </c>
      <c r="I35" s="29"/>
      <c r="J35" s="29"/>
    </row>
    <row r="36" spans="1:10" ht="12.75">
      <c r="A36" s="11">
        <f t="shared" si="0"/>
        <v>31</v>
      </c>
      <c r="B36" s="24" t="s">
        <v>147</v>
      </c>
      <c r="G36" s="29"/>
      <c r="H36" s="29">
        <f>+'Rate Design Sch 35'!H23</f>
        <v>268128.08146799996</v>
      </c>
      <c r="I36" s="29"/>
      <c r="J36" s="29"/>
    </row>
    <row r="37" spans="1:8" ht="12.75">
      <c r="A37" s="11">
        <f t="shared" si="0"/>
        <v>32</v>
      </c>
      <c r="B37" s="24" t="s">
        <v>148</v>
      </c>
      <c r="G37" s="29"/>
      <c r="H37" s="13">
        <f>SUM(H35:H36)</f>
        <v>107798057.5641165</v>
      </c>
    </row>
    <row r="38" spans="1:8" ht="13.5" thickBot="1">
      <c r="A38" s="11">
        <f t="shared" si="0"/>
        <v>33</v>
      </c>
      <c r="B38" s="24"/>
      <c r="G38" s="29"/>
      <c r="H38" s="17"/>
    </row>
    <row r="39" spans="1:8" ht="13.5" thickBot="1">
      <c r="A39" s="11">
        <f t="shared" si="0"/>
        <v>34</v>
      </c>
      <c r="B39" s="10" t="s">
        <v>117</v>
      </c>
      <c r="G39" s="29"/>
      <c r="H39" s="254">
        <f>+H37-H29</f>
        <v>-535.1614885181189</v>
      </c>
    </row>
    <row r="40" spans="1:8" ht="12.75">
      <c r="A40" s="11"/>
      <c r="G40" s="29"/>
      <c r="H40" s="29"/>
    </row>
    <row r="41" spans="7:8" ht="12.75">
      <c r="G41" s="29"/>
      <c r="H41" s="29"/>
    </row>
    <row r="42" spans="7:8" ht="12.75">
      <c r="G42" s="29"/>
      <c r="H42" s="29"/>
    </row>
    <row r="43" spans="7:8" ht="12.75">
      <c r="G43" s="29"/>
      <c r="H43" s="29"/>
    </row>
    <row r="44" spans="7:8" ht="12.75">
      <c r="G44" s="29"/>
      <c r="H44" s="29"/>
    </row>
    <row r="45" spans="7:8" ht="12.75">
      <c r="G45" s="29"/>
      <c r="H45" s="29"/>
    </row>
    <row r="46" spans="7:8" ht="12.75">
      <c r="G46" s="29"/>
      <c r="H46" s="29"/>
    </row>
    <row r="47" spans="7:8" ht="12.75">
      <c r="G47" s="29"/>
      <c r="H47" s="29"/>
    </row>
    <row r="48" spans="7:8" ht="12.75">
      <c r="G48" s="29"/>
      <c r="H48" s="29"/>
    </row>
    <row r="49" spans="7:8" ht="12.75">
      <c r="G49" s="29"/>
      <c r="H49" s="29"/>
    </row>
    <row r="50" spans="7:8" ht="12.75">
      <c r="G50" s="29"/>
      <c r="H50" s="29"/>
    </row>
    <row r="51" spans="7:8" ht="12.75">
      <c r="G51" s="29"/>
      <c r="H51" s="29"/>
    </row>
    <row r="52" spans="7:8" ht="12.75">
      <c r="G52" s="29"/>
      <c r="H52" s="29"/>
    </row>
    <row r="53" spans="7:8" ht="12.75">
      <c r="G53" s="29"/>
      <c r="H53" s="29"/>
    </row>
    <row r="54" spans="7:8" ht="12.75">
      <c r="G54" s="29"/>
      <c r="H54" s="29"/>
    </row>
    <row r="55" spans="7:8" ht="12.75">
      <c r="G55" s="29"/>
      <c r="H55" s="29"/>
    </row>
    <row r="56" spans="7:8" ht="12.75">
      <c r="G56" s="29"/>
      <c r="H56" s="29"/>
    </row>
    <row r="57" spans="7:8" ht="12.75">
      <c r="G57" s="29"/>
      <c r="H57" s="29"/>
    </row>
    <row r="58" spans="7:8" ht="12.75">
      <c r="G58" s="29"/>
      <c r="H58" s="29"/>
    </row>
  </sheetData>
  <sheetProtection/>
  <mergeCells count="2">
    <mergeCell ref="I19:I20"/>
    <mergeCell ref="K20:M20"/>
  </mergeCells>
  <printOptions/>
  <pageMargins left="0.46" right="0.27" top="1.5" bottom="1" header="0.5" footer="0.5"/>
  <pageSetup fitToHeight="1" fitToWidth="1" horizontalDpi="600" verticalDpi="600" orientation="landscape" scale="81" r:id="rId3"/>
  <headerFooter alignWithMargins="0">
    <oddHeader>&amp;L&amp;"Times New Roman,Regular"Puget Sound Energy
Docket UE-0702300/UG-072301&amp;R&amp;"Times New Roman,Regular"Electric Rate Spread and Rate Design 
Exhibit A to Multiparty Settlement&amp;"Arial,Regular"
</oddHeader>
    <oddFooter>&amp;R&amp;"Times New Roman,Regular"Page &amp;P of &amp;N</oddFooter>
  </headerFooter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PageLayoutView="0" workbookViewId="0" topLeftCell="A1">
      <selection activeCell="D3" sqref="D3"/>
    </sheetView>
  </sheetViews>
  <sheetFormatPr defaultColWidth="26.140625" defaultRowHeight="12.75"/>
  <cols>
    <col min="1" max="1" width="5.00390625" style="2" customWidth="1"/>
    <col min="2" max="2" width="40.7109375" style="2" bestFit="1" customWidth="1"/>
    <col min="3" max="3" width="12.00390625" style="2" bestFit="1" customWidth="1"/>
    <col min="4" max="5" width="10.7109375" style="2" bestFit="1" customWidth="1"/>
    <col min="6" max="6" width="12.421875" style="2" bestFit="1" customWidth="1"/>
    <col min="7" max="7" width="16.140625" style="2" bestFit="1" customWidth="1"/>
    <col min="8" max="8" width="12.421875" style="2" bestFit="1" customWidth="1"/>
    <col min="9" max="9" width="46.8515625" style="2" bestFit="1" customWidth="1"/>
    <col min="10" max="16384" width="26.140625" style="2" customWidth="1"/>
  </cols>
  <sheetData>
    <row r="1" spans="1:9" ht="12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1" t="s">
        <v>44</v>
      </c>
      <c r="B2" s="1"/>
      <c r="C2" s="1"/>
      <c r="D2" s="1"/>
      <c r="E2" s="1"/>
      <c r="F2" s="1"/>
      <c r="G2" s="1"/>
      <c r="H2" s="1"/>
      <c r="I2" s="1"/>
    </row>
    <row r="3" spans="1:9" ht="12.75">
      <c r="A3" s="1" t="s">
        <v>149</v>
      </c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s="11" customFormat="1" ht="51">
      <c r="A5" s="207" t="str">
        <f>+'Rate Design Sch 7'!A5</f>
        <v>Line No.</v>
      </c>
      <c r="B5" s="208" t="str">
        <f>+'Rate Design Sch 7'!B5</f>
        <v>Description</v>
      </c>
      <c r="C5" s="207" t="str">
        <f>+'Rate Design Sch 7'!C5</f>
        <v>Bill
Determinants</v>
      </c>
      <c r="D5" s="207" t="str">
        <f>+'Rate Design Sch 7'!D5</f>
        <v>Base Rates
Effective 
9-1-07</v>
      </c>
      <c r="E5" s="207" t="str">
        <f>+'Rate Design Sch 7'!E5</f>
        <v>PCORC
Effective
9-1-07</v>
      </c>
      <c r="F5" s="207" t="str">
        <f>+'Rate Design Sch 7'!F5</f>
        <v>Proposed
Rates
Effective 2008</v>
      </c>
      <c r="G5" s="207" t="str">
        <f>+'Rate Design Sch 7'!G5</f>
        <v>Proforma
Revenue
Effective
9-1-07</v>
      </c>
      <c r="H5" s="207" t="str">
        <f>+'Rate Design Sch 7'!H5</f>
        <v>Proposed
Revenue
Effective
2008</v>
      </c>
      <c r="I5" s="208" t="str">
        <f>+'Rate Design Sch 7'!I5</f>
        <v>Notes:</v>
      </c>
    </row>
    <row r="6" spans="1:9" s="11" customFormat="1" ht="12.75">
      <c r="A6" s="11">
        <v>1</v>
      </c>
      <c r="B6" s="230"/>
      <c r="C6" s="231"/>
      <c r="D6" s="232"/>
      <c r="E6" s="232"/>
      <c r="F6" s="232"/>
      <c r="G6" s="232"/>
      <c r="H6" s="231"/>
      <c r="I6" s="233"/>
    </row>
    <row r="7" spans="1:9" ht="13.5" thickBot="1">
      <c r="A7" s="11">
        <f aca="true" t="shared" si="0" ref="A7:A29">+A6+1</f>
        <v>2</v>
      </c>
      <c r="B7" s="2" t="s">
        <v>55</v>
      </c>
      <c r="C7" s="35">
        <f>+'Primary Sch 35'!$B$10</f>
        <v>12</v>
      </c>
      <c r="D7" s="150">
        <f>+'Primary Sch 35'!$C$10</f>
        <v>295</v>
      </c>
      <c r="E7" s="150"/>
      <c r="F7" s="235">
        <f>+'Rate Design Sch 31'!F7</f>
        <v>325</v>
      </c>
      <c r="G7" s="36">
        <f>+C7*D7</f>
        <v>3540</v>
      </c>
      <c r="H7" s="36">
        <f>+C7*F7</f>
        <v>3900</v>
      </c>
      <c r="I7" s="218" t="s">
        <v>150</v>
      </c>
    </row>
    <row r="8" spans="1:9" ht="13.5" thickTop="1">
      <c r="A8" s="11">
        <f t="shared" si="0"/>
        <v>3</v>
      </c>
      <c r="F8" s="33"/>
      <c r="G8" s="29"/>
      <c r="H8" s="29"/>
      <c r="I8" s="218"/>
    </row>
    <row r="9" spans="1:9" ht="12.75">
      <c r="A9" s="11">
        <f t="shared" si="0"/>
        <v>4</v>
      </c>
      <c r="B9" s="2" t="s">
        <v>59</v>
      </c>
      <c r="F9" s="33"/>
      <c r="G9" s="29"/>
      <c r="H9" s="29"/>
      <c r="I9" s="218"/>
    </row>
    <row r="10" spans="1:9" ht="12.75">
      <c r="A10" s="11">
        <f t="shared" si="0"/>
        <v>5</v>
      </c>
      <c r="B10" s="24" t="s">
        <v>96</v>
      </c>
      <c r="C10" s="19">
        <f>+'Primary Sch 35'!$B$12</f>
        <v>4820400</v>
      </c>
      <c r="D10" s="155">
        <f>+'Primary Sch 35'!$C$12</f>
        <v>0.041345</v>
      </c>
      <c r="E10" s="155">
        <f>+'Primary Sch 35'!$C$31</f>
        <v>0.0030930000000000003</v>
      </c>
      <c r="F10" s="237">
        <f>ROUND((H29-SUM(H21,H19,H7,H12))/SUM(C10),6)</f>
        <v>0.04793</v>
      </c>
      <c r="G10" s="29">
        <f>+C10*SUM(D10:E10)</f>
        <v>214208.93519999998</v>
      </c>
      <c r="H10" s="29">
        <f>+C10*F10</f>
        <v>231041.772</v>
      </c>
      <c r="I10" s="218" t="s">
        <v>151</v>
      </c>
    </row>
    <row r="11" spans="1:9" ht="12.75">
      <c r="A11" s="11">
        <f t="shared" si="0"/>
        <v>6</v>
      </c>
      <c r="F11" s="33"/>
      <c r="G11" s="29"/>
      <c r="H11" s="29"/>
      <c r="I11" s="218"/>
    </row>
    <row r="12" spans="1:9" ht="12.75">
      <c r="A12" s="11">
        <f t="shared" si="0"/>
        <v>7</v>
      </c>
      <c r="B12" s="24" t="s">
        <v>68</v>
      </c>
      <c r="C12" s="19">
        <f>+'Primary Sch 35'!$B$22</f>
        <v>43818</v>
      </c>
      <c r="D12" s="155">
        <f>+'Primary Sch 35'!$C$22</f>
        <v>0.04976189586238959</v>
      </c>
      <c r="F12" s="237">
        <f>ROUND(D12*(1+H25),6)</f>
        <v>0.053926</v>
      </c>
      <c r="G12" s="29">
        <f>+C12*SUM(D12:D12)</f>
        <v>2180.466752898187</v>
      </c>
      <c r="H12" s="29">
        <f>+C12*SUM(F12)</f>
        <v>2362.9294680000003</v>
      </c>
      <c r="I12" s="218" t="s">
        <v>100</v>
      </c>
    </row>
    <row r="13" spans="1:9" ht="12.75">
      <c r="A13" s="11">
        <f t="shared" si="0"/>
        <v>8</v>
      </c>
      <c r="B13" s="10"/>
      <c r="C13" s="19"/>
      <c r="D13" s="155"/>
      <c r="F13" s="33"/>
      <c r="G13" s="29"/>
      <c r="H13" s="29"/>
      <c r="I13" s="218"/>
    </row>
    <row r="14" spans="1:9" ht="13.5" thickBot="1">
      <c r="A14" s="11">
        <f t="shared" si="0"/>
        <v>9</v>
      </c>
      <c r="B14" s="24" t="s">
        <v>70</v>
      </c>
      <c r="C14" s="221">
        <f>SUM(C12,C10)</f>
        <v>4864218</v>
      </c>
      <c r="F14" s="33"/>
      <c r="G14" s="36">
        <f>SUM(G12,G10)</f>
        <v>216389.40195289816</v>
      </c>
      <c r="H14" s="36">
        <f>SUM(H12,H10)</f>
        <v>233404.70146799998</v>
      </c>
      <c r="I14" s="218"/>
    </row>
    <row r="15" spans="1:9" ht="13.5" thickTop="1">
      <c r="A15" s="11">
        <f t="shared" si="0"/>
        <v>10</v>
      </c>
      <c r="C15" s="238"/>
      <c r="F15" s="33"/>
      <c r="G15" s="29"/>
      <c r="H15" s="29"/>
      <c r="I15" s="218"/>
    </row>
    <row r="16" spans="1:9" ht="12.75">
      <c r="A16" s="11">
        <f t="shared" si="0"/>
        <v>11</v>
      </c>
      <c r="B16" s="24" t="s">
        <v>101</v>
      </c>
      <c r="F16" s="33"/>
      <c r="G16" s="29"/>
      <c r="H16" s="29"/>
      <c r="I16" s="218"/>
    </row>
    <row r="17" spans="1:9" ht="12.75" customHeight="1">
      <c r="A17" s="11">
        <f t="shared" si="0"/>
        <v>12</v>
      </c>
      <c r="B17" s="22" t="s">
        <v>131</v>
      </c>
      <c r="C17" s="19">
        <f>+'Primary Sch 35'!$B$14</f>
        <v>1057.2</v>
      </c>
      <c r="D17" s="150">
        <f>+'Primary Sch 35'!$C$14</f>
        <v>3.82</v>
      </c>
      <c r="F17" s="241">
        <f>ROUND(((C17*D17)*(1+H26))/C17,2)</f>
        <v>4.3</v>
      </c>
      <c r="G17" s="29">
        <f>+C17*D17</f>
        <v>4038.504</v>
      </c>
      <c r="H17" s="29">
        <f>+C17*F17</f>
        <v>4545.96</v>
      </c>
      <c r="I17" s="389" t="s">
        <v>152</v>
      </c>
    </row>
    <row r="18" spans="1:9" ht="12.75">
      <c r="A18" s="11">
        <f t="shared" si="0"/>
        <v>13</v>
      </c>
      <c r="B18" s="22" t="s">
        <v>133</v>
      </c>
      <c r="C18" s="19">
        <f>+'Primary Sch 35'!$B$15</f>
        <v>7998.6</v>
      </c>
      <c r="D18" s="150">
        <f>+'Primary Sch 35'!$C$15</f>
        <v>2.54</v>
      </c>
      <c r="F18" s="241">
        <f>ROUND(((C18*D18)*(1+H26))/C18,2)</f>
        <v>2.86</v>
      </c>
      <c r="G18" s="29">
        <f>+C18*D18</f>
        <v>20316.444</v>
      </c>
      <c r="H18" s="29">
        <f>+C18*F18</f>
        <v>22875.996</v>
      </c>
      <c r="I18" s="389"/>
    </row>
    <row r="19" spans="1:9" ht="13.5" thickBot="1">
      <c r="A19" s="11">
        <f t="shared" si="0"/>
        <v>14</v>
      </c>
      <c r="B19" s="10" t="s">
        <v>107</v>
      </c>
      <c r="C19" s="221">
        <f>SUM(C17:C18)</f>
        <v>9055.800000000001</v>
      </c>
      <c r="F19" s="33"/>
      <c r="G19" s="36">
        <f>SUM(G17:G18)</f>
        <v>24354.948</v>
      </c>
      <c r="H19" s="36">
        <f>SUM(H17:H18)</f>
        <v>27421.956</v>
      </c>
      <c r="I19" s="218"/>
    </row>
    <row r="20" spans="1:9" ht="13.5" thickTop="1">
      <c r="A20" s="11">
        <f t="shared" si="0"/>
        <v>15</v>
      </c>
      <c r="C20" s="238"/>
      <c r="F20" s="33"/>
      <c r="G20" s="29"/>
      <c r="H20" s="29"/>
      <c r="I20" s="218"/>
    </row>
    <row r="21" spans="1:9" ht="13.5" thickBot="1">
      <c r="A21" s="11">
        <f t="shared" si="0"/>
        <v>16</v>
      </c>
      <c r="B21" s="24" t="s">
        <v>108</v>
      </c>
      <c r="C21" s="35">
        <f>+'Primary Sch 35'!$B$18</f>
        <v>3270600</v>
      </c>
      <c r="D21" s="229">
        <f>+'Primary Sch 35'!$C$18</f>
        <v>0.00096</v>
      </c>
      <c r="F21" s="247">
        <f>ROUND(((C21*D21)*(1+H25))/C21,5)</f>
        <v>0.00104</v>
      </c>
      <c r="G21" s="36">
        <f>+C21*D21</f>
        <v>3139.7760000000003</v>
      </c>
      <c r="H21" s="36">
        <f>+C21*F21</f>
        <v>3401.4239999999995</v>
      </c>
      <c r="I21" s="265" t="s">
        <v>100</v>
      </c>
    </row>
    <row r="22" spans="1:9" ht="13.5" thickTop="1">
      <c r="A22" s="11">
        <f t="shared" si="0"/>
        <v>17</v>
      </c>
      <c r="C22" s="238"/>
      <c r="F22" s="33"/>
      <c r="G22" s="29"/>
      <c r="H22" s="29"/>
      <c r="I22" s="218"/>
    </row>
    <row r="23" spans="1:9" ht="13.5" thickBot="1">
      <c r="A23" s="11">
        <f t="shared" si="0"/>
        <v>18</v>
      </c>
      <c r="B23" s="2" t="s">
        <v>71</v>
      </c>
      <c r="D23" s="40"/>
      <c r="E23" s="40"/>
      <c r="F23" s="40"/>
      <c r="G23" s="36">
        <f>SUM(G7,G14,G19,G21)</f>
        <v>247424.12595289818</v>
      </c>
      <c r="H23" s="36">
        <f>SUM(H7,H14,H19,H21)</f>
        <v>268128.08146799996</v>
      </c>
      <c r="I23" s="218"/>
    </row>
    <row r="24" spans="1:9" ht="13.5" thickTop="1">
      <c r="A24" s="11">
        <f t="shared" si="0"/>
        <v>19</v>
      </c>
      <c r="D24" s="29"/>
      <c r="E24" s="29"/>
      <c r="F24" s="29"/>
      <c r="G24" s="29"/>
      <c r="H24" s="29"/>
      <c r="I24" s="218"/>
    </row>
    <row r="25" spans="1:9" ht="12.75">
      <c r="A25" s="11">
        <f t="shared" si="0"/>
        <v>20</v>
      </c>
      <c r="B25" s="253" t="s">
        <v>142</v>
      </c>
      <c r="C25" s="40"/>
      <c r="D25" s="29"/>
      <c r="E25" s="40"/>
      <c r="F25" s="29"/>
      <c r="H25" s="266">
        <f>+'Rate Design Sch 31'!H31</f>
        <v>0.08367238671140528</v>
      </c>
      <c r="I25" s="263" t="s">
        <v>115</v>
      </c>
    </row>
    <row r="26" spans="1:9" ht="12.75">
      <c r="A26" s="11">
        <f t="shared" si="0"/>
        <v>21</v>
      </c>
      <c r="B26" s="24" t="s">
        <v>153</v>
      </c>
      <c r="C26" s="40"/>
      <c r="D26" s="155"/>
      <c r="F26" s="29"/>
      <c r="H26" s="16">
        <f>+H25*1.5</f>
        <v>0.1255085800671079</v>
      </c>
      <c r="I26" s="263" t="s">
        <v>116</v>
      </c>
    </row>
    <row r="27" spans="1:6" ht="12.75">
      <c r="A27" s="11">
        <f t="shared" si="0"/>
        <v>22</v>
      </c>
      <c r="B27" s="24"/>
      <c r="C27" s="40"/>
      <c r="D27" s="155"/>
      <c r="F27" s="29"/>
    </row>
    <row r="28" spans="1:8" ht="12.75">
      <c r="A28" s="11">
        <f t="shared" si="0"/>
        <v>23</v>
      </c>
      <c r="B28" s="24" t="s">
        <v>154</v>
      </c>
      <c r="C28" s="40"/>
      <c r="D28" s="155"/>
      <c r="F28" s="29"/>
      <c r="H28" s="29">
        <f>+G23*(H25)</f>
        <v>20702.567148462345</v>
      </c>
    </row>
    <row r="29" spans="1:8" ht="12.75">
      <c r="A29" s="11">
        <f t="shared" si="0"/>
        <v>24</v>
      </c>
      <c r="B29" s="24" t="s">
        <v>155</v>
      </c>
      <c r="C29" s="40"/>
      <c r="D29" s="155"/>
      <c r="F29" s="29"/>
      <c r="H29" s="29">
        <f>+H28+G23</f>
        <v>268126.6931013605</v>
      </c>
    </row>
    <row r="30" ht="12.75">
      <c r="G30" s="29"/>
    </row>
    <row r="31" spans="7:8" ht="12.75">
      <c r="G31" s="29"/>
      <c r="H31" s="29"/>
    </row>
    <row r="32" spans="7:8" ht="12.75">
      <c r="G32" s="29"/>
      <c r="H32" s="29"/>
    </row>
    <row r="33" spans="7:8" ht="12.75">
      <c r="G33" s="29"/>
      <c r="H33" s="29"/>
    </row>
    <row r="34" spans="7:8" ht="12.75">
      <c r="G34" s="29"/>
      <c r="H34" s="29"/>
    </row>
    <row r="35" spans="7:8" ht="12.75">
      <c r="G35" s="29"/>
      <c r="H35" s="29"/>
    </row>
    <row r="36" spans="7:8" ht="12.75">
      <c r="G36" s="29"/>
      <c r="H36" s="29"/>
    </row>
    <row r="37" spans="7:8" ht="12.75">
      <c r="G37" s="29"/>
      <c r="H37" s="29"/>
    </row>
    <row r="38" spans="7:8" ht="12.75">
      <c r="G38" s="29"/>
      <c r="H38" s="29"/>
    </row>
    <row r="39" spans="7:8" ht="12.75">
      <c r="G39" s="29"/>
      <c r="H39" s="29"/>
    </row>
    <row r="40" spans="7:8" ht="12.75">
      <c r="G40" s="29"/>
      <c r="H40" s="29"/>
    </row>
    <row r="41" spans="7:8" ht="12.75">
      <c r="G41" s="29"/>
      <c r="H41" s="29"/>
    </row>
    <row r="42" spans="7:8" ht="12.75">
      <c r="G42" s="29"/>
      <c r="H42" s="29"/>
    </row>
    <row r="43" spans="7:8" ht="12.75">
      <c r="G43" s="29"/>
      <c r="H43" s="29"/>
    </row>
    <row r="44" spans="7:8" ht="12.75">
      <c r="G44" s="29"/>
      <c r="H44" s="29"/>
    </row>
    <row r="45" spans="7:8" ht="12.75">
      <c r="G45" s="29"/>
      <c r="H45" s="29"/>
    </row>
    <row r="46" spans="7:8" ht="12.75">
      <c r="G46" s="29"/>
      <c r="H46" s="29"/>
    </row>
    <row r="47" spans="7:8" ht="12.75">
      <c r="G47" s="29"/>
      <c r="H47" s="29"/>
    </row>
    <row r="48" spans="7:8" ht="12.75">
      <c r="G48" s="29"/>
      <c r="H48" s="29"/>
    </row>
  </sheetData>
  <sheetProtection/>
  <mergeCells count="1">
    <mergeCell ref="I17:I18"/>
  </mergeCells>
  <printOptions/>
  <pageMargins left="0.46" right="0.27" top="1.5" bottom="1" header="0.5" footer="0.5"/>
  <pageSetup fitToHeight="1" fitToWidth="1" horizontalDpi="600" verticalDpi="600" orientation="landscape" scale="80" r:id="rId1"/>
  <headerFooter alignWithMargins="0">
    <oddHeader>&amp;L&amp;"Times New Roman,Regular"Puget Sound Energy
Docket UE-0702300/UG-072301&amp;R&amp;"Times New Roman,Regular"Electric Rate Spread and Rate Design 
Exhibit A to Multiparty Settlement&amp;"Arial,Regular"
</oddHeader>
    <oddFooter>&amp;R&amp;"Times New Roman,Regular"Page &amp;P of &amp;N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PageLayoutView="0" workbookViewId="0" topLeftCell="A11">
      <selection activeCell="D3" sqref="D3"/>
    </sheetView>
  </sheetViews>
  <sheetFormatPr defaultColWidth="9.140625" defaultRowHeight="12.75"/>
  <cols>
    <col min="1" max="1" width="4.421875" style="2" bestFit="1" customWidth="1"/>
    <col min="2" max="2" width="47.421875" style="2" bestFit="1" customWidth="1"/>
    <col min="3" max="3" width="12.28125" style="2" bestFit="1" customWidth="1"/>
    <col min="4" max="5" width="10.7109375" style="2" bestFit="1" customWidth="1"/>
    <col min="6" max="6" width="12.421875" style="2" bestFit="1" customWidth="1"/>
    <col min="7" max="7" width="16.140625" style="2" bestFit="1" customWidth="1"/>
    <col min="8" max="8" width="12.421875" style="2" bestFit="1" customWidth="1"/>
    <col min="9" max="9" width="31.7109375" style="2" customWidth="1"/>
    <col min="10" max="10" width="12.28125" style="2" bestFit="1" customWidth="1"/>
    <col min="11" max="11" width="15.00390625" style="2" bestFit="1" customWidth="1"/>
    <col min="12" max="16384" width="9.140625" style="2" customWidth="1"/>
  </cols>
  <sheetData>
    <row r="1" spans="1:9" ht="12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1" t="s">
        <v>44</v>
      </c>
      <c r="B2" s="1"/>
      <c r="C2" s="1"/>
      <c r="D2" s="1"/>
      <c r="E2" s="1"/>
      <c r="F2" s="1"/>
      <c r="G2" s="1"/>
      <c r="H2" s="1"/>
      <c r="I2" s="1"/>
    </row>
    <row r="3" spans="1:9" ht="12.75">
      <c r="A3" s="1" t="s">
        <v>156</v>
      </c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s="11" customFormat="1" ht="51">
      <c r="A5" s="207" t="str">
        <f>+'Rate Design Sch 7'!A5</f>
        <v>Line No.</v>
      </c>
      <c r="B5" s="208" t="str">
        <f>+'Rate Design Sch 7'!B5</f>
        <v>Description</v>
      </c>
      <c r="C5" s="207" t="str">
        <f>+'Rate Design Sch 7'!C5</f>
        <v>Bill
Determinants</v>
      </c>
      <c r="D5" s="207" t="str">
        <f>+'Rate Design Sch 7'!D5</f>
        <v>Base Rates
Effective 
9-1-07</v>
      </c>
      <c r="E5" s="207" t="str">
        <f>+'Rate Design Sch 7'!E5</f>
        <v>PCORC
Effective
9-1-07</v>
      </c>
      <c r="F5" s="207" t="str">
        <f>+'Rate Design Sch 7'!F5</f>
        <v>Proposed
Rates
Effective 2008</v>
      </c>
      <c r="G5" s="207" t="str">
        <f>+'Rate Design Sch 7'!G5</f>
        <v>Proforma
Revenue
Effective
9-1-07</v>
      </c>
      <c r="H5" s="207" t="str">
        <f>+'Rate Design Sch 7'!H5</f>
        <v>Proposed
Revenue
Effective
2008</v>
      </c>
      <c r="I5" s="208" t="str">
        <f>+'Rate Design Sch 7'!I5</f>
        <v>Notes:</v>
      </c>
    </row>
    <row r="6" spans="1:9" s="11" customFormat="1" ht="12.75">
      <c r="A6" s="11">
        <v>1</v>
      </c>
      <c r="B6" s="230"/>
      <c r="C6" s="231"/>
      <c r="D6" s="232"/>
      <c r="E6" s="232"/>
      <c r="F6" s="232"/>
      <c r="G6" s="232"/>
      <c r="H6" s="231"/>
      <c r="I6" s="233"/>
    </row>
    <row r="7" spans="1:9" ht="13.5" thickBot="1">
      <c r="A7" s="11">
        <f aca="true" t="shared" si="0" ref="A7:A29">+A6+1</f>
        <v>2</v>
      </c>
      <c r="B7" s="2" t="s">
        <v>55</v>
      </c>
      <c r="C7" s="35">
        <f>+'Primary Sch 43'!$D$10</f>
        <v>2202</v>
      </c>
      <c r="D7" s="150">
        <f>+'Primary Sch 43'!$E$10</f>
        <v>295</v>
      </c>
      <c r="E7" s="150"/>
      <c r="F7" s="235">
        <f>+'Rate Design Sch 31'!F7</f>
        <v>325</v>
      </c>
      <c r="G7" s="36">
        <f>+C7*D7</f>
        <v>649590</v>
      </c>
      <c r="H7" s="36">
        <f>+C7*F7</f>
        <v>715650</v>
      </c>
      <c r="I7" s="218" t="s">
        <v>150</v>
      </c>
    </row>
    <row r="8" spans="1:9" ht="13.5" thickTop="1">
      <c r="A8" s="11">
        <f t="shared" si="0"/>
        <v>3</v>
      </c>
      <c r="F8" s="33"/>
      <c r="G8" s="29"/>
      <c r="H8" s="29"/>
      <c r="I8" s="218"/>
    </row>
    <row r="9" spans="1:9" ht="12.75">
      <c r="A9" s="11">
        <f t="shared" si="0"/>
        <v>4</v>
      </c>
      <c r="B9" s="2" t="s">
        <v>59</v>
      </c>
      <c r="F9" s="33"/>
      <c r="G9" s="29"/>
      <c r="H9" s="29"/>
      <c r="I9" s="218"/>
    </row>
    <row r="10" spans="1:9" ht="12.75">
      <c r="A10" s="11">
        <f t="shared" si="0"/>
        <v>5</v>
      </c>
      <c r="B10" s="10" t="s">
        <v>5</v>
      </c>
      <c r="C10" s="18">
        <f>+'Primary Sch 43'!$B$12</f>
        <v>167594812.19</v>
      </c>
      <c r="D10" s="155"/>
      <c r="E10" s="155"/>
      <c r="F10" s="33"/>
      <c r="G10" s="29"/>
      <c r="H10" s="29"/>
      <c r="I10" s="218"/>
    </row>
    <row r="11" spans="1:9" ht="12.75">
      <c r="A11" s="11">
        <f t="shared" si="0"/>
        <v>6</v>
      </c>
      <c r="B11" s="2" t="s">
        <v>64</v>
      </c>
      <c r="C11" s="18">
        <f>+'Primary Sch 43'!$C$12</f>
        <v>-1684428</v>
      </c>
      <c r="F11" s="33"/>
      <c r="G11" s="29"/>
      <c r="H11" s="29"/>
      <c r="I11" s="218"/>
    </row>
    <row r="12" spans="1:9" ht="12.75">
      <c r="A12" s="11">
        <f t="shared" si="0"/>
        <v>7</v>
      </c>
      <c r="B12" s="24" t="s">
        <v>96</v>
      </c>
      <c r="C12" s="214">
        <f>SUM(C10:C11)</f>
        <v>165910384.19</v>
      </c>
      <c r="D12" s="155">
        <f>+'Primary Sch 43'!$E$12</f>
        <v>0.049375</v>
      </c>
      <c r="E12" s="155">
        <f>+'Primary Sch 43'!$E$31</f>
        <v>0.0025859999999999998</v>
      </c>
      <c r="F12" s="237">
        <f>ROUND((H24-SUM(H17,H19,H7,H14))/SUM(C12),6)-0</f>
        <v>0.055383</v>
      </c>
      <c r="G12" s="29">
        <f>+C12*SUM(D12:E12)</f>
        <v>8620869.47289659</v>
      </c>
      <c r="H12" s="29">
        <f>+C12*F12</f>
        <v>9188614.80759477</v>
      </c>
      <c r="I12" s="218" t="s">
        <v>151</v>
      </c>
    </row>
    <row r="13" spans="1:8" ht="12.75">
      <c r="A13" s="11">
        <f t="shared" si="0"/>
        <v>8</v>
      </c>
      <c r="B13" s="24"/>
      <c r="C13" s="238"/>
      <c r="D13" s="155"/>
      <c r="E13" s="155"/>
      <c r="F13" s="155"/>
      <c r="G13" s="29"/>
      <c r="H13" s="29"/>
    </row>
    <row r="14" spans="1:9" ht="12.75">
      <c r="A14" s="11">
        <f t="shared" si="0"/>
        <v>9</v>
      </c>
      <c r="B14" s="24" t="s">
        <v>68</v>
      </c>
      <c r="C14" s="19">
        <f>+'Primary Sch 43'!$D$20</f>
        <v>399862</v>
      </c>
      <c r="D14" s="155">
        <f>+'Primary Sch 43'!$E$20</f>
        <v>0.08209288809606893</v>
      </c>
      <c r="F14" s="237">
        <f>ROUND(+D14*(1+H25),6)</f>
        <v>0.088962</v>
      </c>
      <c r="G14" s="29">
        <f>+C14*SUM(D14:D14)</f>
        <v>32825.82641987032</v>
      </c>
      <c r="H14" s="29">
        <f>+C14*SUM(F14)</f>
        <v>35572.523243999996</v>
      </c>
      <c r="I14" s="218" t="s">
        <v>115</v>
      </c>
    </row>
    <row r="15" spans="1:9" ht="13.5" thickBot="1">
      <c r="A15" s="11">
        <f t="shared" si="0"/>
        <v>10</v>
      </c>
      <c r="B15" s="24" t="s">
        <v>70</v>
      </c>
      <c r="C15" s="221">
        <f>SUM(C14,C12)</f>
        <v>166310246.19</v>
      </c>
      <c r="F15" s="33"/>
      <c r="G15" s="36">
        <f>SUM(G12:G14)</f>
        <v>8653695.29931646</v>
      </c>
      <c r="H15" s="36">
        <f>SUM(H12:H14)</f>
        <v>9224187.33083877</v>
      </c>
      <c r="I15" s="218"/>
    </row>
    <row r="16" spans="1:9" ht="13.5" thickTop="1">
      <c r="A16" s="11">
        <f t="shared" si="0"/>
        <v>11</v>
      </c>
      <c r="C16" s="238"/>
      <c r="F16" s="33"/>
      <c r="G16" s="29"/>
      <c r="H16" s="29"/>
      <c r="I16" s="218"/>
    </row>
    <row r="17" spans="1:11" ht="12.75" customHeight="1" thickBot="1">
      <c r="A17" s="11">
        <f t="shared" si="0"/>
        <v>12</v>
      </c>
      <c r="B17" s="24" t="s">
        <v>157</v>
      </c>
      <c r="C17" s="35">
        <f>+'Primary Sch 43'!$D$14</f>
        <v>825740</v>
      </c>
      <c r="D17" s="150">
        <f>+'Primary Sch 43'!$E$14</f>
        <v>4.04</v>
      </c>
      <c r="F17" s="241">
        <f>ROUND(((C17*D17)*(1+H27))/C17,2)</f>
        <v>4.55</v>
      </c>
      <c r="G17" s="36">
        <f>+C17*D17</f>
        <v>3335989.6</v>
      </c>
      <c r="H17" s="36">
        <f>+C17*F17</f>
        <v>3757117</v>
      </c>
      <c r="I17" s="220" t="s">
        <v>158</v>
      </c>
      <c r="K17" s="29">
        <v>4608379.936903871</v>
      </c>
    </row>
    <row r="18" spans="1:8" ht="13.5" thickTop="1">
      <c r="A18" s="11">
        <f t="shared" si="0"/>
        <v>13</v>
      </c>
      <c r="C18" s="238"/>
      <c r="F18" s="33"/>
      <c r="G18" s="29"/>
      <c r="H18" s="29"/>
    </row>
    <row r="19" spans="1:9" ht="13.5" thickBot="1">
      <c r="A19" s="11">
        <f t="shared" si="0"/>
        <v>14</v>
      </c>
      <c r="B19" s="24" t="s">
        <v>108</v>
      </c>
      <c r="C19" s="35">
        <f>+'Primary Sch 43'!$D$16</f>
        <v>79336168.76</v>
      </c>
      <c r="D19" s="229">
        <f>+'Primary Sch 43'!$E$16</f>
        <v>0.00265</v>
      </c>
      <c r="F19" s="247">
        <f>ROUND(((C19*D19)*(1+H26))/C19,5)</f>
        <v>0.00287</v>
      </c>
      <c r="G19" s="36">
        <f>+C19*D19</f>
        <v>210240.847214</v>
      </c>
      <c r="H19" s="36">
        <f>+C19*F19</f>
        <v>227694.80434120004</v>
      </c>
      <c r="I19" s="389" t="s">
        <v>159</v>
      </c>
    </row>
    <row r="20" spans="1:9" ht="13.5" thickTop="1">
      <c r="A20" s="11">
        <f t="shared" si="0"/>
        <v>15</v>
      </c>
      <c r="C20" s="238"/>
      <c r="F20" s="33"/>
      <c r="G20" s="29"/>
      <c r="H20" s="29"/>
      <c r="I20" s="389"/>
    </row>
    <row r="21" spans="1:9" ht="13.5" thickBot="1">
      <c r="A21" s="11">
        <f t="shared" si="0"/>
        <v>16</v>
      </c>
      <c r="B21" s="2" t="s">
        <v>71</v>
      </c>
      <c r="D21" s="40"/>
      <c r="E21" s="40"/>
      <c r="F21" s="40"/>
      <c r="G21" s="36">
        <f>SUM(G7,G15,G17,G19)</f>
        <v>12849515.74653046</v>
      </c>
      <c r="H21" s="36">
        <f>SUM(H7,H15,H17,H19)</f>
        <v>13924649.13517997</v>
      </c>
      <c r="I21" s="218"/>
    </row>
    <row r="22" spans="1:9" ht="13.5" thickTop="1">
      <c r="A22" s="11">
        <f t="shared" si="0"/>
        <v>17</v>
      </c>
      <c r="D22" s="29"/>
      <c r="E22" s="29"/>
      <c r="F22" s="29"/>
      <c r="G22" s="29"/>
      <c r="H22" s="29"/>
      <c r="I22" s="218"/>
    </row>
    <row r="23" spans="1:9" ht="12.75">
      <c r="A23" s="11">
        <f t="shared" si="0"/>
        <v>18</v>
      </c>
      <c r="B23" s="253" t="s">
        <v>160</v>
      </c>
      <c r="C23" s="40"/>
      <c r="D23" s="29"/>
      <c r="E23" s="40"/>
      <c r="F23" s="29"/>
      <c r="H23" s="29">
        <f>+'Rate Spread'!$M$21</f>
        <v>1075149.6505979877</v>
      </c>
      <c r="I23" s="220" t="s">
        <v>490</v>
      </c>
    </row>
    <row r="24" spans="1:8" ht="12.75">
      <c r="A24" s="11">
        <f t="shared" si="0"/>
        <v>19</v>
      </c>
      <c r="B24" s="24" t="s">
        <v>161</v>
      </c>
      <c r="C24" s="40"/>
      <c r="D24" s="155"/>
      <c r="F24" s="29"/>
      <c r="H24" s="29">
        <f>+H23+G21</f>
        <v>13924665.397128448</v>
      </c>
    </row>
    <row r="25" spans="1:9" ht="12.75">
      <c r="A25" s="11">
        <f t="shared" si="0"/>
        <v>20</v>
      </c>
      <c r="B25" s="253" t="s">
        <v>162</v>
      </c>
      <c r="C25" s="40"/>
      <c r="D25" s="155"/>
      <c r="F25" s="29"/>
      <c r="H25" s="16">
        <f>+H23/G21</f>
        <v>0.08367238671140524</v>
      </c>
      <c r="I25" s="220" t="s">
        <v>163</v>
      </c>
    </row>
    <row r="26" spans="1:9" ht="12.75">
      <c r="A26" s="11">
        <f t="shared" si="0"/>
        <v>21</v>
      </c>
      <c r="B26" s="24" t="s">
        <v>164</v>
      </c>
      <c r="G26" s="29"/>
      <c r="H26" s="16">
        <f>+'Rate Design Sch 31'!H31</f>
        <v>0.08367238671140528</v>
      </c>
      <c r="I26" s="218" t="s">
        <v>165</v>
      </c>
    </row>
    <row r="27" spans="1:9" ht="12.75">
      <c r="A27" s="11">
        <f t="shared" si="0"/>
        <v>22</v>
      </c>
      <c r="B27" s="24" t="s">
        <v>166</v>
      </c>
      <c r="G27" s="29"/>
      <c r="H27" s="16">
        <f>+H26*1.5</f>
        <v>0.1255085800671079</v>
      </c>
      <c r="I27" s="220" t="s">
        <v>167</v>
      </c>
    </row>
    <row r="28" spans="1:7" ht="13.5" thickBot="1">
      <c r="A28" s="11">
        <f t="shared" si="0"/>
        <v>23</v>
      </c>
      <c r="G28" s="29"/>
    </row>
    <row r="29" spans="1:8" ht="13.5" thickBot="1">
      <c r="A29" s="11">
        <f t="shared" si="0"/>
        <v>24</v>
      </c>
      <c r="B29" s="24" t="str">
        <f>+'Rate Design Sch 7'!$B$34</f>
        <v>Over (Under) Recover Target Rate Spread</v>
      </c>
      <c r="G29" s="29"/>
      <c r="H29" s="225">
        <f>+H21-H24</f>
        <v>-16.261948477476835</v>
      </c>
    </row>
    <row r="30" spans="7:8" ht="12.75">
      <c r="G30" s="29"/>
      <c r="H30" s="29"/>
    </row>
    <row r="31" spans="7:8" ht="12.75">
      <c r="G31" s="29"/>
      <c r="H31" s="29"/>
    </row>
    <row r="32" spans="7:8" ht="12.75">
      <c r="G32" s="29"/>
      <c r="H32" s="29"/>
    </row>
    <row r="33" spans="7:8" ht="12.75">
      <c r="G33" s="29"/>
      <c r="H33" s="29"/>
    </row>
    <row r="34" spans="7:8" ht="12.75">
      <c r="G34" s="29"/>
      <c r="H34" s="29"/>
    </row>
    <row r="35" spans="7:8" ht="12.75">
      <c r="G35" s="29"/>
      <c r="H35" s="29"/>
    </row>
    <row r="36" spans="7:8" ht="12.75">
      <c r="G36" s="29"/>
      <c r="H36" s="29"/>
    </row>
    <row r="37" spans="7:8" ht="12.75">
      <c r="G37" s="29"/>
      <c r="H37" s="29"/>
    </row>
    <row r="38" spans="7:8" ht="12.75">
      <c r="G38" s="29"/>
      <c r="H38" s="29"/>
    </row>
    <row r="39" spans="7:8" ht="12.75">
      <c r="G39" s="29"/>
      <c r="H39" s="29"/>
    </row>
    <row r="40" spans="7:8" ht="12.75">
      <c r="G40" s="29"/>
      <c r="H40" s="29"/>
    </row>
    <row r="41" spans="7:8" ht="12.75">
      <c r="G41" s="29"/>
      <c r="H41" s="29"/>
    </row>
    <row r="42" spans="7:8" ht="12.75">
      <c r="G42" s="29"/>
      <c r="H42" s="29"/>
    </row>
    <row r="43" spans="7:8" ht="12.75">
      <c r="G43" s="29"/>
      <c r="H43" s="29"/>
    </row>
    <row r="44" spans="7:8" ht="12.75">
      <c r="G44" s="29"/>
      <c r="H44" s="29"/>
    </row>
  </sheetData>
  <sheetProtection/>
  <mergeCells count="1">
    <mergeCell ref="I19:I20"/>
  </mergeCells>
  <printOptions/>
  <pageMargins left="0.46" right="0.27" top="1.5" bottom="1" header="0.5" footer="0.5"/>
  <pageSetup fitToHeight="1" fitToWidth="1" horizontalDpi="600" verticalDpi="600" orientation="landscape" scale="84" r:id="rId3"/>
  <headerFooter alignWithMargins="0">
    <oddHeader>&amp;L&amp;"Times New Roman,Regular"Puget Sound Energy
Docket UE-0702300/UG-072301&amp;R&amp;"Times New Roman,Regular"Electric Rate Spread and Rate Design 
Exhibit A to Multiparty Settlement&amp;"Arial,Regular"
</oddHeader>
    <oddFooter>&amp;R&amp;"Times New Roman,Regular"Page &amp;P of &amp;N</oddFooter>
  </headerFooter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4.421875" style="2" bestFit="1" customWidth="1"/>
    <col min="2" max="2" width="36.140625" style="2" bestFit="1" customWidth="1"/>
    <col min="3" max="3" width="14.00390625" style="2" bestFit="1" customWidth="1"/>
    <col min="4" max="4" width="11.7109375" style="2" customWidth="1"/>
    <col min="5" max="5" width="12.140625" style="2" customWidth="1"/>
    <col min="6" max="6" width="14.8515625" style="2" bestFit="1" customWidth="1"/>
    <col min="7" max="7" width="16.140625" style="2" bestFit="1" customWidth="1"/>
    <col min="8" max="8" width="13.421875" style="2" bestFit="1" customWidth="1"/>
    <col min="9" max="9" width="38.57421875" style="2" bestFit="1" customWidth="1"/>
    <col min="10" max="10" width="12.28125" style="2" bestFit="1" customWidth="1"/>
    <col min="11" max="11" width="14.00390625" style="2" bestFit="1" customWidth="1"/>
    <col min="12" max="12" width="11.28125" style="2" bestFit="1" customWidth="1"/>
    <col min="13" max="16384" width="9.140625" style="2" customWidth="1"/>
  </cols>
  <sheetData>
    <row r="1" spans="1:9" ht="12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1" t="s">
        <v>44</v>
      </c>
      <c r="B2" s="1"/>
      <c r="C2" s="1"/>
      <c r="D2" s="1"/>
      <c r="E2" s="1"/>
      <c r="F2" s="1"/>
      <c r="G2" s="1"/>
      <c r="H2" s="1"/>
      <c r="I2" s="1"/>
    </row>
    <row r="3" spans="1:9" ht="12.75">
      <c r="A3" s="1" t="s">
        <v>168</v>
      </c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s="11" customFormat="1" ht="51">
      <c r="A5" s="207" t="str">
        <f>+'Rate Design Sch 7'!A5</f>
        <v>Line No.</v>
      </c>
      <c r="B5" s="208" t="str">
        <f>+'Rate Design Sch 7'!B5</f>
        <v>Description</v>
      </c>
      <c r="C5" s="207" t="str">
        <f>+'Rate Design Sch 7'!C5</f>
        <v>Bill
Determinants</v>
      </c>
      <c r="D5" s="207" t="str">
        <f>+'Rate Design Sch 7'!D5</f>
        <v>Base Rates
Effective 
9-1-07</v>
      </c>
      <c r="E5" s="207" t="str">
        <f>+'Rate Design Sch 7'!E5</f>
        <v>PCORC
Effective
9-1-07</v>
      </c>
      <c r="F5" s="207" t="str">
        <f>+'Rate Design Sch 7'!F5</f>
        <v>Proposed
Rates
Effective 2008</v>
      </c>
      <c r="G5" s="207" t="str">
        <f>+'Rate Design Sch 7'!G5</f>
        <v>Proforma
Revenue
Effective
9-1-07</v>
      </c>
      <c r="H5" s="207" t="str">
        <f>+'Rate Design Sch 7'!H5</f>
        <v>Proposed
Revenue
Effective
2008</v>
      </c>
      <c r="I5" s="208" t="str">
        <f>+'Rate Design Sch 7'!I5</f>
        <v>Notes:</v>
      </c>
    </row>
    <row r="6" spans="1:9" s="11" customFormat="1" ht="12.75">
      <c r="A6" s="11">
        <v>1</v>
      </c>
      <c r="B6" s="230"/>
      <c r="C6" s="231"/>
      <c r="D6" s="232"/>
      <c r="E6" s="232"/>
      <c r="F6" s="232"/>
      <c r="G6" s="232"/>
      <c r="H6" s="231"/>
      <c r="I6" s="233"/>
    </row>
    <row r="7" spans="1:9" ht="12.75">
      <c r="A7" s="11">
        <f>+A6+1</f>
        <v>2</v>
      </c>
      <c r="B7" s="2" t="s">
        <v>59</v>
      </c>
      <c r="F7" s="33"/>
      <c r="G7" s="29"/>
      <c r="H7" s="29"/>
      <c r="I7" s="218"/>
    </row>
    <row r="8" spans="1:9" ht="12.75">
      <c r="A8" s="11">
        <f aca="true" t="shared" si="0" ref="A8:A18">+A7+1</f>
        <v>3</v>
      </c>
      <c r="B8" s="24" t="s">
        <v>96</v>
      </c>
      <c r="C8" s="19">
        <f>+'HV Sch 46'!$B$10</f>
        <v>51158005</v>
      </c>
      <c r="D8" s="155">
        <f>+'HV Sch 46'!$C$10</f>
        <v>0.046901</v>
      </c>
      <c r="E8" s="155">
        <f>+'HV Sch 46'!$C$32</f>
        <v>0.002768</v>
      </c>
      <c r="F8" s="237">
        <f>+'Rate Design Sch 49'!F8</f>
        <v>0.053203</v>
      </c>
      <c r="G8" s="29">
        <f>+C8*SUM(D8:E8)</f>
        <v>2540966.950345</v>
      </c>
      <c r="H8" s="29">
        <f>+C8*F8</f>
        <v>2721759.340015</v>
      </c>
      <c r="I8" s="218" t="s">
        <v>169</v>
      </c>
    </row>
    <row r="9" spans="1:8" ht="12.75">
      <c r="A9" s="11">
        <f t="shared" si="0"/>
        <v>4</v>
      </c>
      <c r="B9" s="24"/>
      <c r="C9" s="238"/>
      <c r="D9" s="155"/>
      <c r="E9" s="155"/>
      <c r="F9" s="155"/>
      <c r="G9" s="29"/>
      <c r="H9" s="29"/>
    </row>
    <row r="10" spans="1:9" ht="12.75">
      <c r="A10" s="11">
        <f t="shared" si="0"/>
        <v>5</v>
      </c>
      <c r="B10" s="24" t="s">
        <v>68</v>
      </c>
      <c r="C10" s="19">
        <f>+'HV Sch 46'!$B$16</f>
        <v>206407</v>
      </c>
      <c r="D10" s="155">
        <f>+'HV Sch 46'!$C$16</f>
        <v>0.05570290574882803</v>
      </c>
      <c r="F10" s="237">
        <f>ROUND(D10*(1+H17),6)</f>
        <v>0.060364</v>
      </c>
      <c r="G10" s="29">
        <f>+C10*SUM(D10:D10)</f>
        <v>11497.469666898347</v>
      </c>
      <c r="H10" s="29">
        <f>+C10*SUM(F10)</f>
        <v>12459.552148</v>
      </c>
      <c r="I10" s="218" t="s">
        <v>115</v>
      </c>
    </row>
    <row r="11" spans="1:9" ht="13.5" thickBot="1">
      <c r="A11" s="11">
        <f t="shared" si="0"/>
        <v>6</v>
      </c>
      <c r="B11" s="24" t="s">
        <v>170</v>
      </c>
      <c r="C11" s="221">
        <f>SUM(C10,C8)</f>
        <v>51364412</v>
      </c>
      <c r="F11" s="33"/>
      <c r="G11" s="36">
        <f>SUM(G8:G10)</f>
        <v>2552464.420011898</v>
      </c>
      <c r="H11" s="36">
        <f>SUM(H8:H10)</f>
        <v>2734218.892163</v>
      </c>
      <c r="I11" s="218"/>
    </row>
    <row r="12" spans="1:12" ht="14.25" thickBot="1" thickTop="1">
      <c r="A12" s="11">
        <f t="shared" si="0"/>
        <v>7</v>
      </c>
      <c r="C12" s="238"/>
      <c r="F12" s="33"/>
      <c r="G12" s="29"/>
      <c r="H12" s="29"/>
      <c r="I12" s="218"/>
      <c r="K12" s="382" t="s">
        <v>102</v>
      </c>
      <c r="L12" s="384"/>
    </row>
    <row r="13" spans="1:12" ht="12.75" customHeight="1" thickBot="1">
      <c r="A13" s="11">
        <f t="shared" si="0"/>
        <v>8</v>
      </c>
      <c r="B13" s="24" t="s">
        <v>171</v>
      </c>
      <c r="C13" s="35">
        <f>+'HV Sch 46'!$B$12</f>
        <v>167256</v>
      </c>
      <c r="D13" s="150">
        <f>+'HV Sch 46'!$C$12</f>
        <v>1.78</v>
      </c>
      <c r="F13" s="241">
        <f>ROUND(((C13*D13)*(1+H18))/C13,2)</f>
        <v>2</v>
      </c>
      <c r="G13" s="36">
        <f>+C13*D13</f>
        <v>297715.68</v>
      </c>
      <c r="H13" s="36">
        <f>+C13*F13</f>
        <v>334512</v>
      </c>
      <c r="I13" s="212" t="s">
        <v>172</v>
      </c>
      <c r="K13" s="240">
        <v>7216312.485095834</v>
      </c>
      <c r="L13" s="51"/>
    </row>
    <row r="14" spans="1:12" ht="13.5" thickTop="1">
      <c r="A14" s="11">
        <f t="shared" si="0"/>
        <v>9</v>
      </c>
      <c r="C14" s="238"/>
      <c r="F14" s="33"/>
      <c r="G14" s="29"/>
      <c r="H14" s="29"/>
      <c r="I14" s="218"/>
      <c r="K14" s="245">
        <f>+G13+'Rate Design Sch 49'!G13</f>
        <v>4252327.2616</v>
      </c>
      <c r="L14" s="258">
        <f>+H13+'Rate Design Sch 49'!H13</f>
        <v>4780301.453199999</v>
      </c>
    </row>
    <row r="15" spans="1:12" ht="13.5" thickBot="1">
      <c r="A15" s="11">
        <f t="shared" si="0"/>
        <v>10</v>
      </c>
      <c r="B15" s="2" t="s">
        <v>71</v>
      </c>
      <c r="D15" s="40"/>
      <c r="E15" s="40"/>
      <c r="F15" s="40"/>
      <c r="G15" s="36">
        <f>SUM(G11,G13)</f>
        <v>2850180.100011898</v>
      </c>
      <c r="H15" s="36">
        <f>SUM(H11,H13)</f>
        <v>3068730.892163</v>
      </c>
      <c r="I15" s="218"/>
      <c r="K15" s="267">
        <f>+K13/K14</f>
        <v>1.6970266024117326</v>
      </c>
      <c r="L15" s="260">
        <f>+K13/L14</f>
        <v>1.5095936011033646</v>
      </c>
    </row>
    <row r="16" spans="1:12" ht="14.25" thickBot="1" thickTop="1">
      <c r="A16" s="11">
        <f t="shared" si="0"/>
        <v>11</v>
      </c>
      <c r="D16" s="29"/>
      <c r="E16" s="29"/>
      <c r="F16" s="29"/>
      <c r="G16" s="29"/>
      <c r="H16" s="29"/>
      <c r="I16" s="218"/>
      <c r="K16" s="248" t="s">
        <v>109</v>
      </c>
      <c r="L16" s="261" t="s">
        <v>110</v>
      </c>
    </row>
    <row r="17" spans="1:9" ht="12.75">
      <c r="A17" s="11">
        <f t="shared" si="0"/>
        <v>12</v>
      </c>
      <c r="B17" s="24" t="s">
        <v>173</v>
      </c>
      <c r="C17" s="40"/>
      <c r="D17" s="155"/>
      <c r="F17" s="29"/>
      <c r="H17" s="255">
        <f>+'Rate Design Sch 49'!H20</f>
        <v>0.0836723867114052</v>
      </c>
      <c r="I17" s="218" t="s">
        <v>115</v>
      </c>
    </row>
    <row r="18" spans="1:9" ht="12.75">
      <c r="A18" s="11">
        <f t="shared" si="0"/>
        <v>13</v>
      </c>
      <c r="B18" s="24" t="s">
        <v>174</v>
      </c>
      <c r="G18" s="29"/>
      <c r="H18" s="255">
        <f>+H17*1.5</f>
        <v>0.1255085800671078</v>
      </c>
      <c r="I18" s="220" t="s">
        <v>116</v>
      </c>
    </row>
    <row r="19" ht="12.75">
      <c r="A19" s="11"/>
    </row>
    <row r="20" spans="1:2" ht="12.75">
      <c r="A20" s="11"/>
      <c r="B20" s="10"/>
    </row>
    <row r="21" spans="7:8" ht="12.75">
      <c r="G21" s="29"/>
      <c r="H21" s="29"/>
    </row>
    <row r="22" spans="7:8" ht="12.75">
      <c r="G22" s="29"/>
      <c r="H22" s="29"/>
    </row>
    <row r="23" spans="7:8" ht="12.75">
      <c r="G23" s="29"/>
      <c r="H23" s="29"/>
    </row>
    <row r="24" spans="7:8" ht="12.75">
      <c r="G24" s="29"/>
      <c r="H24" s="29"/>
    </row>
    <row r="25" spans="7:8" ht="12.75">
      <c r="G25" s="29"/>
      <c r="H25" s="29"/>
    </row>
    <row r="26" spans="7:8" ht="12.75">
      <c r="G26" s="29"/>
      <c r="H26" s="29"/>
    </row>
    <row r="27" spans="7:8" ht="12.75">
      <c r="G27" s="29"/>
      <c r="H27" s="29"/>
    </row>
    <row r="28" spans="7:8" ht="12.75">
      <c r="G28" s="29"/>
      <c r="H28" s="29"/>
    </row>
    <row r="29" spans="7:8" ht="12.75">
      <c r="G29" s="29"/>
      <c r="H29" s="29"/>
    </row>
    <row r="30" spans="7:8" ht="12.75">
      <c r="G30" s="29"/>
      <c r="H30" s="29"/>
    </row>
    <row r="31" spans="7:8" ht="12.75">
      <c r="G31" s="29"/>
      <c r="H31" s="29"/>
    </row>
    <row r="32" spans="7:8" ht="12.75">
      <c r="G32" s="29"/>
      <c r="H32" s="29"/>
    </row>
    <row r="33" spans="7:8" ht="12.75">
      <c r="G33" s="29"/>
      <c r="H33" s="29"/>
    </row>
    <row r="34" spans="7:8" ht="12.75">
      <c r="G34" s="29"/>
      <c r="H34" s="29"/>
    </row>
    <row r="35" spans="7:8" ht="12.75">
      <c r="G35" s="29"/>
      <c r="H35" s="29"/>
    </row>
  </sheetData>
  <sheetProtection/>
  <mergeCells count="1">
    <mergeCell ref="K12:L12"/>
  </mergeCells>
  <printOptions/>
  <pageMargins left="0.46" right="0.27" top="1.5" bottom="1" header="0.5" footer="0.5"/>
  <pageSetup fitToHeight="1" fitToWidth="1" horizontalDpi="600" verticalDpi="600" orientation="landscape" scale="82" r:id="rId3"/>
  <headerFooter alignWithMargins="0">
    <oddHeader>&amp;L&amp;"Times New Roman,Regular"Puget Sound Energy
Docket UE-0702300/UG-072301&amp;R&amp;"Times New Roman,Regular"Electric Rate Spread and Rate Design 
Exhibit A to Multiparty Settlement&amp;"Arial,Regular"
</oddHeader>
    <oddFooter>&amp;R&amp;"Times New Roman,Regular"Page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21.00390625" style="58" bestFit="1" customWidth="1"/>
    <col min="2" max="2" width="15.00390625" style="58" bestFit="1" customWidth="1"/>
    <col min="3" max="3" width="12.8515625" style="58" bestFit="1" customWidth="1"/>
    <col min="4" max="4" width="15.00390625" style="58" bestFit="1" customWidth="1"/>
    <col min="5" max="5" width="12.7109375" style="58" bestFit="1" customWidth="1"/>
    <col min="6" max="6" width="15.00390625" style="58" bestFit="1" customWidth="1"/>
    <col min="7" max="7" width="10.7109375" style="58" bestFit="1" customWidth="1"/>
    <col min="8" max="8" width="16.00390625" style="58" bestFit="1" customWidth="1"/>
    <col min="9" max="9" width="13.421875" style="58" bestFit="1" customWidth="1"/>
    <col min="10" max="10" width="7.8515625" style="58" bestFit="1" customWidth="1"/>
    <col min="11" max="11" width="9.140625" style="58" customWidth="1"/>
    <col min="12" max="12" width="12.28125" style="58" bestFit="1" customWidth="1"/>
    <col min="13" max="16384" width="9.140625" style="58" customWidth="1"/>
  </cols>
  <sheetData>
    <row r="1" spans="1:10" ht="12.7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2.75">
      <c r="A2" s="57" t="s">
        <v>201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2.75">
      <c r="A3" s="57" t="str">
        <f>+'Summary Proforma Proposed'!A3</f>
        <v>Twelve Months ended September 30, 2007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ht="12.75">
      <c r="A4" s="57" t="s">
        <v>19</v>
      </c>
      <c r="B4" s="57"/>
      <c r="C4" s="57"/>
      <c r="D4" s="57"/>
      <c r="E4" s="57"/>
      <c r="F4" s="57"/>
      <c r="G4" s="57"/>
      <c r="H4" s="57"/>
      <c r="I4" s="57"/>
      <c r="J4" s="57"/>
    </row>
    <row r="5" spans="1:10" ht="12.75">
      <c r="A5" s="57" t="s">
        <v>221</v>
      </c>
      <c r="B5" s="57"/>
      <c r="C5" s="57"/>
      <c r="D5" s="57"/>
      <c r="E5" s="57"/>
      <c r="F5" s="57"/>
      <c r="G5" s="57"/>
      <c r="H5" s="57"/>
      <c r="I5" s="57"/>
      <c r="J5" s="57"/>
    </row>
    <row r="7" spans="2:8" ht="12.75">
      <c r="B7" s="94" t="s">
        <v>222</v>
      </c>
      <c r="C7" s="95"/>
      <c r="D7" s="96"/>
      <c r="E7" s="97" t="s">
        <v>109</v>
      </c>
      <c r="F7" s="120"/>
      <c r="G7" s="121" t="s">
        <v>110</v>
      </c>
      <c r="H7" s="120"/>
    </row>
    <row r="8" spans="3:10" ht="12.75">
      <c r="C8" s="89" t="s">
        <v>223</v>
      </c>
      <c r="D8" s="101"/>
      <c r="E8" s="122" t="s">
        <v>224</v>
      </c>
      <c r="F8" s="123"/>
      <c r="G8" s="124" t="s">
        <v>225</v>
      </c>
      <c r="H8" s="123"/>
      <c r="I8" s="94" t="s">
        <v>226</v>
      </c>
      <c r="J8" s="96"/>
    </row>
    <row r="9" spans="1:10" ht="12.75">
      <c r="A9" s="108"/>
      <c r="B9" s="108"/>
      <c r="C9" s="108" t="s">
        <v>227</v>
      </c>
      <c r="D9" s="108" t="s">
        <v>228</v>
      </c>
      <c r="E9" s="125" t="s">
        <v>229</v>
      </c>
      <c r="F9" s="126" t="s">
        <v>230</v>
      </c>
      <c r="G9" s="108" t="s">
        <v>229</v>
      </c>
      <c r="H9" s="126" t="s">
        <v>230</v>
      </c>
      <c r="I9" s="125" t="s">
        <v>231</v>
      </c>
      <c r="J9" s="126" t="s">
        <v>232</v>
      </c>
    </row>
    <row r="10" spans="1:10" ht="12.75">
      <c r="A10" s="79" t="s">
        <v>233</v>
      </c>
      <c r="B10" s="68">
        <v>11374965</v>
      </c>
      <c r="C10" s="68"/>
      <c r="D10" s="68">
        <f>+B10</f>
        <v>11374965</v>
      </c>
      <c r="E10" s="110">
        <v>6.02</v>
      </c>
      <c r="F10" s="92">
        <f>+E10*D10</f>
        <v>68477289.3</v>
      </c>
      <c r="G10" s="111">
        <f>+'Rate Design Sch 7'!$F$8</f>
        <v>7</v>
      </c>
      <c r="H10" s="92">
        <f>+G10*B10</f>
        <v>79624755</v>
      </c>
      <c r="I10" s="90">
        <f>+H10-F10</f>
        <v>11147465.700000003</v>
      </c>
      <c r="J10" s="112">
        <f>+I10/F10</f>
        <v>0.16279069767441864</v>
      </c>
    </row>
    <row r="11" spans="1:10" ht="12.75">
      <c r="A11" s="58" t="s">
        <v>234</v>
      </c>
      <c r="B11" s="68">
        <v>3377</v>
      </c>
      <c r="C11" s="68"/>
      <c r="D11" s="68">
        <f>+B11</f>
        <v>3377</v>
      </c>
      <c r="E11" s="110">
        <v>14.85</v>
      </c>
      <c r="F11" s="92">
        <f>+E11*D11</f>
        <v>50148.45</v>
      </c>
      <c r="G11" s="111">
        <f>+'Rate Design Sch 7'!$F$9</f>
        <v>17.25</v>
      </c>
      <c r="H11" s="92">
        <f>+G11*B11</f>
        <v>58253.25</v>
      </c>
      <c r="I11" s="90">
        <f>+H11-F11</f>
        <v>8104.800000000003</v>
      </c>
      <c r="J11" s="112">
        <f>+I11/F11</f>
        <v>0.16161616161616169</v>
      </c>
    </row>
    <row r="12" spans="1:10" ht="12.75">
      <c r="A12" s="58" t="s">
        <v>58</v>
      </c>
      <c r="B12" s="73">
        <f>SUM(B10:B11)</f>
        <v>11378342</v>
      </c>
      <c r="C12" s="73"/>
      <c r="D12" s="73">
        <f>SUM(D10:D11)</f>
        <v>11378342</v>
      </c>
      <c r="F12" s="74">
        <f>SUM(F10:F11)</f>
        <v>68527437.75</v>
      </c>
      <c r="H12" s="74">
        <f>SUM(H10:H11)</f>
        <v>79683008.25</v>
      </c>
      <c r="I12" s="74">
        <f>SUM(I10:I11)</f>
        <v>11155570.500000004</v>
      </c>
      <c r="J12" s="113">
        <f>+I12/F12</f>
        <v>0.1627898381477134</v>
      </c>
    </row>
    <row r="13" spans="6:8" ht="12.75">
      <c r="F13" s="92"/>
      <c r="H13" s="92"/>
    </row>
    <row r="14" spans="1:10" ht="12.75">
      <c r="A14" s="58" t="s">
        <v>235</v>
      </c>
      <c r="B14" s="114">
        <v>5821836138.282999</v>
      </c>
      <c r="C14" s="114"/>
      <c r="D14" s="114">
        <f>+C14+B14</f>
        <v>5821836138.282999</v>
      </c>
      <c r="E14" s="93">
        <v>0.074314</v>
      </c>
      <c r="F14" s="92">
        <f>+E14*D14</f>
        <v>432643930.78036284</v>
      </c>
      <c r="G14" s="93">
        <f>+'Rate Design Sch 7'!$F$13</f>
        <v>0.084216</v>
      </c>
      <c r="H14" s="92">
        <f>+G14*D14</f>
        <v>490291752.22164106</v>
      </c>
      <c r="I14" s="90">
        <f>+H14-F14</f>
        <v>57647821.44127822</v>
      </c>
      <c r="J14" s="112">
        <f>+I14/F14</f>
        <v>0.13324541809080379</v>
      </c>
    </row>
    <row r="15" spans="1:10" ht="12.75">
      <c r="A15" s="79" t="s">
        <v>62</v>
      </c>
      <c r="B15" s="114">
        <v>4944559234.168301</v>
      </c>
      <c r="C15" s="114">
        <v>-111534469</v>
      </c>
      <c r="D15" s="114">
        <f>+C15+B15</f>
        <v>4833024765.168301</v>
      </c>
      <c r="E15" s="93">
        <v>0.092122</v>
      </c>
      <c r="F15" s="92">
        <f>+E15*D15</f>
        <v>445227907.4168342</v>
      </c>
      <c r="G15" s="93">
        <f>+'Rate Design Sch 7'!$F$17</f>
        <v>0.102023</v>
      </c>
      <c r="H15" s="92">
        <f>+G15*D15</f>
        <v>493079685.61676556</v>
      </c>
      <c r="I15" s="90">
        <f>+H15-F15</f>
        <v>47851778.19993138</v>
      </c>
      <c r="J15" s="112">
        <f>+I15/F15</f>
        <v>0.10747704131477832</v>
      </c>
    </row>
    <row r="16" spans="1:13" ht="12.75">
      <c r="A16" s="58" t="s">
        <v>70</v>
      </c>
      <c r="B16" s="73">
        <f>SUM(B14:B15)</f>
        <v>10766395372.4513</v>
      </c>
      <c r="C16" s="73">
        <f>SUM(C14:C15)</f>
        <v>-111534469</v>
      </c>
      <c r="D16" s="73">
        <f>SUM(D14:D15)</f>
        <v>10654860903.4513</v>
      </c>
      <c r="F16" s="74">
        <f>SUM(F14:F15)</f>
        <v>877871838.197197</v>
      </c>
      <c r="H16" s="74">
        <f>SUM(H14:H15)</f>
        <v>983371437.8384066</v>
      </c>
      <c r="I16" s="74">
        <f>SUM(I14:I15)</f>
        <v>105499599.6412096</v>
      </c>
      <c r="J16" s="113">
        <f>+I16/F16</f>
        <v>0.12017653950246796</v>
      </c>
      <c r="L16" s="90">
        <f>+I16+I18</f>
        <v>70924576.00951013</v>
      </c>
      <c r="M16" s="113">
        <f>+L16/H16</f>
        <v>0.0721238926416377</v>
      </c>
    </row>
    <row r="17" spans="2:10" ht="12.75">
      <c r="B17" s="76"/>
      <c r="C17" s="76"/>
      <c r="D17" s="76"/>
      <c r="F17" s="77"/>
      <c r="H17" s="77"/>
      <c r="I17" s="77"/>
      <c r="J17" s="115"/>
    </row>
    <row r="18" spans="1:10" ht="12.75">
      <c r="A18" s="58" t="s">
        <v>236</v>
      </c>
      <c r="B18" s="76"/>
      <c r="C18" s="76"/>
      <c r="D18" s="73">
        <f>+D16</f>
        <v>10654860903.4513</v>
      </c>
      <c r="E18" s="93">
        <v>0.003245</v>
      </c>
      <c r="F18" s="74">
        <f>+E18*D18</f>
        <v>34575023.631699465</v>
      </c>
      <c r="G18" s="93">
        <v>0</v>
      </c>
      <c r="H18" s="74">
        <f>+G18*D18</f>
        <v>0</v>
      </c>
      <c r="I18" s="74">
        <f>+H18-F18</f>
        <v>-34575023.631699465</v>
      </c>
      <c r="J18" s="113">
        <f>+I18/F18</f>
        <v>-1</v>
      </c>
    </row>
    <row r="20" spans="1:10" ht="12.75">
      <c r="A20" s="58" t="s">
        <v>237</v>
      </c>
      <c r="B20" s="76"/>
      <c r="C20" s="76"/>
      <c r="D20" s="73">
        <v>33938723</v>
      </c>
      <c r="E20" s="93">
        <v>0.09181497773220361</v>
      </c>
      <c r="F20" s="74">
        <f>+E20*D20</f>
        <v>3116083.0965044266</v>
      </c>
      <c r="G20" s="93">
        <f>+'Rate Design Sch 7'!$F$20</f>
        <v>0.099497</v>
      </c>
      <c r="H20" s="74">
        <f>+G20*D20</f>
        <v>3376801.122331</v>
      </c>
      <c r="I20" s="74">
        <f>+H20-F20</f>
        <v>260718.02582657337</v>
      </c>
      <c r="J20" s="113">
        <f>+I20/F20</f>
        <v>0.0836685087503099</v>
      </c>
    </row>
    <row r="22" spans="1:10" ht="13.5" thickBot="1">
      <c r="A22" s="58" t="s">
        <v>71</v>
      </c>
      <c r="B22" s="127"/>
      <c r="C22" s="127"/>
      <c r="D22" s="71">
        <f>+D20+D16</f>
        <v>10688799626.4513</v>
      </c>
      <c r="F22" s="118">
        <f>SUM(F12,F16,F18,F20)</f>
        <v>984090382.6754009</v>
      </c>
      <c r="H22" s="118">
        <f>SUM(H12,H16,H18,H20)</f>
        <v>1066431247.2107376</v>
      </c>
      <c r="I22" s="118">
        <f>SUM(I12,I16,I18,I20)</f>
        <v>82340864.5353367</v>
      </c>
      <c r="J22" s="119">
        <f>+I22/F22</f>
        <v>0.08367205490971309</v>
      </c>
    </row>
    <row r="23" ht="14.25" customHeight="1" thickTop="1"/>
    <row r="24" spans="1:8" ht="12.75" hidden="1">
      <c r="A24" s="58" t="s">
        <v>117</v>
      </c>
      <c r="F24" s="90">
        <v>980974299.5788966</v>
      </c>
      <c r="H24" s="90">
        <f>+'Rate Spread'!$J$11</f>
        <v>1085939191.0668674</v>
      </c>
    </row>
    <row r="25" spans="1:8" ht="12.75" hidden="1">
      <c r="A25" s="58" t="s">
        <v>117</v>
      </c>
      <c r="F25" s="90">
        <f>+F24-(F22-F20)</f>
        <v>0</v>
      </c>
      <c r="H25" s="90">
        <f>+H24-H22</f>
        <v>19507943.856129766</v>
      </c>
    </row>
    <row r="26" ht="12.75" hidden="1"/>
    <row r="27" ht="12.75" hidden="1"/>
    <row r="28" ht="12.75" hidden="1"/>
    <row r="29" spans="1:6" ht="12.75" hidden="1">
      <c r="A29" s="79" t="s">
        <v>238</v>
      </c>
      <c r="E29" s="93">
        <f>+E18</f>
        <v>0.003245</v>
      </c>
      <c r="F29" s="92">
        <f>+E29*$D$16</f>
        <v>34575023.631699465</v>
      </c>
    </row>
    <row r="30" ht="12.75" hidden="1"/>
  </sheetData>
  <sheetProtection/>
  <printOptions/>
  <pageMargins left="0.46" right="0.27" top="1.5" bottom="1" header="0.5" footer="0.5"/>
  <pageSetup fitToHeight="1" fitToWidth="1" horizontalDpi="600" verticalDpi="600" orientation="landscape" scale="95" r:id="rId1"/>
  <headerFooter alignWithMargins="0">
    <oddHeader>&amp;L&amp;"Times New Roman,Regular"Puget Sound Energy
Docket UE-0702300/UG-072301&amp;R&amp;"Times New Roman,Regular"Electric Rate Spread and Rate Design 
Exhibit A to Multiparty Settlement&amp;"Arial,Regular"
</oddHeader>
    <oddFooter>&amp;R&amp;"Times New Roman,Regular"Page &amp;P of 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PageLayoutView="0" workbookViewId="0" topLeftCell="A7">
      <selection activeCell="D3" sqref="D3"/>
    </sheetView>
  </sheetViews>
  <sheetFormatPr defaultColWidth="9.140625" defaultRowHeight="12.75"/>
  <cols>
    <col min="1" max="1" width="4.421875" style="2" bestFit="1" customWidth="1"/>
    <col min="2" max="2" width="36.140625" style="2" bestFit="1" customWidth="1"/>
    <col min="3" max="3" width="12.28125" style="2" bestFit="1" customWidth="1"/>
    <col min="4" max="5" width="10.7109375" style="2" bestFit="1" customWidth="1"/>
    <col min="6" max="6" width="12.421875" style="2" bestFit="1" customWidth="1"/>
    <col min="7" max="7" width="16.140625" style="2" bestFit="1" customWidth="1"/>
    <col min="8" max="8" width="12.421875" style="2" bestFit="1" customWidth="1"/>
    <col min="9" max="9" width="47.421875" style="2" bestFit="1" customWidth="1"/>
    <col min="10" max="10" width="12.28125" style="2" bestFit="1" customWidth="1"/>
    <col min="11" max="11" width="15.00390625" style="2" bestFit="1" customWidth="1"/>
    <col min="12" max="16384" width="9.140625" style="2" customWidth="1"/>
  </cols>
  <sheetData>
    <row r="1" spans="1:9" ht="12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1" t="s">
        <v>44</v>
      </c>
      <c r="B2" s="1"/>
      <c r="C2" s="1"/>
      <c r="D2" s="1"/>
      <c r="E2" s="1"/>
      <c r="F2" s="1"/>
      <c r="G2" s="1"/>
      <c r="H2" s="1"/>
      <c r="I2" s="1"/>
    </row>
    <row r="3" spans="1:9" ht="12.75">
      <c r="A3" s="1" t="s">
        <v>465</v>
      </c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s="11" customFormat="1" ht="51">
      <c r="A5" s="207" t="str">
        <f>+'Rate Design Sch 7'!A5</f>
        <v>Line No.</v>
      </c>
      <c r="B5" s="208" t="str">
        <f>+'Rate Design Sch 7'!B5</f>
        <v>Description</v>
      </c>
      <c r="C5" s="207" t="str">
        <f>+'Rate Design Sch 7'!C5</f>
        <v>Bill
Determinants</v>
      </c>
      <c r="D5" s="207" t="str">
        <f>+'Rate Design Sch 7'!D5</f>
        <v>Base Rates
Effective 
9-1-07</v>
      </c>
      <c r="E5" s="207" t="str">
        <f>+'Rate Design Sch 7'!E5</f>
        <v>PCORC
Effective
9-1-07</v>
      </c>
      <c r="F5" s="207" t="str">
        <f>+'Rate Design Sch 7'!F5</f>
        <v>Proposed
Rates
Effective 2008</v>
      </c>
      <c r="G5" s="207" t="str">
        <f>+'Rate Design Sch 7'!G5</f>
        <v>Proforma
Revenue
Effective
9-1-07</v>
      </c>
      <c r="H5" s="207" t="str">
        <f>+'Rate Design Sch 7'!H5</f>
        <v>Proposed
Revenue
Effective
2008</v>
      </c>
      <c r="I5" s="208" t="str">
        <f>+'Rate Design Sch 7'!I5</f>
        <v>Notes:</v>
      </c>
    </row>
    <row r="6" spans="1:9" s="11" customFormat="1" ht="12.75">
      <c r="A6" s="11">
        <v>1</v>
      </c>
      <c r="B6" s="230"/>
      <c r="C6" s="231"/>
      <c r="D6" s="232"/>
      <c r="E6" s="232"/>
      <c r="F6" s="232"/>
      <c r="G6" s="232"/>
      <c r="H6" s="231"/>
      <c r="I6" s="233"/>
    </row>
    <row r="7" spans="1:9" ht="12.75">
      <c r="A7" s="11">
        <f aca="true" t="shared" si="0" ref="A7:A26">+A6+1</f>
        <v>2</v>
      </c>
      <c r="B7" s="2" t="s">
        <v>59</v>
      </c>
      <c r="F7" s="33"/>
      <c r="G7" s="29"/>
      <c r="H7" s="29"/>
      <c r="I7" s="218"/>
    </row>
    <row r="8" spans="1:9" ht="12.75">
      <c r="A8" s="11">
        <f t="shared" si="0"/>
        <v>3</v>
      </c>
      <c r="B8" s="24" t="s">
        <v>96</v>
      </c>
      <c r="C8" s="19">
        <f>+'HV Sch 49'!$B$10</f>
        <v>506155235</v>
      </c>
      <c r="D8" s="155">
        <f>+'HV Sch 49'!$C$10</f>
        <v>0.046901</v>
      </c>
      <c r="E8" s="155">
        <f>+'HV Sch 49'!$C$28</f>
        <v>0.002451</v>
      </c>
      <c r="F8" s="237">
        <f>ROUND((H18-SUM(H13,H10,'Rate Design Sch 46'!H10,'Rate Design Sch 46'!H13))/SUM(C8,'Rate Design Sch 46'!C8),6)-0.000001</f>
        <v>0.053203</v>
      </c>
      <c r="G8" s="29">
        <f>+C8*SUM(D8:E8)</f>
        <v>24979773.15772</v>
      </c>
      <c r="H8" s="29">
        <f>+C8*F8</f>
        <v>26928976.967705</v>
      </c>
      <c r="I8" s="220" t="s">
        <v>175</v>
      </c>
    </row>
    <row r="9" spans="1:8" ht="12.75">
      <c r="A9" s="11">
        <f t="shared" si="0"/>
        <v>4</v>
      </c>
      <c r="B9" s="24"/>
      <c r="C9" s="238"/>
      <c r="D9" s="155"/>
      <c r="E9" s="155"/>
      <c r="F9" s="155"/>
      <c r="G9" s="29"/>
      <c r="H9" s="29"/>
    </row>
    <row r="10" spans="1:9" ht="12.75">
      <c r="A10" s="11">
        <f t="shared" si="0"/>
        <v>5</v>
      </c>
      <c r="B10" s="24" t="s">
        <v>68</v>
      </c>
      <c r="C10" s="19">
        <f>+'HV Sch 49'!$B$16</f>
        <v>1937771</v>
      </c>
      <c r="D10" s="155">
        <f>+'HV Sch 49'!$C$16</f>
        <v>0.05748518591327201</v>
      </c>
      <c r="F10" s="237">
        <f>ROUND(D10*(1+H20),6)</f>
        <v>0.062295</v>
      </c>
      <c r="G10" s="29">
        <f>+C10*SUM(D10:D10)</f>
        <v>111393.12619234702</v>
      </c>
      <c r="H10" s="29">
        <f>+C10*SUM(F10)</f>
        <v>120713.444445</v>
      </c>
      <c r="I10" s="218" t="s">
        <v>115</v>
      </c>
    </row>
    <row r="11" spans="1:9" ht="13.5" thickBot="1">
      <c r="A11" s="11">
        <f t="shared" si="0"/>
        <v>6</v>
      </c>
      <c r="B11" s="24" t="s">
        <v>170</v>
      </c>
      <c r="C11" s="221">
        <f>SUM(C10,C8)</f>
        <v>508093006</v>
      </c>
      <c r="F11" s="33"/>
      <c r="G11" s="36">
        <f>SUM(G8:G10)</f>
        <v>25091166.283912346</v>
      </c>
      <c r="H11" s="36">
        <f>SUM(H8:H10)</f>
        <v>27049690.41215</v>
      </c>
      <c r="I11" s="218"/>
    </row>
    <row r="12" spans="1:9" ht="13.5" thickTop="1">
      <c r="A12" s="11">
        <f t="shared" si="0"/>
        <v>7</v>
      </c>
      <c r="C12" s="238"/>
      <c r="F12" s="33"/>
      <c r="G12" s="29"/>
      <c r="H12" s="29"/>
      <c r="I12" s="218"/>
    </row>
    <row r="13" spans="1:9" ht="12.75" customHeight="1" thickBot="1">
      <c r="A13" s="11">
        <f t="shared" si="0"/>
        <v>8</v>
      </c>
      <c r="B13" s="24" t="s">
        <v>171</v>
      </c>
      <c r="C13" s="35">
        <f>+'HV Sch 49'!$B$12</f>
        <v>1259430.44</v>
      </c>
      <c r="D13" s="150">
        <f>+'HV Sch 49'!$C$12</f>
        <v>3.14</v>
      </c>
      <c r="F13" s="241">
        <f>ROUND(((C13*D13)*(1+H21))/C13,2)</f>
        <v>3.53</v>
      </c>
      <c r="G13" s="36">
        <f>+C13*D13</f>
        <v>3954611.5816</v>
      </c>
      <c r="H13" s="36">
        <f>+C13*F13</f>
        <v>4445789.453199999</v>
      </c>
      <c r="I13" s="212" t="s">
        <v>172</v>
      </c>
    </row>
    <row r="14" spans="1:9" ht="13.5" thickTop="1">
      <c r="A14" s="11">
        <f t="shared" si="0"/>
        <v>9</v>
      </c>
      <c r="C14" s="238"/>
      <c r="F14" s="33"/>
      <c r="G14" s="29"/>
      <c r="H14" s="29"/>
      <c r="I14" s="218"/>
    </row>
    <row r="15" spans="1:9" ht="13.5" thickBot="1">
      <c r="A15" s="11">
        <f t="shared" si="0"/>
        <v>10</v>
      </c>
      <c r="B15" s="2" t="s">
        <v>71</v>
      </c>
      <c r="D15" s="40"/>
      <c r="E15" s="40"/>
      <c r="F15" s="40"/>
      <c r="G15" s="36">
        <f>SUM(G11,G13)</f>
        <v>29045777.865512345</v>
      </c>
      <c r="H15" s="36">
        <f>SUM(H11,H13)</f>
        <v>31495479.86535</v>
      </c>
      <c r="I15" s="218"/>
    </row>
    <row r="16" spans="1:9" ht="13.5" thickTop="1">
      <c r="A16" s="11">
        <f t="shared" si="0"/>
        <v>11</v>
      </c>
      <c r="D16" s="29"/>
      <c r="E16" s="29"/>
      <c r="F16" s="29"/>
      <c r="G16" s="29"/>
      <c r="H16" s="29"/>
      <c r="I16" s="218"/>
    </row>
    <row r="17" spans="1:9" ht="12.75">
      <c r="A17" s="11">
        <f t="shared" si="0"/>
        <v>12</v>
      </c>
      <c r="B17" s="24" t="s">
        <v>176</v>
      </c>
      <c r="C17" s="40"/>
      <c r="D17" s="29"/>
      <c r="E17" s="40"/>
      <c r="F17" s="29"/>
      <c r="H17" s="349">
        <f>+'Rate Spread'!$M$26</f>
        <v>2668810.9294220693</v>
      </c>
      <c r="I17" s="212" t="s">
        <v>489</v>
      </c>
    </row>
    <row r="18" spans="1:8" ht="12.75">
      <c r="A18" s="11">
        <f t="shared" si="0"/>
        <v>13</v>
      </c>
      <c r="B18" s="24" t="s">
        <v>177</v>
      </c>
      <c r="C18" s="40"/>
      <c r="D18" s="155"/>
      <c r="F18" s="29"/>
      <c r="H18" s="29">
        <f>+H17+G15+'Rate Design Sch 46'!G15</f>
        <v>34564768.894946314</v>
      </c>
    </row>
    <row r="19" spans="1:6" ht="12.75">
      <c r="A19" s="11">
        <f t="shared" si="0"/>
        <v>14</v>
      </c>
      <c r="B19" s="24"/>
      <c r="C19" s="40"/>
      <c r="D19" s="155"/>
      <c r="F19" s="29"/>
    </row>
    <row r="20" spans="1:9" ht="12.75">
      <c r="A20" s="11">
        <f t="shared" si="0"/>
        <v>15</v>
      </c>
      <c r="B20" s="24" t="s">
        <v>173</v>
      </c>
      <c r="C20" s="40"/>
      <c r="D20" s="155"/>
      <c r="F20" s="29"/>
      <c r="H20" s="16">
        <f>+H17/(G15+'Rate Design Sch 46'!G15)</f>
        <v>0.0836723867114052</v>
      </c>
      <c r="I20" s="218" t="s">
        <v>115</v>
      </c>
    </row>
    <row r="21" spans="1:9" ht="12.75">
      <c r="A21" s="11">
        <f t="shared" si="0"/>
        <v>16</v>
      </c>
      <c r="B21" s="24" t="s">
        <v>174</v>
      </c>
      <c r="G21" s="29"/>
      <c r="H21" s="16">
        <f>+H20*1.5</f>
        <v>0.1255085800671078</v>
      </c>
      <c r="I21" s="212" t="s">
        <v>172</v>
      </c>
    </row>
    <row r="22" spans="1:8" ht="12.75">
      <c r="A22" s="11">
        <f t="shared" si="0"/>
        <v>17</v>
      </c>
      <c r="G22" s="29"/>
      <c r="H22" s="29"/>
    </row>
    <row r="23" spans="1:8" ht="12.75">
      <c r="A23" s="11">
        <f t="shared" si="0"/>
        <v>18</v>
      </c>
      <c r="B23" s="10" t="s">
        <v>178</v>
      </c>
      <c r="G23" s="29"/>
      <c r="H23" s="29">
        <f>+'Rate Design Sch 46'!H15</f>
        <v>3068730.892163</v>
      </c>
    </row>
    <row r="24" spans="1:8" ht="12.75">
      <c r="A24" s="11">
        <f t="shared" si="0"/>
        <v>19</v>
      </c>
      <c r="B24" s="10" t="s">
        <v>179</v>
      </c>
      <c r="G24" s="29"/>
      <c r="H24" s="29">
        <f>+H15</f>
        <v>31495479.86535</v>
      </c>
    </row>
    <row r="25" spans="1:8" ht="13.5" thickBot="1">
      <c r="A25" s="11">
        <f t="shared" si="0"/>
        <v>20</v>
      </c>
      <c r="B25" s="24" t="s">
        <v>180</v>
      </c>
      <c r="G25" s="29"/>
      <c r="H25" s="29">
        <f>SUM(H23:H24)</f>
        <v>34564210.757513</v>
      </c>
    </row>
    <row r="26" spans="1:8" ht="13.5" thickBot="1">
      <c r="A26" s="11">
        <f t="shared" si="0"/>
        <v>21</v>
      </c>
      <c r="B26" s="24" t="str">
        <f>+'Rate Design Sch 7'!$B$34</f>
        <v>Over (Under) Recover Target Rate Spread</v>
      </c>
      <c r="G26" s="29"/>
      <c r="H26" s="254">
        <f>+H25-H18</f>
        <v>-558.1374333128333</v>
      </c>
    </row>
    <row r="27" spans="7:8" ht="12.75">
      <c r="G27" s="29"/>
      <c r="H27" s="29"/>
    </row>
    <row r="28" spans="7:8" ht="12.75">
      <c r="G28" s="29"/>
      <c r="H28" s="29"/>
    </row>
    <row r="29" spans="7:8" ht="12.75">
      <c r="G29" s="29"/>
      <c r="H29" s="29"/>
    </row>
    <row r="30" spans="7:8" ht="12.75">
      <c r="G30" s="29"/>
      <c r="H30" s="29"/>
    </row>
    <row r="31" spans="7:8" ht="12.75">
      <c r="G31" s="29"/>
      <c r="H31" s="29"/>
    </row>
    <row r="32" spans="7:8" ht="12.75">
      <c r="G32" s="29"/>
      <c r="H32" s="29"/>
    </row>
    <row r="33" spans="7:8" ht="12.75">
      <c r="G33" s="29"/>
      <c r="H33" s="29"/>
    </row>
    <row r="34" spans="7:8" ht="12.75">
      <c r="G34" s="29"/>
      <c r="H34" s="29"/>
    </row>
    <row r="35" spans="7:8" ht="12.75">
      <c r="G35" s="29"/>
      <c r="H35" s="29"/>
    </row>
    <row r="36" spans="7:8" ht="12.75">
      <c r="G36" s="29"/>
      <c r="H36" s="29"/>
    </row>
  </sheetData>
  <sheetProtection/>
  <printOptions/>
  <pageMargins left="0.46" right="0.27" top="1.5" bottom="1" header="0.5" footer="0.5"/>
  <pageSetup fitToHeight="1" fitToWidth="1" horizontalDpi="600" verticalDpi="600" orientation="landscape" scale="82" r:id="rId1"/>
  <headerFooter alignWithMargins="0">
    <oddHeader>&amp;L&amp;"Times New Roman,Regular"Puget Sound Energy
Docket UE-0702300/UG-072301&amp;R&amp;"Times New Roman,Regular"Electric Rate Spread and Rate Design 
Exhibit A to Multiparty Settlement&amp;"Arial,Regular"
</oddHeader>
    <oddFooter>&amp;R&amp;"Times New Roman,Regular"Page &amp;P of &amp;N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4.421875" style="2" bestFit="1" customWidth="1"/>
    <col min="2" max="2" width="37.421875" style="2" bestFit="1" customWidth="1"/>
    <col min="3" max="3" width="12.00390625" style="2" bestFit="1" customWidth="1"/>
    <col min="4" max="4" width="11.28125" style="2" bestFit="1" customWidth="1"/>
    <col min="5" max="5" width="12.421875" style="2" bestFit="1" customWidth="1"/>
    <col min="6" max="6" width="16.140625" style="2" bestFit="1" customWidth="1"/>
    <col min="7" max="7" width="12.421875" style="2" bestFit="1" customWidth="1"/>
    <col min="8" max="8" width="33.421875" style="2" customWidth="1"/>
    <col min="9" max="9" width="12.28125" style="2" bestFit="1" customWidth="1"/>
    <col min="10" max="10" width="15.00390625" style="2" bestFit="1" customWidth="1"/>
    <col min="11" max="16384" width="9.140625" style="2" customWidth="1"/>
  </cols>
  <sheetData>
    <row r="1" spans="1:8" ht="12.75">
      <c r="A1" s="1" t="s">
        <v>0</v>
      </c>
      <c r="B1" s="1"/>
      <c r="C1" s="1"/>
      <c r="D1" s="1"/>
      <c r="E1" s="1"/>
      <c r="F1" s="1"/>
      <c r="G1" s="1"/>
      <c r="H1" s="1"/>
    </row>
    <row r="2" spans="1:8" ht="12.75">
      <c r="A2" s="1" t="s">
        <v>44</v>
      </c>
      <c r="B2" s="1"/>
      <c r="C2" s="1"/>
      <c r="D2" s="1"/>
      <c r="E2" s="1"/>
      <c r="F2" s="1"/>
      <c r="G2" s="1"/>
      <c r="H2" s="1"/>
    </row>
    <row r="3" spans="1:8" ht="12.75">
      <c r="A3" s="1" t="s">
        <v>181</v>
      </c>
      <c r="B3" s="1"/>
      <c r="C3" s="1"/>
      <c r="D3" s="1"/>
      <c r="E3" s="1"/>
      <c r="F3" s="1"/>
      <c r="G3" s="1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s="11" customFormat="1" ht="51">
      <c r="A5" s="207" t="str">
        <f>+'Rate Design Sch 7'!A5</f>
        <v>Line No.</v>
      </c>
      <c r="B5" s="208" t="str">
        <f>+'Rate Design Sch 7'!B5</f>
        <v>Description</v>
      </c>
      <c r="C5" s="207" t="str">
        <f>+'Rate Design Sch 7'!C5</f>
        <v>Bill
Determinants</v>
      </c>
      <c r="D5" s="207" t="str">
        <f>+'Rate Design Sch 7'!D5</f>
        <v>Base Rates
Effective 
9-1-07</v>
      </c>
      <c r="E5" s="207" t="s">
        <v>182</v>
      </c>
      <c r="F5" s="207" t="str">
        <f>+'Rate Design Sch 7'!G5</f>
        <v>Proforma
Revenue
Effective
9-1-07</v>
      </c>
      <c r="G5" s="207" t="str">
        <f>+'Rate Design Sch 7'!H5</f>
        <v>Proposed
Revenue
Effective
2008</v>
      </c>
      <c r="H5" s="208" t="str">
        <f>+'Rate Design Sch 7'!I5</f>
        <v>Notes:</v>
      </c>
    </row>
    <row r="6" spans="1:8" s="11" customFormat="1" ht="12.75">
      <c r="A6" s="11">
        <v>1</v>
      </c>
      <c r="B6" s="230"/>
      <c r="C6" s="231"/>
      <c r="D6" s="232"/>
      <c r="E6" s="232"/>
      <c r="F6" s="232"/>
      <c r="G6" s="231"/>
      <c r="H6" s="233"/>
    </row>
    <row r="7" spans="1:8" ht="12.75">
      <c r="A7" s="11">
        <f aca="true" t="shared" si="0" ref="A7:A42">+A6+1</f>
        <v>2</v>
      </c>
      <c r="B7" s="2" t="s">
        <v>55</v>
      </c>
      <c r="E7" s="33"/>
      <c r="F7" s="29"/>
      <c r="G7" s="29"/>
      <c r="H7" s="218"/>
    </row>
    <row r="8" spans="1:11" ht="12.75">
      <c r="A8" s="11">
        <f t="shared" si="0"/>
        <v>3</v>
      </c>
      <c r="B8" s="22" t="s">
        <v>183</v>
      </c>
      <c r="C8" s="19">
        <f>+'Sch 449'!$B$12</f>
        <v>24</v>
      </c>
      <c r="D8" s="216">
        <f>+'Sch 449'!$C$12</f>
        <v>709</v>
      </c>
      <c r="E8" s="239">
        <v>1000</v>
      </c>
      <c r="F8" s="29">
        <f>+C8*SUM(D8)</f>
        <v>17016</v>
      </c>
      <c r="G8" s="29">
        <f>+C8*E8</f>
        <v>24000</v>
      </c>
      <c r="H8" s="380" t="s">
        <v>488</v>
      </c>
      <c r="K8" s="29">
        <v>1304.89</v>
      </c>
    </row>
    <row r="9" spans="1:8" ht="12.75">
      <c r="A9" s="11">
        <f t="shared" si="0"/>
        <v>4</v>
      </c>
      <c r="B9" s="22" t="s">
        <v>184</v>
      </c>
      <c r="C9" s="19">
        <f>+'Sch 449'!$B$18</f>
        <v>168</v>
      </c>
      <c r="D9" s="216">
        <f>+'Sch 449'!$C$18</f>
        <v>709</v>
      </c>
      <c r="E9" s="268">
        <f>+E8</f>
        <v>1000</v>
      </c>
      <c r="F9" s="29">
        <f>+C9*SUM(D9)</f>
        <v>119112</v>
      </c>
      <c r="G9" s="29">
        <f>+C9*E9</f>
        <v>168000</v>
      </c>
      <c r="H9" s="388"/>
    </row>
    <row r="10" spans="1:8" ht="12.75">
      <c r="A10" s="11">
        <f t="shared" si="0"/>
        <v>5</v>
      </c>
      <c r="B10" s="22" t="s">
        <v>185</v>
      </c>
      <c r="C10" s="19">
        <f>+'Sch 459'!$B$12</f>
        <v>60</v>
      </c>
      <c r="D10" s="216">
        <f>+'Sch 459'!$C$12</f>
        <v>709</v>
      </c>
      <c r="E10" s="268">
        <f>+E9</f>
        <v>1000</v>
      </c>
      <c r="F10" s="29">
        <f>+C10*SUM(D10)</f>
        <v>42540</v>
      </c>
      <c r="G10" s="29">
        <f>+C10*E10</f>
        <v>60000</v>
      </c>
      <c r="H10" s="388"/>
    </row>
    <row r="11" spans="1:8" ht="13.5" thickBot="1">
      <c r="A11" s="11">
        <f t="shared" si="0"/>
        <v>6</v>
      </c>
      <c r="B11" s="10" t="s">
        <v>58</v>
      </c>
      <c r="C11" s="221">
        <f>SUM(C8:C10)</f>
        <v>252</v>
      </c>
      <c r="E11" s="33"/>
      <c r="F11" s="36">
        <f>SUM(F8:F10)</f>
        <v>178668</v>
      </c>
      <c r="G11" s="36">
        <f>SUM(G8:G10)</f>
        <v>252000</v>
      </c>
      <c r="H11" s="218"/>
    </row>
    <row r="12" spans="1:6" ht="13.5" thickTop="1">
      <c r="A12" s="11">
        <f t="shared" si="0"/>
        <v>7</v>
      </c>
      <c r="C12" s="238"/>
      <c r="E12" s="33"/>
      <c r="F12" s="29"/>
    </row>
    <row r="13" spans="1:5" ht="12.75" customHeight="1">
      <c r="A13" s="11">
        <f t="shared" si="0"/>
        <v>8</v>
      </c>
      <c r="B13" s="24" t="s">
        <v>171</v>
      </c>
      <c r="D13" s="40"/>
      <c r="E13" s="40"/>
    </row>
    <row r="14" spans="1:8" ht="12.75" customHeight="1">
      <c r="A14" s="11">
        <f t="shared" si="0"/>
        <v>9</v>
      </c>
      <c r="B14" s="22" t="s">
        <v>183</v>
      </c>
      <c r="C14" s="19">
        <f>+'Sch 449'!$B$13</f>
        <v>209738</v>
      </c>
      <c r="D14" s="269">
        <f>+'Sch 449'!$C$13</f>
        <v>3.999</v>
      </c>
      <c r="E14" s="270">
        <f>ROUND(D14+G38,3)-0</f>
        <v>3.979</v>
      </c>
      <c r="F14" s="29">
        <f>+C14*SUM(D14)</f>
        <v>838742.262</v>
      </c>
      <c r="G14" s="29">
        <f>+C14*E14</f>
        <v>834547.502</v>
      </c>
      <c r="H14" s="388" t="s">
        <v>186</v>
      </c>
    </row>
    <row r="15" spans="1:8" ht="12.75" customHeight="1">
      <c r="A15" s="11">
        <f t="shared" si="0"/>
        <v>10</v>
      </c>
      <c r="B15" s="22" t="s">
        <v>184</v>
      </c>
      <c r="C15" s="19">
        <f>+'Sch 449'!$B$19</f>
        <v>2928917</v>
      </c>
      <c r="D15" s="269">
        <f>+'Sch 449'!$C$19</f>
        <v>1.532</v>
      </c>
      <c r="E15" s="270">
        <f>ROUND(D15+G38,3)-0</f>
        <v>1.512</v>
      </c>
      <c r="F15" s="29">
        <f>+C15*SUM(D15)-1022</f>
        <v>4486078.8440000005</v>
      </c>
      <c r="G15" s="29">
        <f>+C15*E15</f>
        <v>4428522.504</v>
      </c>
      <c r="H15" s="388"/>
    </row>
    <row r="16" spans="1:8" ht="12.75" customHeight="1">
      <c r="A16" s="11">
        <f t="shared" si="0"/>
        <v>11</v>
      </c>
      <c r="B16" s="22" t="s">
        <v>185</v>
      </c>
      <c r="C16" s="19">
        <f>+'Sch 459'!$B$13</f>
        <v>608438</v>
      </c>
      <c r="D16" s="269">
        <f>+'Sch 459'!$C$13</f>
        <v>1.532</v>
      </c>
      <c r="E16" s="270">
        <f>+E15</f>
        <v>1.512</v>
      </c>
      <c r="F16" s="29">
        <f>+C16*SUM(D16)</f>
        <v>932127.0160000001</v>
      </c>
      <c r="G16" s="29">
        <f>+C16*E16</f>
        <v>919958.256</v>
      </c>
      <c r="H16" s="388"/>
    </row>
    <row r="17" spans="1:7" ht="12.75" customHeight="1" thickBot="1">
      <c r="A17" s="11">
        <f t="shared" si="0"/>
        <v>12</v>
      </c>
      <c r="B17" s="10" t="s">
        <v>187</v>
      </c>
      <c r="C17" s="35">
        <f>SUM(C14:C16)</f>
        <v>3747093</v>
      </c>
      <c r="D17" s="150"/>
      <c r="E17" s="33"/>
      <c r="F17" s="36">
        <f>SUM(F14:F16)</f>
        <v>6256948.122</v>
      </c>
      <c r="G17" s="36">
        <f>SUM(G14:G16)</f>
        <v>6183028.262</v>
      </c>
    </row>
    <row r="18" spans="1:5" ht="13.5" thickTop="1">
      <c r="A18" s="11">
        <f t="shared" si="0"/>
        <v>13</v>
      </c>
      <c r="C18" s="238"/>
      <c r="E18" s="33"/>
    </row>
    <row r="19" spans="1:7" ht="13.5" thickBot="1">
      <c r="A19" s="11">
        <f t="shared" si="0"/>
        <v>14</v>
      </c>
      <c r="B19" s="27" t="s">
        <v>188</v>
      </c>
      <c r="C19" s="238"/>
      <c r="E19" s="33"/>
      <c r="F19" s="36">
        <f>+'Sch 449'!$D$22+'Sch 459'!$D$16</f>
        <v>2336798.1621580194</v>
      </c>
      <c r="G19" s="160">
        <f>+F19</f>
        <v>2336798.1621580194</v>
      </c>
    </row>
    <row r="20" spans="1:5" ht="13.5" thickTop="1">
      <c r="A20" s="11">
        <f t="shared" si="0"/>
        <v>15</v>
      </c>
      <c r="C20" s="238"/>
      <c r="E20" s="33"/>
    </row>
    <row r="21" spans="1:5" ht="12.75" customHeight="1">
      <c r="A21" s="11">
        <f t="shared" si="0"/>
        <v>16</v>
      </c>
      <c r="B21" s="24" t="s">
        <v>68</v>
      </c>
      <c r="D21" s="40"/>
      <c r="E21" s="40"/>
    </row>
    <row r="22" spans="1:8" ht="12.75" customHeight="1">
      <c r="A22" s="11">
        <f t="shared" si="0"/>
        <v>17</v>
      </c>
      <c r="B22" s="22" t="s">
        <v>189</v>
      </c>
      <c r="C22" s="19">
        <f>+'Sch 449'!$B$33</f>
        <v>1218729</v>
      </c>
      <c r="D22" s="155">
        <f>+'Sch 449'!$C$24</f>
        <v>-0.004643472884201838</v>
      </c>
      <c r="E22" s="155">
        <f>ROUND(D22*(1+G32),6)</f>
        <v>-0.004643</v>
      </c>
      <c r="F22" s="29">
        <f>+C22*SUM(D22)</f>
        <v>-5659.135064690421</v>
      </c>
      <c r="G22" s="29">
        <f>+E22*C22</f>
        <v>-5658.558747000001</v>
      </c>
      <c r="H22" s="391" t="s">
        <v>115</v>
      </c>
    </row>
    <row r="23" spans="1:8" ht="12.75" customHeight="1">
      <c r="A23" s="11">
        <f t="shared" si="0"/>
        <v>18</v>
      </c>
      <c r="B23" s="22" t="s">
        <v>190</v>
      </c>
      <c r="C23" s="19">
        <f>+'Sch 449'!$B$34</f>
        <v>17807117</v>
      </c>
      <c r="D23" s="155">
        <f>+D22</f>
        <v>-0.004643472884201838</v>
      </c>
      <c r="E23" s="155">
        <f>ROUND(D23*(1+G32),6)</f>
        <v>-0.004643</v>
      </c>
      <c r="F23" s="29">
        <f>+C23*SUM(D23)</f>
        <v>-82686.86493530957</v>
      </c>
      <c r="G23" s="29">
        <f>+E23*C23</f>
        <v>-82678.444231</v>
      </c>
      <c r="H23" s="388"/>
    </row>
    <row r="24" spans="1:8" ht="12.75" customHeight="1">
      <c r="A24" s="11">
        <f t="shared" si="0"/>
        <v>19</v>
      </c>
      <c r="B24" s="22" t="s">
        <v>191</v>
      </c>
      <c r="C24" s="19">
        <f>+'Sch 459'!$B$18</f>
        <v>3656938</v>
      </c>
      <c r="D24" s="155">
        <f>+'Sch 459'!$C$18</f>
        <v>-0.0046435022961833095</v>
      </c>
      <c r="E24" s="155">
        <f>ROUND(D24*(1+G32),6)</f>
        <v>-0.004644</v>
      </c>
      <c r="F24" s="29">
        <f>+C24*SUM(D24)</f>
        <v>-16981</v>
      </c>
      <c r="G24" s="29">
        <f>+E24*C24</f>
        <v>-16982.820072</v>
      </c>
      <c r="H24" s="388"/>
    </row>
    <row r="25" spans="1:7" ht="12.75" customHeight="1">
      <c r="A25" s="11">
        <f t="shared" si="0"/>
        <v>20</v>
      </c>
      <c r="B25" s="22"/>
      <c r="C25" s="19"/>
      <c r="D25" s="150"/>
      <c r="E25" s="40"/>
      <c r="F25" s="29"/>
      <c r="G25" s="29"/>
    </row>
    <row r="26" spans="1:7" ht="12.75" customHeight="1" thickBot="1">
      <c r="A26" s="11">
        <f t="shared" si="0"/>
        <v>21</v>
      </c>
      <c r="B26" s="22"/>
      <c r="C26" s="19"/>
      <c r="D26" s="150"/>
      <c r="E26" s="40"/>
      <c r="F26" s="36">
        <f>SUM(F22:F25)</f>
        <v>-105326.99999999999</v>
      </c>
      <c r="G26" s="36">
        <f>SUM(G22:G25)</f>
        <v>-105319.82305</v>
      </c>
    </row>
    <row r="27" spans="1:8" ht="13.5" thickTop="1">
      <c r="A27" s="11">
        <f t="shared" si="0"/>
        <v>22</v>
      </c>
      <c r="C27" s="238"/>
      <c r="E27" s="40"/>
      <c r="F27" s="33"/>
      <c r="G27" s="33"/>
      <c r="H27" s="218"/>
    </row>
    <row r="28" spans="1:8" ht="13.5" thickBot="1">
      <c r="A28" s="11">
        <f t="shared" si="0"/>
        <v>23</v>
      </c>
      <c r="B28" s="2" t="s">
        <v>71</v>
      </c>
      <c r="D28" s="40"/>
      <c r="E28" s="40"/>
      <c r="F28" s="36">
        <f>SUM(F11,F17,F26,F19)</f>
        <v>8667087.28415802</v>
      </c>
      <c r="G28" s="36">
        <f>SUM(G11,G17,G26,G19)</f>
        <v>8666506.60110802</v>
      </c>
      <c r="H28" s="218"/>
    </row>
    <row r="29" spans="1:8" ht="13.5" thickTop="1">
      <c r="A29" s="11">
        <f t="shared" si="0"/>
        <v>24</v>
      </c>
      <c r="D29" s="29"/>
      <c r="E29" s="29"/>
      <c r="F29" s="29"/>
      <c r="G29" s="29"/>
      <c r="H29" s="218"/>
    </row>
    <row r="30" spans="1:8" ht="12.75">
      <c r="A30" s="11">
        <f t="shared" si="0"/>
        <v>25</v>
      </c>
      <c r="B30" s="24" t="s">
        <v>192</v>
      </c>
      <c r="C30" s="40"/>
      <c r="D30" s="29"/>
      <c r="E30" s="29"/>
      <c r="G30" s="29">
        <f>+'Rate Spread'!$M$28</f>
        <v>0</v>
      </c>
      <c r="H30" s="212" t="s">
        <v>489</v>
      </c>
    </row>
    <row r="31" spans="1:7" ht="12.75">
      <c r="A31" s="11">
        <f t="shared" si="0"/>
        <v>26</v>
      </c>
      <c r="B31" s="24" t="s">
        <v>193</v>
      </c>
      <c r="C31" s="40"/>
      <c r="D31" s="155"/>
      <c r="E31" s="29"/>
      <c r="G31" s="29">
        <f>+G30+F28</f>
        <v>8667087.28415802</v>
      </c>
    </row>
    <row r="32" spans="1:8" ht="12.75">
      <c r="A32" s="11">
        <f t="shared" si="0"/>
        <v>27</v>
      </c>
      <c r="B32" s="24" t="s">
        <v>194</v>
      </c>
      <c r="C32" s="40"/>
      <c r="D32" s="155"/>
      <c r="E32" s="29"/>
      <c r="G32" s="255">
        <f>+G30/F28</f>
        <v>0</v>
      </c>
      <c r="H32" s="263" t="s">
        <v>115</v>
      </c>
    </row>
    <row r="33" spans="1:7" ht="12.75">
      <c r="A33" s="11">
        <f t="shared" si="0"/>
        <v>28</v>
      </c>
      <c r="B33" s="24"/>
      <c r="D33" s="40"/>
      <c r="E33" s="40"/>
      <c r="F33" s="29"/>
      <c r="G33" s="16"/>
    </row>
    <row r="34" spans="1:7" ht="12.75">
      <c r="A34" s="11">
        <f t="shared" si="0"/>
        <v>29</v>
      </c>
      <c r="B34" s="24"/>
      <c r="D34" s="40"/>
      <c r="E34" s="40"/>
      <c r="F34" s="29"/>
      <c r="G34" s="16"/>
    </row>
    <row r="35" spans="1:7" ht="12.75">
      <c r="A35" s="11">
        <f t="shared" si="0"/>
        <v>30</v>
      </c>
      <c r="B35" s="24" t="s">
        <v>195</v>
      </c>
      <c r="D35" s="40"/>
      <c r="E35" s="40"/>
      <c r="F35" s="29"/>
      <c r="G35" s="271">
        <f>+G31-G11-G19-G26</f>
        <v>6183608.945049999</v>
      </c>
    </row>
    <row r="36" spans="1:7" ht="12.75">
      <c r="A36" s="11">
        <f t="shared" si="0"/>
        <v>31</v>
      </c>
      <c r="B36" s="10" t="s">
        <v>87</v>
      </c>
      <c r="D36" s="40"/>
      <c r="E36" s="40"/>
      <c r="F36" s="29"/>
      <c r="G36" s="271">
        <f>+G35-F17</f>
        <v>-73339.17695000116</v>
      </c>
    </row>
    <row r="37" spans="1:7" ht="12.75">
      <c r="A37" s="11">
        <f t="shared" si="0"/>
        <v>32</v>
      </c>
      <c r="B37" s="24" t="s">
        <v>196</v>
      </c>
      <c r="D37" s="272"/>
      <c r="E37" s="269"/>
      <c r="F37" s="29"/>
      <c r="G37" s="16">
        <f>+G36/SUM(F17)</f>
        <v>-0.011721237817544614</v>
      </c>
    </row>
    <row r="38" spans="1:8" ht="12.75">
      <c r="A38" s="11">
        <f t="shared" si="0"/>
        <v>33</v>
      </c>
      <c r="B38" s="24" t="s">
        <v>197</v>
      </c>
      <c r="D38" s="272"/>
      <c r="E38" s="269"/>
      <c r="F38" s="29"/>
      <c r="G38" s="273">
        <f>+G36/C17</f>
        <v>-0.01957228628966539</v>
      </c>
      <c r="H38" s="263" t="s">
        <v>198</v>
      </c>
    </row>
    <row r="39" spans="1:7" ht="13.5" thickBot="1">
      <c r="A39" s="11">
        <f t="shared" si="0"/>
        <v>34</v>
      </c>
      <c r="D39" s="272"/>
      <c r="E39" s="269"/>
      <c r="F39" s="29"/>
      <c r="G39" s="29"/>
    </row>
    <row r="40" spans="1:7" ht="13.5" thickBot="1">
      <c r="A40" s="11">
        <f>+A38+1</f>
        <v>34</v>
      </c>
      <c r="B40" s="10" t="s">
        <v>117</v>
      </c>
      <c r="E40" s="224"/>
      <c r="F40" s="29"/>
      <c r="G40" s="225">
        <f>+G28-G31</f>
        <v>-580.6830499991775</v>
      </c>
    </row>
    <row r="41" spans="1:7" ht="12.75" hidden="1">
      <c r="A41" s="11">
        <f t="shared" si="0"/>
        <v>35</v>
      </c>
      <c r="E41" s="224"/>
      <c r="F41" s="29"/>
      <c r="G41" s="29"/>
    </row>
    <row r="42" spans="1:8" ht="12.75" hidden="1">
      <c r="A42" s="11">
        <f t="shared" si="0"/>
        <v>36</v>
      </c>
      <c r="B42" s="24" t="s">
        <v>199</v>
      </c>
      <c r="E42" s="213"/>
      <c r="F42" s="29">
        <f>SUM(F8,F14,F22)</f>
        <v>850099.1269353096</v>
      </c>
      <c r="G42" s="29">
        <f>SUM(G8,G14,G22)</f>
        <v>852888.943253</v>
      </c>
      <c r="H42" s="40">
        <f>+G42-F42</f>
        <v>2789.81631769042</v>
      </c>
    </row>
    <row r="43" spans="1:7" ht="12.75" hidden="1">
      <c r="A43" s="11">
        <f>+A42+1</f>
        <v>37</v>
      </c>
      <c r="B43" s="24" t="s">
        <v>200</v>
      </c>
      <c r="E43" s="213"/>
      <c r="F43" s="29">
        <f>SUM(F9:F10,F15:F16,F23:F24)</f>
        <v>5480189.995064691</v>
      </c>
      <c r="G43" s="29">
        <f>SUM(G9:G10,G15:G16,G23:G24)</f>
        <v>5476819.495697</v>
      </c>
    </row>
    <row r="44" spans="1:7" ht="12.75" hidden="1">
      <c r="A44" s="11">
        <f>+A43+1</f>
        <v>38</v>
      </c>
      <c r="B44" s="10" t="s">
        <v>188</v>
      </c>
      <c r="E44" s="213"/>
      <c r="F44" s="29">
        <f>+F19</f>
        <v>2336798.1621580194</v>
      </c>
      <c r="G44" s="29">
        <f>+G19</f>
        <v>2336798.1621580194</v>
      </c>
    </row>
    <row r="45" spans="5:7" ht="13.5" hidden="1" thickBot="1">
      <c r="E45" s="273"/>
      <c r="F45" s="36">
        <f>SUM(F42:F44)</f>
        <v>8667087.28415802</v>
      </c>
      <c r="G45" s="36">
        <f>SUM(G42:G44)</f>
        <v>8666506.60110802</v>
      </c>
    </row>
    <row r="46" spans="6:7" ht="13.5" hidden="1" thickTop="1">
      <c r="F46" s="29"/>
      <c r="G46" s="29"/>
    </row>
    <row r="47" spans="6:7" ht="12.75">
      <c r="F47" s="29"/>
      <c r="G47" s="29"/>
    </row>
    <row r="48" spans="6:7" ht="12.75">
      <c r="F48" s="29"/>
      <c r="G48" s="29"/>
    </row>
    <row r="49" spans="6:7" ht="12.75">
      <c r="F49" s="29"/>
      <c r="G49" s="29"/>
    </row>
    <row r="50" spans="6:7" ht="12.75">
      <c r="F50" s="29"/>
      <c r="G50" s="29"/>
    </row>
    <row r="51" spans="6:7" ht="12.75">
      <c r="F51" s="29"/>
      <c r="G51" s="29"/>
    </row>
    <row r="52" spans="6:7" ht="12.75">
      <c r="F52" s="29"/>
      <c r="G52" s="29"/>
    </row>
    <row r="53" spans="6:7" ht="12.75">
      <c r="F53" s="29"/>
      <c r="G53" s="29"/>
    </row>
    <row r="54" spans="6:7" ht="12.75">
      <c r="F54" s="29"/>
      <c r="G54" s="29"/>
    </row>
    <row r="55" spans="6:7" ht="12.75">
      <c r="F55" s="29"/>
      <c r="G55" s="29"/>
    </row>
    <row r="56" spans="6:7" ht="12.75">
      <c r="F56" s="29"/>
      <c r="G56" s="29"/>
    </row>
  </sheetData>
  <sheetProtection/>
  <mergeCells count="3">
    <mergeCell ref="H8:H10"/>
    <mergeCell ref="H14:H16"/>
    <mergeCell ref="H22:H24"/>
  </mergeCells>
  <printOptions/>
  <pageMargins left="0.46" right="0.27" top="1.5" bottom="1" header="0.5" footer="0.5"/>
  <pageSetup fitToHeight="1" fitToWidth="1" horizontalDpi="600" verticalDpi="600" orientation="landscape" scale="80" r:id="rId3"/>
  <headerFooter alignWithMargins="0">
    <oddHeader>&amp;L&amp;"Times New Roman,Regular"Puget Sound Energy
Docket UE-0702300/UG-072301&amp;R&amp;"Times New Roman,Regular"Electric Rate Spread and Rate Design 
Exhibit A to Multiparty Settlement&amp;"Arial,Regular"
</oddHeader>
    <oddFooter>&amp;R&amp;"Times New Roman,Regular"Page &amp;P of &amp;N</oddFooter>
  </headerFooter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zoomScale="85" zoomScaleNormal="85" zoomScalePageLayoutView="0" workbookViewId="0" topLeftCell="A1">
      <selection activeCell="D3" sqref="D3"/>
    </sheetView>
  </sheetViews>
  <sheetFormatPr defaultColWidth="9.140625" defaultRowHeight="12.75"/>
  <cols>
    <col min="1" max="1" width="41.00390625" style="2" bestFit="1" customWidth="1"/>
    <col min="2" max="2" width="15.00390625" style="2" bestFit="1" customWidth="1"/>
    <col min="3" max="3" width="22.57421875" style="2" bestFit="1" customWidth="1"/>
    <col min="4" max="4" width="13.421875" style="2" bestFit="1" customWidth="1"/>
    <col min="5" max="5" width="16.421875" style="2" bestFit="1" customWidth="1"/>
    <col min="6" max="6" width="17.8515625" style="2" bestFit="1" customWidth="1"/>
    <col min="7" max="7" width="9.140625" style="2" customWidth="1"/>
    <col min="8" max="8" width="11.421875" style="2" bestFit="1" customWidth="1"/>
    <col min="9" max="9" width="12.421875" style="2" bestFit="1" customWidth="1"/>
    <col min="10" max="16384" width="9.140625" style="2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6" ht="12.75">
      <c r="A2" s="1" t="s">
        <v>391</v>
      </c>
      <c r="B2" s="1"/>
      <c r="C2" s="1"/>
      <c r="D2" s="1"/>
      <c r="E2" s="1"/>
      <c r="F2" s="1"/>
    </row>
    <row r="3" spans="1:6" ht="12.75">
      <c r="A3" s="1" t="s">
        <v>392</v>
      </c>
      <c r="B3" s="1"/>
      <c r="C3" s="1"/>
      <c r="D3" s="1"/>
      <c r="E3" s="1"/>
      <c r="F3" s="1"/>
    </row>
    <row r="4" spans="1:6" ht="12.75">
      <c r="A4" s="1"/>
      <c r="B4" s="1"/>
      <c r="C4" s="1"/>
      <c r="D4" s="1"/>
      <c r="E4" s="1"/>
      <c r="F4" s="1"/>
    </row>
    <row r="5" ht="13.5" thickBot="1"/>
    <row r="6" spans="1:4" ht="13.5" thickBot="1">
      <c r="A6" s="274" t="s">
        <v>393</v>
      </c>
      <c r="B6" s="54" t="s">
        <v>394</v>
      </c>
      <c r="C6" s="54" t="s">
        <v>395</v>
      </c>
      <c r="D6" s="275"/>
    </row>
    <row r="7" spans="1:4" ht="12.75">
      <c r="A7" s="276" t="s">
        <v>396</v>
      </c>
      <c r="B7" s="277">
        <f>+'Rate Design Sch 31'!$F$7</f>
        <v>325</v>
      </c>
      <c r="C7" s="44" t="s">
        <v>397</v>
      </c>
      <c r="D7" s="51"/>
    </row>
    <row r="8" spans="1:4" ht="12.75">
      <c r="A8" s="276" t="s">
        <v>398</v>
      </c>
      <c r="B8" s="277">
        <f>+'Rate Design Sch 26'!$F$7</f>
        <v>100</v>
      </c>
      <c r="C8" s="253" t="s">
        <v>399</v>
      </c>
      <c r="D8" s="278"/>
    </row>
    <row r="9" spans="1:4" ht="12.75">
      <c r="A9" s="276" t="s">
        <v>400</v>
      </c>
      <c r="B9" s="277">
        <f>+'Rate Design Sch 25'!$F$7</f>
        <v>50</v>
      </c>
      <c r="C9" s="253" t="s">
        <v>401</v>
      </c>
      <c r="D9" s="278"/>
    </row>
    <row r="10" spans="1:4" ht="13.5" thickBot="1">
      <c r="A10" s="279"/>
      <c r="B10" s="249"/>
      <c r="C10" s="249"/>
      <c r="D10" s="261"/>
    </row>
    <row r="11" ht="13.5" thickBot="1"/>
    <row r="12" spans="1:5" ht="13.5" thickBot="1">
      <c r="A12" s="355" t="s">
        <v>402</v>
      </c>
      <c r="B12" s="54" t="s">
        <v>394</v>
      </c>
      <c r="C12" s="386" t="s">
        <v>395</v>
      </c>
      <c r="D12" s="386"/>
      <c r="E12" s="387"/>
    </row>
    <row r="13" spans="1:5" ht="13.5" thickBot="1">
      <c r="A13" s="280" t="s">
        <v>403</v>
      </c>
      <c r="B13" s="358"/>
      <c r="C13" s="392" t="s">
        <v>510</v>
      </c>
      <c r="D13" s="386"/>
      <c r="E13" s="387"/>
    </row>
    <row r="14" spans="1:2" ht="12.75">
      <c r="A14" s="281" t="s">
        <v>404</v>
      </c>
      <c r="B14" s="282">
        <f>+'Sch 40 Prod &amp; Trans Charges'!B4</f>
        <v>3.92</v>
      </c>
    </row>
    <row r="15" spans="1:2" ht="12.75">
      <c r="A15" s="281" t="s">
        <v>405</v>
      </c>
      <c r="B15" s="282">
        <f>+'Sch 40 Prod &amp; Trans Charges'!B5</f>
        <v>4</v>
      </c>
    </row>
    <row r="16" spans="1:2" ht="13.5" thickBot="1">
      <c r="A16" s="283" t="s">
        <v>406</v>
      </c>
      <c r="B16" s="284">
        <f>+'Sch 40 Prod &amp; Trans Charges'!B6</f>
        <v>4.12</v>
      </c>
    </row>
    <row r="17" spans="1:2" ht="13.5" thickBot="1">
      <c r="A17" s="276"/>
      <c r="B17" s="33"/>
    </row>
    <row r="18" spans="1:5" ht="13.5" thickBot="1">
      <c r="A18" s="280" t="s">
        <v>407</v>
      </c>
      <c r="B18" s="54"/>
      <c r="C18" s="392" t="s">
        <v>509</v>
      </c>
      <c r="D18" s="386"/>
      <c r="E18" s="387"/>
    </row>
    <row r="19" spans="1:2" ht="12.75">
      <c r="A19" s="281" t="s">
        <v>404</v>
      </c>
      <c r="B19" s="285">
        <f>+'Sch 40 Prod &amp; Trans Charges'!B9</f>
        <v>0.053203</v>
      </c>
    </row>
    <row r="20" spans="1:2" ht="12.75">
      <c r="A20" s="281" t="s">
        <v>405</v>
      </c>
      <c r="B20" s="285">
        <f>+'Sch 40 Prod &amp; Trans Charges'!B10</f>
        <v>0.054144</v>
      </c>
    </row>
    <row r="21" spans="1:2" ht="13.5" thickBot="1">
      <c r="A21" s="283" t="s">
        <v>406</v>
      </c>
      <c r="B21" s="286">
        <f>+'Sch 40 Prod &amp; Trans Charges'!B11</f>
        <v>0.055714</v>
      </c>
    </row>
    <row r="22" ht="13.5" thickBot="1">
      <c r="A22" s="27"/>
    </row>
    <row r="23" spans="1:3" ht="13.5" thickBot="1">
      <c r="A23" s="287" t="s">
        <v>408</v>
      </c>
      <c r="B23" s="54" t="s">
        <v>394</v>
      </c>
      <c r="C23" s="275" t="s">
        <v>395</v>
      </c>
    </row>
    <row r="24" spans="1:3" ht="12.75">
      <c r="A24" s="288" t="s">
        <v>405</v>
      </c>
      <c r="B24" s="289">
        <f>+'Rate Design Sch 31'!$F$23*100</f>
        <v>0.10200000000000001</v>
      </c>
      <c r="C24" s="290" t="s">
        <v>397</v>
      </c>
    </row>
    <row r="25" spans="1:3" ht="12.75">
      <c r="A25" s="281" t="s">
        <v>406</v>
      </c>
      <c r="B25" s="291">
        <f>+'Rate Design Sch 26'!$F$23*100</f>
        <v>0.11900000000000001</v>
      </c>
      <c r="C25" s="278" t="s">
        <v>399</v>
      </c>
    </row>
    <row r="26" spans="1:3" ht="13.5" thickBot="1">
      <c r="A26" s="279"/>
      <c r="B26" s="249"/>
      <c r="C26" s="261"/>
    </row>
    <row r="28" spans="1:5" ht="12.75">
      <c r="A28" s="2" t="s">
        <v>409</v>
      </c>
      <c r="B28" s="2" t="s">
        <v>410</v>
      </c>
      <c r="C28" s="2" t="s">
        <v>411</v>
      </c>
      <c r="D28" s="2" t="s">
        <v>412</v>
      </c>
      <c r="E28" s="2" t="s">
        <v>413</v>
      </c>
    </row>
    <row r="29" spans="1:5" ht="12.75">
      <c r="A29" s="22" t="s">
        <v>455</v>
      </c>
      <c r="B29" s="216">
        <f>SUM(C29:E29)</f>
        <v>1.8099999999999998</v>
      </c>
      <c r="C29" s="216">
        <v>0.2</v>
      </c>
      <c r="D29" s="216">
        <v>1.17</v>
      </c>
      <c r="E29" s="216">
        <v>0.44</v>
      </c>
    </row>
    <row r="30" spans="1:5" ht="12.75">
      <c r="A30" s="22" t="s">
        <v>456</v>
      </c>
      <c r="B30" s="216">
        <f aca="true" t="shared" si="0" ref="B30:B36">SUM(C30:E30)</f>
        <v>3.3</v>
      </c>
      <c r="C30" s="216">
        <v>0.5</v>
      </c>
      <c r="D30" s="216">
        <v>1.64</v>
      </c>
      <c r="E30" s="216">
        <v>1.16</v>
      </c>
    </row>
    <row r="31" spans="1:5" ht="12.75">
      <c r="A31" s="22" t="s">
        <v>457</v>
      </c>
      <c r="B31" s="216">
        <f t="shared" si="0"/>
        <v>1.8599999999999999</v>
      </c>
      <c r="C31" s="216">
        <v>0</v>
      </c>
      <c r="D31" s="216">
        <v>1.25</v>
      </c>
      <c r="E31" s="216">
        <v>0.61</v>
      </c>
    </row>
    <row r="32" spans="1:5" ht="12.75">
      <c r="A32" s="22" t="s">
        <v>458</v>
      </c>
      <c r="B32" s="216">
        <f t="shared" si="0"/>
        <v>0.5</v>
      </c>
      <c r="C32" s="216">
        <v>0.11</v>
      </c>
      <c r="D32" s="216">
        <v>0.18</v>
      </c>
      <c r="E32" s="216">
        <v>0.21</v>
      </c>
    </row>
    <row r="33" spans="1:5" ht="12.75">
      <c r="A33" s="22" t="s">
        <v>459</v>
      </c>
      <c r="B33" s="216">
        <f t="shared" si="0"/>
        <v>0.81</v>
      </c>
      <c r="C33" s="216">
        <v>0.09</v>
      </c>
      <c r="D33" s="216">
        <v>0.29</v>
      </c>
      <c r="E33" s="216">
        <v>0.43</v>
      </c>
    </row>
    <row r="34" spans="1:5" ht="12.75">
      <c r="A34" s="22" t="s">
        <v>460</v>
      </c>
      <c r="B34" s="216">
        <f>SUM(C34:E34)</f>
        <v>1.2</v>
      </c>
      <c r="C34" s="216">
        <v>0.15</v>
      </c>
      <c r="D34" s="216">
        <v>0.36</v>
      </c>
      <c r="E34" s="216">
        <v>0.69</v>
      </c>
    </row>
    <row r="35" spans="1:5" ht="12.75">
      <c r="A35" s="22" t="s">
        <v>461</v>
      </c>
      <c r="B35" s="216">
        <f t="shared" si="0"/>
        <v>0.9299999999999999</v>
      </c>
      <c r="C35" s="216">
        <v>0</v>
      </c>
      <c r="D35" s="216">
        <v>0.75</v>
      </c>
      <c r="E35" s="216">
        <v>0.18</v>
      </c>
    </row>
    <row r="36" spans="1:5" ht="12.75">
      <c r="A36" s="22" t="s">
        <v>462</v>
      </c>
      <c r="B36" s="216">
        <f t="shared" si="0"/>
        <v>1.7</v>
      </c>
      <c r="C36" s="216">
        <v>0</v>
      </c>
      <c r="D36" s="216">
        <v>0.49</v>
      </c>
      <c r="E36" s="216">
        <v>1.21</v>
      </c>
    </row>
    <row r="37" spans="2:5" ht="13.5" thickBot="1">
      <c r="B37" s="216"/>
      <c r="C37" s="216"/>
      <c r="D37" s="216"/>
      <c r="E37" s="216"/>
    </row>
    <row r="38" spans="1:5" ht="13.5" thickBot="1">
      <c r="A38" s="393" t="s">
        <v>511</v>
      </c>
      <c r="B38" s="394"/>
      <c r="C38" s="394"/>
      <c r="D38" s="394"/>
      <c r="E38" s="395"/>
    </row>
    <row r="39" spans="2:5" ht="12.75">
      <c r="B39" s="216"/>
      <c r="C39" s="216"/>
      <c r="D39" s="216"/>
      <c r="E39" s="216"/>
    </row>
    <row r="40" spans="2:5" ht="12.75">
      <c r="B40" s="216"/>
      <c r="C40" s="216"/>
      <c r="D40" s="216"/>
      <c r="E40" s="216"/>
    </row>
    <row r="41" spans="2:5" ht="12.75">
      <c r="B41" s="216"/>
      <c r="C41" s="216"/>
      <c r="D41" s="216"/>
      <c r="E41" s="216"/>
    </row>
    <row r="42" spans="2:5" ht="12.75">
      <c r="B42" s="216"/>
      <c r="C42" s="216"/>
      <c r="D42" s="216"/>
      <c r="E42" s="216"/>
    </row>
    <row r="43" spans="2:5" ht="12.75">
      <c r="B43" s="216"/>
      <c r="C43" s="216"/>
      <c r="D43" s="216"/>
      <c r="E43" s="216"/>
    </row>
    <row r="44" spans="2:5" ht="12.75">
      <c r="B44" s="216"/>
      <c r="C44" s="216"/>
      <c r="D44" s="216"/>
      <c r="E44" s="216"/>
    </row>
    <row r="45" spans="2:5" ht="12.75">
      <c r="B45" s="216"/>
      <c r="C45" s="216"/>
      <c r="D45" s="216"/>
      <c r="E45" s="216"/>
    </row>
    <row r="46" spans="2:5" ht="12.75">
      <c r="B46" s="216"/>
      <c r="C46" s="216"/>
      <c r="D46" s="216"/>
      <c r="E46" s="216"/>
    </row>
    <row r="47" spans="2:5" ht="12.75">
      <c r="B47" s="216"/>
      <c r="C47" s="216"/>
      <c r="D47" s="216"/>
      <c r="E47" s="216"/>
    </row>
    <row r="48" spans="2:5" ht="12.75">
      <c r="B48" s="216"/>
      <c r="C48" s="216"/>
      <c r="D48" s="216"/>
      <c r="E48" s="216"/>
    </row>
    <row r="49" spans="2:5" ht="12.75">
      <c r="B49" s="216"/>
      <c r="C49" s="216"/>
      <c r="D49" s="216"/>
      <c r="E49" s="216"/>
    </row>
    <row r="50" spans="2:5" ht="12.75">
      <c r="B50" s="216"/>
      <c r="C50" s="216"/>
      <c r="D50" s="216"/>
      <c r="E50" s="216"/>
    </row>
    <row r="51" spans="2:5" ht="12.75">
      <c r="B51" s="216"/>
      <c r="C51" s="216"/>
      <c r="D51" s="216"/>
      <c r="E51" s="216"/>
    </row>
    <row r="52" spans="2:5" ht="12.75">
      <c r="B52" s="216"/>
      <c r="C52" s="216"/>
      <c r="D52" s="216"/>
      <c r="E52" s="216"/>
    </row>
    <row r="53" spans="2:5" ht="12.75">
      <c r="B53" s="216"/>
      <c r="C53" s="216"/>
      <c r="D53" s="216"/>
      <c r="E53" s="216"/>
    </row>
    <row r="54" spans="2:5" ht="12.75">
      <c r="B54" s="216"/>
      <c r="C54" s="216"/>
      <c r="D54" s="216"/>
      <c r="E54" s="216"/>
    </row>
    <row r="55" spans="2:5" ht="12.75">
      <c r="B55" s="216"/>
      <c r="C55" s="216"/>
      <c r="D55" s="216"/>
      <c r="E55" s="216"/>
    </row>
    <row r="56" spans="2:5" ht="12.75">
      <c r="B56" s="216"/>
      <c r="C56" s="216"/>
      <c r="D56" s="216"/>
      <c r="E56" s="216"/>
    </row>
    <row r="57" spans="2:5" ht="12.75">
      <c r="B57" s="216"/>
      <c r="C57" s="216"/>
      <c r="D57" s="216"/>
      <c r="E57" s="216"/>
    </row>
    <row r="58" spans="2:5" ht="12.75">
      <c r="B58" s="216"/>
      <c r="C58" s="216"/>
      <c r="D58" s="216"/>
      <c r="E58" s="216"/>
    </row>
    <row r="59" spans="2:5" ht="12.75">
      <c r="B59" s="216"/>
      <c r="C59" s="216"/>
      <c r="D59" s="216"/>
      <c r="E59" s="216"/>
    </row>
    <row r="60" spans="2:5" ht="12.75">
      <c r="B60" s="216"/>
      <c r="C60" s="216"/>
      <c r="D60" s="216"/>
      <c r="E60" s="216"/>
    </row>
    <row r="61" spans="2:5" ht="12.75">
      <c r="B61" s="216"/>
      <c r="C61" s="216"/>
      <c r="D61" s="216"/>
      <c r="E61" s="216"/>
    </row>
    <row r="62" spans="2:5" ht="12.75">
      <c r="B62" s="216"/>
      <c r="C62" s="216"/>
      <c r="D62" s="216"/>
      <c r="E62" s="216"/>
    </row>
    <row r="63" spans="2:5" ht="12.75">
      <c r="B63" s="216"/>
      <c r="C63" s="216"/>
      <c r="D63" s="216"/>
      <c r="E63" s="216"/>
    </row>
    <row r="64" spans="2:5" ht="12.75">
      <c r="B64" s="216"/>
      <c r="C64" s="216"/>
      <c r="D64" s="216"/>
      <c r="E64" s="216"/>
    </row>
    <row r="65" spans="2:5" ht="12.75">
      <c r="B65" s="216"/>
      <c r="C65" s="216"/>
      <c r="D65" s="216"/>
      <c r="E65" s="216"/>
    </row>
    <row r="66" spans="2:5" ht="12.75">
      <c r="B66" s="216"/>
      <c r="C66" s="216"/>
      <c r="D66" s="216"/>
      <c r="E66" s="216"/>
    </row>
    <row r="67" spans="2:5" ht="12.75">
      <c r="B67" s="216"/>
      <c r="C67" s="216"/>
      <c r="D67" s="216"/>
      <c r="E67" s="216"/>
    </row>
    <row r="68" spans="2:5" ht="12.75">
      <c r="B68" s="216"/>
      <c r="C68" s="216"/>
      <c r="D68" s="216"/>
      <c r="E68" s="216"/>
    </row>
    <row r="69" spans="2:5" ht="12.75">
      <c r="B69" s="216"/>
      <c r="C69" s="216"/>
      <c r="D69" s="216"/>
      <c r="E69" s="216"/>
    </row>
  </sheetData>
  <sheetProtection/>
  <mergeCells count="4">
    <mergeCell ref="C18:E18"/>
    <mergeCell ref="A38:E38"/>
    <mergeCell ref="C12:E12"/>
    <mergeCell ref="C13:E13"/>
  </mergeCells>
  <printOptions/>
  <pageMargins left="0.46" right="0.27" top="1.5" bottom="1" header="0.5" footer="0.5"/>
  <pageSetup fitToHeight="1" fitToWidth="1" horizontalDpi="600" verticalDpi="600" orientation="landscape" scale="89" r:id="rId1"/>
  <headerFooter alignWithMargins="0">
    <oddHeader>&amp;L&amp;"Times New Roman,Regular"Puget Sound Energy
Docket UE-0702300/UG-072301&amp;R&amp;"Times New Roman,Regular"Electric Rate Spread and Rate Design 
Exhibit A to Multiparty Settlement&amp;"Arial,Regular"
</oddHeader>
    <oddFooter>&amp;R&amp;"Times New Roman,Regular"Page &amp;P of &amp;N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41.00390625" style="2" bestFit="1" customWidth="1"/>
    <col min="2" max="2" width="18.7109375" style="2" bestFit="1" customWidth="1"/>
    <col min="3" max="3" width="11.7109375" style="2" bestFit="1" customWidth="1"/>
    <col min="4" max="4" width="18.7109375" style="2" bestFit="1" customWidth="1"/>
    <col min="5" max="5" width="12.28125" style="2" bestFit="1" customWidth="1"/>
    <col min="6" max="6" width="13.7109375" style="2" bestFit="1" customWidth="1"/>
    <col min="7" max="7" width="3.8515625" style="2" customWidth="1"/>
    <col min="8" max="8" width="6.28125" style="2" bestFit="1" customWidth="1"/>
    <col min="9" max="9" width="12.28125" style="2" bestFit="1" customWidth="1"/>
    <col min="10" max="10" width="11.421875" style="2" bestFit="1" customWidth="1"/>
    <col min="11" max="12" width="12.28125" style="2" bestFit="1" customWidth="1"/>
    <col min="13" max="13" width="9.00390625" style="2" customWidth="1"/>
    <col min="14" max="14" width="11.8515625" style="2" bestFit="1" customWidth="1"/>
    <col min="15" max="15" width="10.421875" style="2" bestFit="1" customWidth="1"/>
    <col min="16" max="16384" width="9.00390625" style="2" customWidth="1"/>
  </cols>
  <sheetData>
    <row r="1" ht="13.5" thickBot="1">
      <c r="A1" s="2" t="s">
        <v>273</v>
      </c>
    </row>
    <row r="2" spans="1:6" ht="13.5" thickBot="1">
      <c r="A2" s="292" t="s">
        <v>402</v>
      </c>
      <c r="B2" s="44"/>
      <c r="C2" s="44"/>
      <c r="D2" s="44"/>
      <c r="E2" s="44"/>
      <c r="F2" s="290"/>
    </row>
    <row r="3" spans="1:15" ht="64.5" thickBot="1">
      <c r="A3" s="280" t="s">
        <v>403</v>
      </c>
      <c r="B3" s="293" t="s">
        <v>414</v>
      </c>
      <c r="C3" s="293" t="s">
        <v>415</v>
      </c>
      <c r="D3" s="294" t="s">
        <v>416</v>
      </c>
      <c r="E3" s="293" t="s">
        <v>222</v>
      </c>
      <c r="F3" s="295" t="s">
        <v>417</v>
      </c>
      <c r="H3" s="296" t="s">
        <v>418</v>
      </c>
      <c r="I3" s="294" t="s">
        <v>419</v>
      </c>
      <c r="J3" s="294" t="s">
        <v>420</v>
      </c>
      <c r="K3" s="294" t="s">
        <v>421</v>
      </c>
      <c r="L3" s="295" t="s">
        <v>422</v>
      </c>
      <c r="N3" s="297" t="s">
        <v>423</v>
      </c>
      <c r="O3" s="298" t="s">
        <v>424</v>
      </c>
    </row>
    <row r="4" spans="1:15" ht="12.75">
      <c r="A4" s="288" t="s">
        <v>404</v>
      </c>
      <c r="B4" s="299">
        <f>+L4</f>
        <v>3.92</v>
      </c>
      <c r="C4" s="300"/>
      <c r="D4" s="299">
        <v>3.25</v>
      </c>
      <c r="E4" s="301">
        <v>0</v>
      </c>
      <c r="F4" s="302">
        <f>+E4*D4</f>
        <v>0</v>
      </c>
      <c r="H4" s="267">
        <v>0.9</v>
      </c>
      <c r="I4" s="246">
        <f>+D4*H4</f>
        <v>2.9250000000000003</v>
      </c>
      <c r="J4" s="246"/>
      <c r="K4" s="277">
        <f>+'Rate Design Sch 49'!$F$13</f>
        <v>3.53</v>
      </c>
      <c r="L4" s="303">
        <f>ROUND(+K4/H4,2)</f>
        <v>3.92</v>
      </c>
      <c r="N4" s="304">
        <f>+'Sch 40 FCR Rates'!F11</f>
        <v>0.022490270440407432</v>
      </c>
      <c r="O4" s="51"/>
    </row>
    <row r="5" spans="1:15" ht="12.75">
      <c r="A5" s="281" t="s">
        <v>405</v>
      </c>
      <c r="B5" s="305">
        <f>+L5</f>
        <v>4</v>
      </c>
      <c r="C5" s="306"/>
      <c r="D5" s="305">
        <v>3.32</v>
      </c>
      <c r="E5" s="19">
        <v>795981</v>
      </c>
      <c r="F5" s="307">
        <f>+E5*D5</f>
        <v>2642656.92</v>
      </c>
      <c r="G5" s="16"/>
      <c r="H5" s="308">
        <f>+H4</f>
        <v>0.9</v>
      </c>
      <c r="I5" s="246">
        <f>+D5*H5</f>
        <v>2.988</v>
      </c>
      <c r="J5" s="14">
        <f>(+I5-$I$4)/I5</f>
        <v>0.0210843373493975</v>
      </c>
      <c r="K5" s="277">
        <f>+K4*(1+J5)</f>
        <v>3.6044277108433724</v>
      </c>
      <c r="L5" s="303">
        <f>ROUND(+K5/H5,2)</f>
        <v>4</v>
      </c>
      <c r="N5" s="304">
        <f>+'Sch 40 FCR Rates'!F12</f>
        <v>0.042073762659788023</v>
      </c>
      <c r="O5" s="309">
        <f>+N5-N4</f>
        <v>0.01958349221938059</v>
      </c>
    </row>
    <row r="6" spans="1:15" ht="13.5" thickBot="1">
      <c r="A6" s="283" t="s">
        <v>406</v>
      </c>
      <c r="B6" s="310">
        <f>+L6</f>
        <v>4.12</v>
      </c>
      <c r="C6" s="311"/>
      <c r="D6" s="310">
        <v>3.42</v>
      </c>
      <c r="E6" s="312">
        <v>298481</v>
      </c>
      <c r="F6" s="313">
        <f>+E6*D6</f>
        <v>1020805.02</v>
      </c>
      <c r="G6" s="16"/>
      <c r="H6" s="314">
        <f>+H5</f>
        <v>0.9</v>
      </c>
      <c r="I6" s="315">
        <f>+D6*H6</f>
        <v>3.078</v>
      </c>
      <c r="J6" s="316">
        <f>(+I6-$I$4)/I6</f>
        <v>0.04970760233918115</v>
      </c>
      <c r="K6" s="317">
        <f>+K4*(1+J6)</f>
        <v>3.7054678362573092</v>
      </c>
      <c r="L6" s="318">
        <f>ROUND(+K6/H6,2)</f>
        <v>4.12</v>
      </c>
      <c r="N6" s="319">
        <f>+'Sch 40 FCR Rates'!F13</f>
        <v>0.07516498281432067</v>
      </c>
      <c r="O6" s="320">
        <f>+N6-N4</f>
        <v>0.05267471237391324</v>
      </c>
    </row>
    <row r="7" spans="2:6" ht="13.5" thickBot="1">
      <c r="B7" s="33"/>
      <c r="C7" s="33"/>
      <c r="D7" s="33"/>
      <c r="E7" s="19"/>
      <c r="F7" s="17"/>
    </row>
    <row r="8" spans="1:11" ht="51.75" thickBot="1">
      <c r="A8" s="280" t="s">
        <v>407</v>
      </c>
      <c r="B8" s="294" t="s">
        <v>425</v>
      </c>
      <c r="C8" s="293" t="s">
        <v>415</v>
      </c>
      <c r="D8" s="294" t="s">
        <v>426</v>
      </c>
      <c r="E8" s="321"/>
      <c r="F8" s="322"/>
      <c r="J8" s="297" t="s">
        <v>420</v>
      </c>
      <c r="K8" s="295" t="s">
        <v>427</v>
      </c>
    </row>
    <row r="9" spans="1:11" ht="12.75">
      <c r="A9" s="288" t="s">
        <v>404</v>
      </c>
      <c r="B9" s="323">
        <f>+K9</f>
        <v>0.053203</v>
      </c>
      <c r="C9" s="300"/>
      <c r="D9" s="323">
        <v>0.050991</v>
      </c>
      <c r="E9" s="301">
        <v>0</v>
      </c>
      <c r="F9" s="302">
        <f>+E9*D9</f>
        <v>0</v>
      </c>
      <c r="J9" s="242"/>
      <c r="K9" s="285">
        <f>+'Rate Design Sch 49'!$F$8</f>
        <v>0.053203</v>
      </c>
    </row>
    <row r="10" spans="1:11" ht="12.75">
      <c r="A10" s="281" t="s">
        <v>405</v>
      </c>
      <c r="B10" s="324">
        <f>+K10</f>
        <v>0.054144</v>
      </c>
      <c r="C10" s="306"/>
      <c r="D10" s="324">
        <v>0.051909</v>
      </c>
      <c r="E10" s="19">
        <v>455134475.4536844</v>
      </c>
      <c r="F10" s="307">
        <f>+E10*D10</f>
        <v>23625575.4863253</v>
      </c>
      <c r="J10" s="325">
        <f>(+D10-$D$9)/D10</f>
        <v>0.017684794544298586</v>
      </c>
      <c r="K10" s="285">
        <f>ROUND(+K9*(1+J10),6)</f>
        <v>0.054144</v>
      </c>
    </row>
    <row r="11" spans="1:11" ht="13.5" thickBot="1">
      <c r="A11" s="283" t="s">
        <v>406</v>
      </c>
      <c r="B11" s="326">
        <f>+K11</f>
        <v>0.055714</v>
      </c>
      <c r="C11" s="311"/>
      <c r="D11" s="326">
        <v>0.053517</v>
      </c>
      <c r="E11" s="312">
        <v>158585651.5182537</v>
      </c>
      <c r="F11" s="313">
        <f>+E11*D11</f>
        <v>8487028.312302385</v>
      </c>
      <c r="J11" s="327">
        <f>(+D11-$D$9)/D11</f>
        <v>0.047199955154436916</v>
      </c>
      <c r="K11" s="286">
        <f>ROUND(+K9*(1+J11),6)</f>
        <v>0.055714</v>
      </c>
    </row>
    <row r="12" spans="5:6" ht="12.75">
      <c r="E12" s="18"/>
      <c r="F12" s="29"/>
    </row>
    <row r="13" spans="1:6" ht="12.75">
      <c r="A13" s="24" t="s">
        <v>428</v>
      </c>
      <c r="D13" s="29">
        <f>+'Campus Sch 40'!I15</f>
        <v>40833.600000000006</v>
      </c>
      <c r="E13" s="18"/>
      <c r="F13" s="29"/>
    </row>
    <row r="14" spans="1:6" ht="12.75">
      <c r="A14" s="24" t="s">
        <v>429</v>
      </c>
      <c r="D14" s="29">
        <f>+'Campus Sch 40'!I33</f>
        <v>15026.52728000001</v>
      </c>
      <c r="E14" s="18"/>
      <c r="F14" s="29"/>
    </row>
    <row r="15" spans="1:6" ht="12.75">
      <c r="A15" s="24" t="s">
        <v>430</v>
      </c>
      <c r="D15" s="29">
        <f>+'Campus Sch 40'!I36</f>
        <v>-633821.6938984003</v>
      </c>
      <c r="F15" s="29"/>
    </row>
    <row r="16" spans="1:6" ht="12.75">
      <c r="A16" s="10" t="s">
        <v>431</v>
      </c>
      <c r="D16" s="29">
        <f>(B4-D4)*E4+(B5-D5)*E5+(B6-D6)*E6</f>
        <v>750203.7800000001</v>
      </c>
      <c r="F16" s="29"/>
    </row>
    <row r="17" spans="1:6" ht="12.75">
      <c r="A17" s="24" t="s">
        <v>432</v>
      </c>
      <c r="D17" s="29">
        <f>(B9-D9)*E9+(B10-D10)*E10+(B11-D11)*E11</f>
        <v>1365638.2290245881</v>
      </c>
      <c r="F17" s="29"/>
    </row>
    <row r="18" spans="1:6" ht="12.75">
      <c r="A18" s="2" t="s">
        <v>433</v>
      </c>
      <c r="D18" s="29">
        <f>SUM(D13:D17)</f>
        <v>1537880.442406188</v>
      </c>
      <c r="F18" s="29"/>
    </row>
    <row r="19" spans="1:6" ht="12.75">
      <c r="A19" s="24" t="s">
        <v>434</v>
      </c>
      <c r="D19" s="32">
        <f>'Rate Spread'!I24</f>
        <v>1537880.442406188</v>
      </c>
      <c r="F19" s="29"/>
    </row>
    <row r="20" spans="1:6" ht="12.75">
      <c r="A20" s="2" t="s">
        <v>117</v>
      </c>
      <c r="D20" s="29">
        <f>+D18-D19</f>
        <v>0</v>
      </c>
      <c r="F20" s="29"/>
    </row>
    <row r="21" spans="1:6" ht="12.75">
      <c r="A21" s="24" t="s">
        <v>435</v>
      </c>
      <c r="D21" s="29">
        <v>38977060.8036143</v>
      </c>
      <c r="F21" s="29"/>
    </row>
    <row r="22" spans="1:6" ht="12.75">
      <c r="A22" s="2" t="s">
        <v>207</v>
      </c>
      <c r="D22" s="16">
        <f>+D19/D21</f>
        <v>0.03945603928820569</v>
      </c>
      <c r="F22" s="29"/>
    </row>
    <row r="23" spans="4:6" ht="12.75">
      <c r="D23" s="29"/>
      <c r="F23" s="29"/>
    </row>
    <row r="24" spans="1:4" ht="12.75">
      <c r="A24" s="2" t="s">
        <v>436</v>
      </c>
      <c r="D24" s="29">
        <v>40923903.799956486</v>
      </c>
    </row>
    <row r="25" spans="1:4" ht="12.75">
      <c r="A25" s="24" t="s">
        <v>437</v>
      </c>
      <c r="D25" s="29">
        <f>+'Rate Spread'!$J$24</f>
        <v>40514941.24602049</v>
      </c>
    </row>
    <row r="26" spans="1:4" ht="12.75">
      <c r="A26" s="2" t="s">
        <v>330</v>
      </c>
      <c r="D26" s="29">
        <f>+D25-D24</f>
        <v>-408962.5539359972</v>
      </c>
    </row>
  </sheetData>
  <sheetProtection/>
  <printOptions/>
  <pageMargins left="0.46" right="0.27" top="1.5" bottom="1" header="0.5" footer="0.5"/>
  <pageSetup fitToHeight="1" fitToWidth="1" horizontalDpi="600" verticalDpi="600" orientation="landscape" scale="64" r:id="rId3"/>
  <headerFooter alignWithMargins="0">
    <oddHeader>&amp;L&amp;"Times New Roman,Regular"Puget Sound Energy
Docket UE-0702300/UG-072301&amp;R&amp;"Times New Roman,Regular"Electric Rate Spread and Rate Design 
Exhibit A to Multiparty Settlement&amp;"Arial,Regular"
</oddHeader>
    <oddFooter>&amp;R&amp;"Times New Roman,Regular"Page &amp;P of &amp;N</oddFooter>
  </headerFooter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2" width="9.140625" style="2" customWidth="1"/>
    <col min="3" max="3" width="9.28125" style="2" bestFit="1" customWidth="1"/>
    <col min="4" max="4" width="9.140625" style="2" customWidth="1"/>
    <col min="5" max="5" width="49.28125" style="2" bestFit="1" customWidth="1"/>
    <col min="6" max="6" width="11.8515625" style="2" customWidth="1"/>
    <col min="7" max="7" width="22.140625" style="2" bestFit="1" customWidth="1"/>
    <col min="8" max="8" width="9.140625" style="2" customWidth="1"/>
    <col min="9" max="9" width="14.00390625" style="2" bestFit="1" customWidth="1"/>
    <col min="10" max="16384" width="9.140625" style="2" customWidth="1"/>
  </cols>
  <sheetData>
    <row r="1" spans="1:5" ht="12.75">
      <c r="A1" s="220" t="s">
        <v>463</v>
      </c>
      <c r="E1" s="2" t="s">
        <v>557</v>
      </c>
    </row>
    <row r="2" ht="13.5" thickBot="1">
      <c r="A2" s="220" t="s">
        <v>556</v>
      </c>
    </row>
    <row r="3" spans="1:7" ht="51.75" thickBot="1">
      <c r="A3" s="328" t="s">
        <v>438</v>
      </c>
      <c r="B3" s="329" t="s">
        <v>439</v>
      </c>
      <c r="C3" s="330" t="s">
        <v>440</v>
      </c>
      <c r="E3" s="382" t="s">
        <v>441</v>
      </c>
      <c r="F3" s="383"/>
      <c r="G3" s="384"/>
    </row>
    <row r="4" spans="1:7" ht="12.75">
      <c r="A4" s="331">
        <v>0</v>
      </c>
      <c r="B4" s="332">
        <v>0.11442435628286034</v>
      </c>
      <c r="C4" s="333">
        <v>0.11442435628286034</v>
      </c>
      <c r="E4" s="292"/>
      <c r="F4" s="44"/>
      <c r="G4" s="290"/>
    </row>
    <row r="5" spans="1:7" ht="12.75">
      <c r="A5" s="334">
        <v>1</v>
      </c>
      <c r="B5" s="14">
        <v>0.11694406132119939</v>
      </c>
      <c r="C5" s="335">
        <v>0.12038359253652878</v>
      </c>
      <c r="E5" s="242" t="s">
        <v>442</v>
      </c>
      <c r="F5" s="48" t="s">
        <v>443</v>
      </c>
      <c r="G5" s="51" t="s">
        <v>418</v>
      </c>
    </row>
    <row r="6" spans="1:7" ht="12.75">
      <c r="A6" s="334">
        <f aca="true" t="shared" si="0" ref="A6:A28">A5+1</f>
        <v>2</v>
      </c>
      <c r="B6" s="14">
        <v>0.11332036898090429</v>
      </c>
      <c r="C6" s="335">
        <v>0.12018827013126213</v>
      </c>
      <c r="E6" s="276" t="s">
        <v>444</v>
      </c>
      <c r="F6" s="33"/>
      <c r="G6" s="336">
        <v>0.89744</v>
      </c>
    </row>
    <row r="7" spans="1:7" ht="12.75">
      <c r="A7" s="334">
        <f t="shared" si="0"/>
        <v>3</v>
      </c>
      <c r="B7" s="14">
        <v>0.1098210465499493</v>
      </c>
      <c r="C7" s="335">
        <v>0.12011676966400703</v>
      </c>
      <c r="E7" s="276" t="s">
        <v>445</v>
      </c>
      <c r="F7" s="337">
        <v>454924608</v>
      </c>
      <c r="G7" s="51"/>
    </row>
    <row r="8" spans="1:7" ht="13.5" thickBot="1">
      <c r="A8" s="334">
        <f t="shared" si="0"/>
        <v>4</v>
      </c>
      <c r="B8" s="14">
        <v>0.10643702994774237</v>
      </c>
      <c r="C8" s="335">
        <v>0.12017084026358012</v>
      </c>
      <c r="E8" s="338" t="s">
        <v>446</v>
      </c>
      <c r="F8" s="339">
        <v>220089671.97000003</v>
      </c>
      <c r="G8" s="340">
        <f>+F7/SQRT(F8^2+F7^2)</f>
        <v>0.900186510711956</v>
      </c>
    </row>
    <row r="9" spans="1:7" ht="12.75">
      <c r="A9" s="334">
        <f t="shared" si="0"/>
        <v>5</v>
      </c>
      <c r="B9" s="14">
        <v>0.103158255684464</v>
      </c>
      <c r="C9" s="335">
        <v>0.12035129829854134</v>
      </c>
      <c r="E9" s="242"/>
      <c r="F9" s="33"/>
      <c r="G9" s="51"/>
    </row>
    <row r="10" spans="1:7" ht="12.75">
      <c r="A10" s="334">
        <f t="shared" si="0"/>
        <v>6</v>
      </c>
      <c r="B10" s="14">
        <v>0.09997351063115308</v>
      </c>
      <c r="C10" s="335">
        <v>0.12065768524449509</v>
      </c>
      <c r="E10" s="47" t="s">
        <v>447</v>
      </c>
      <c r="F10" s="33"/>
      <c r="G10" s="51"/>
    </row>
    <row r="11" spans="1:7" ht="12.75">
      <c r="A11" s="334">
        <f t="shared" si="0"/>
        <v>7</v>
      </c>
      <c r="B11" s="14">
        <v>0.09687442999411272</v>
      </c>
      <c r="C11" s="335">
        <v>0.1210930374926409</v>
      </c>
      <c r="E11" s="276" t="s">
        <v>448</v>
      </c>
      <c r="F11" s="14">
        <v>0.022490270440407432</v>
      </c>
      <c r="G11" s="51" t="s">
        <v>449</v>
      </c>
    </row>
    <row r="12" spans="1:7" ht="12.75">
      <c r="A12" s="334">
        <f t="shared" si="0"/>
        <v>8</v>
      </c>
      <c r="B12" s="14">
        <v>0.0938516195804132</v>
      </c>
      <c r="C12" s="335">
        <v>0.12165950686349859</v>
      </c>
      <c r="E12" s="276" t="s">
        <v>450</v>
      </c>
      <c r="F12" s="14">
        <v>0.042073762659788023</v>
      </c>
      <c r="G12" s="51" t="s">
        <v>449</v>
      </c>
    </row>
    <row r="13" spans="1:7" ht="12.75">
      <c r="A13" s="334">
        <f t="shared" si="0"/>
        <v>9</v>
      </c>
      <c r="B13" s="14">
        <v>0.09089447823907967</v>
      </c>
      <c r="C13" s="335">
        <v>0.12235795147568417</v>
      </c>
      <c r="E13" s="276" t="s">
        <v>451</v>
      </c>
      <c r="F13" s="14">
        <v>0.07516498281432067</v>
      </c>
      <c r="G13" s="51" t="s">
        <v>449</v>
      </c>
    </row>
    <row r="14" spans="1:7" ht="12.75">
      <c r="A14" s="334">
        <f t="shared" si="0"/>
        <v>10</v>
      </c>
      <c r="B14" s="14">
        <v>0.08800823021600271</v>
      </c>
      <c r="C14" s="335">
        <v>0.12321152230240377</v>
      </c>
      <c r="E14" s="242"/>
      <c r="F14" s="33"/>
      <c r="G14" s="51"/>
    </row>
    <row r="15" spans="1:7" ht="12.75">
      <c r="A15" s="334">
        <f t="shared" si="0"/>
        <v>11</v>
      </c>
      <c r="B15" s="14">
        <v>0.0851987772473176</v>
      </c>
      <c r="C15" s="335">
        <v>0.12424821681900483</v>
      </c>
      <c r="E15" s="281" t="s">
        <v>452</v>
      </c>
      <c r="F15" s="341">
        <f>+F13-F11</f>
        <v>0.05267471237391324</v>
      </c>
      <c r="G15" s="51"/>
    </row>
    <row r="16" spans="1:7" ht="13.5" thickBot="1">
      <c r="A16" s="334">
        <f t="shared" si="0"/>
        <v>12</v>
      </c>
      <c r="B16" s="14">
        <v>0.08247284166409963</v>
      </c>
      <c r="C16" s="335">
        <v>0.1255021503584125</v>
      </c>
      <c r="E16" s="283" t="s">
        <v>453</v>
      </c>
      <c r="F16" s="342">
        <f>+F12-F11</f>
        <v>0.01958349221938059</v>
      </c>
      <c r="G16" s="261"/>
    </row>
    <row r="17" spans="1:3" ht="12.75">
      <c r="A17" s="334">
        <f t="shared" si="0"/>
        <v>13</v>
      </c>
      <c r="B17" s="14">
        <v>0.07983814920915087</v>
      </c>
      <c r="C17" s="335">
        <v>0.12701523737819456</v>
      </c>
    </row>
    <row r="18" spans="1:3" ht="12.75">
      <c r="A18" s="334">
        <f t="shared" si="0"/>
        <v>14</v>
      </c>
      <c r="B18" s="14">
        <v>0.07730366487113408</v>
      </c>
      <c r="C18" s="335">
        <v>0.1288394414518901</v>
      </c>
    </row>
    <row r="19" spans="1:6" ht="12.75">
      <c r="A19" s="334">
        <f t="shared" si="0"/>
        <v>15</v>
      </c>
      <c r="B19" s="14">
        <v>0.07487990036069331</v>
      </c>
      <c r="C19" s="335">
        <v>0.13103982563121327</v>
      </c>
      <c r="F19" s="272"/>
    </row>
    <row r="20" spans="1:3" ht="12.75">
      <c r="A20" s="334">
        <f t="shared" si="0"/>
        <v>16</v>
      </c>
      <c r="B20" s="14">
        <v>0.07257931969125436</v>
      </c>
      <c r="C20" s="335">
        <v>0.1336987467996791</v>
      </c>
    </row>
    <row r="21" spans="1:3" ht="12.75">
      <c r="A21" s="334">
        <f t="shared" si="0"/>
        <v>17</v>
      </c>
      <c r="B21" s="14">
        <v>0.07041688108315683</v>
      </c>
      <c r="C21" s="335">
        <v>0.13692171321724939</v>
      </c>
    </row>
    <row r="22" spans="1:3" ht="12.75">
      <c r="A22" s="334">
        <f t="shared" si="0"/>
        <v>18</v>
      </c>
      <c r="B22" s="14">
        <v>0.06841077138827616</v>
      </c>
      <c r="C22" s="335">
        <v>0.14084570579939207</v>
      </c>
    </row>
    <row r="23" spans="1:3" ht="12.75">
      <c r="A23" s="334">
        <f t="shared" si="0"/>
        <v>19</v>
      </c>
      <c r="B23" s="14">
        <v>0.06658341732246195</v>
      </c>
      <c r="C23" s="335">
        <v>0.1456512253928855</v>
      </c>
    </row>
    <row r="24" spans="1:3" ht="12.75">
      <c r="A24" s="334">
        <f t="shared" si="0"/>
        <v>20</v>
      </c>
      <c r="B24" s="14">
        <v>0.06496290273609359</v>
      </c>
      <c r="C24" s="335">
        <v>0.1515801063842184</v>
      </c>
    </row>
    <row r="25" spans="1:3" ht="12.75">
      <c r="A25" s="334">
        <f t="shared" si="0"/>
        <v>21</v>
      </c>
      <c r="B25" s="14">
        <v>0.0635849949866396</v>
      </c>
      <c r="C25" s="335">
        <v>0.158962487466599</v>
      </c>
    </row>
    <row r="26" spans="1:3" ht="12.75">
      <c r="A26" s="334">
        <f t="shared" si="0"/>
        <v>22</v>
      </c>
      <c r="B26" s="14">
        <v>0.062335877038412785</v>
      </c>
      <c r="C26" s="335">
        <v>0.16782736125726516</v>
      </c>
    </row>
    <row r="27" spans="1:3" ht="12.75">
      <c r="A27" s="334">
        <f t="shared" si="0"/>
        <v>23</v>
      </c>
      <c r="B27" s="14">
        <v>0.06113828682182911</v>
      </c>
      <c r="C27" s="335">
        <v>0.17832000323033492</v>
      </c>
    </row>
    <row r="28" spans="1:3" ht="12.75">
      <c r="A28" s="334">
        <f t="shared" si="0"/>
        <v>24</v>
      </c>
      <c r="B28" s="14">
        <v>0.059999875217291554</v>
      </c>
      <c r="C28" s="335">
        <v>0.19090869387320042</v>
      </c>
    </row>
    <row r="29" spans="1:3" ht="12.75">
      <c r="A29" s="334">
        <f aca="true" t="shared" si="1" ref="A29:A38">A28+1</f>
        <v>25</v>
      </c>
      <c r="B29" s="14">
        <v>0.05893115453219284</v>
      </c>
      <c r="C29" s="335">
        <v>0.20625904086267494</v>
      </c>
    </row>
    <row r="30" spans="1:3" ht="12.75">
      <c r="A30" s="334">
        <f t="shared" si="1"/>
        <v>26</v>
      </c>
      <c r="B30" s="14">
        <v>0.057947100885450506</v>
      </c>
      <c r="C30" s="335">
        <v>0.225349836776752</v>
      </c>
    </row>
    <row r="31" spans="1:3" ht="12.75">
      <c r="A31" s="334">
        <f t="shared" si="1"/>
        <v>27</v>
      </c>
      <c r="B31" s="14">
        <v>0.05706995979185121</v>
      </c>
      <c r="C31" s="335">
        <v>0.24968107408934906</v>
      </c>
    </row>
    <row r="32" spans="1:3" ht="12.75">
      <c r="A32" s="334">
        <f t="shared" si="1"/>
        <v>28</v>
      </c>
      <c r="B32" s="14">
        <v>0.05633445806788618</v>
      </c>
      <c r="C32" s="335">
        <v>0.2816722903394309</v>
      </c>
    </row>
    <row r="33" spans="1:3" ht="12.75">
      <c r="A33" s="334">
        <f t="shared" si="1"/>
        <v>29</v>
      </c>
      <c r="B33" s="14">
        <v>0.055798229323651985</v>
      </c>
      <c r="C33" s="335">
        <v>0.3254896710546366</v>
      </c>
    </row>
    <row r="34" spans="1:3" ht="12.75">
      <c r="A34" s="334">
        <f t="shared" si="1"/>
        <v>30</v>
      </c>
      <c r="B34" s="14">
        <v>0.05556475190640248</v>
      </c>
      <c r="C34" s="335">
        <v>0.38895326334481733</v>
      </c>
    </row>
    <row r="35" spans="1:3" ht="12.75">
      <c r="A35" s="334">
        <f t="shared" si="1"/>
        <v>31</v>
      </c>
      <c r="B35" s="14">
        <v>0.055840695866255556</v>
      </c>
      <c r="C35" s="335">
        <v>0.48860608882973605</v>
      </c>
    </row>
    <row r="36" spans="1:3" ht="12.75">
      <c r="A36" s="334">
        <f t="shared" si="1"/>
        <v>32</v>
      </c>
      <c r="B36" s="14">
        <v>0.057107966336977206</v>
      </c>
      <c r="C36" s="335">
        <v>0.6662596072647341</v>
      </c>
    </row>
    <row r="37" spans="1:3" ht="12.75">
      <c r="A37" s="334">
        <f t="shared" si="1"/>
        <v>33</v>
      </c>
      <c r="B37" s="14">
        <v>0.06081188025306633</v>
      </c>
      <c r="C37" s="335">
        <v>1.0642079044286608</v>
      </c>
    </row>
    <row r="38" spans="1:3" ht="12.75">
      <c r="A38" s="343">
        <f t="shared" si="1"/>
        <v>34</v>
      </c>
      <c r="B38" s="344">
        <v>0.07417840861887505</v>
      </c>
      <c r="C38" s="345">
        <v>2.5962443016606267</v>
      </c>
    </row>
    <row r="40" spans="1:3" ht="12.75">
      <c r="A40" s="2" t="s">
        <v>454</v>
      </c>
      <c r="C40" s="16">
        <v>0.12817988813787484</v>
      </c>
    </row>
  </sheetData>
  <sheetProtection/>
  <mergeCells count="1">
    <mergeCell ref="E3:G3"/>
  </mergeCells>
  <printOptions/>
  <pageMargins left="0.46" right="0.27" top="1.5" bottom="1" header="0.5" footer="0.5"/>
  <pageSetup fitToHeight="1" fitToWidth="1" horizontalDpi="600" verticalDpi="600" orientation="landscape" scale="81" r:id="rId1"/>
  <headerFooter alignWithMargins="0">
    <oddHeader>&amp;L&amp;"Times New Roman,Regular"Puget Sound Energy
Docket UE-0702300/UG-072301&amp;R&amp;"Times New Roman,Regular"Electric Rate Spread and Rate Design 
Exhibit A to Multiparty Settlement&amp;"Arial,Regular"
</oddHeader>
    <oddFooter>&amp;R&amp;"Times New Roman,Regular"Page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PageLayoutView="0" workbookViewId="0" topLeftCell="A4">
      <selection activeCell="D3" sqref="D3"/>
    </sheetView>
  </sheetViews>
  <sheetFormatPr defaultColWidth="9.140625" defaultRowHeight="12.75"/>
  <cols>
    <col min="1" max="1" width="23.8515625" style="58" bestFit="1" customWidth="1"/>
    <col min="2" max="2" width="14.00390625" style="58" bestFit="1" customWidth="1"/>
    <col min="3" max="3" width="11.8515625" style="58" bestFit="1" customWidth="1"/>
    <col min="4" max="4" width="14.00390625" style="58" bestFit="1" customWidth="1"/>
    <col min="5" max="5" width="10.7109375" style="58" bestFit="1" customWidth="1"/>
    <col min="6" max="6" width="16.00390625" style="58" bestFit="1" customWidth="1"/>
    <col min="7" max="7" width="10.7109375" style="58" bestFit="1" customWidth="1"/>
    <col min="8" max="8" width="13.421875" style="58" bestFit="1" customWidth="1"/>
    <col min="9" max="9" width="12.8515625" style="58" bestFit="1" customWidth="1"/>
    <col min="10" max="10" width="7.8515625" style="58" bestFit="1" customWidth="1"/>
    <col min="11" max="11" width="9.140625" style="58" customWidth="1"/>
    <col min="12" max="12" width="12.28125" style="58" bestFit="1" customWidth="1"/>
    <col min="13" max="16384" width="9.140625" style="58" customWidth="1"/>
  </cols>
  <sheetData>
    <row r="1" spans="1:10" ht="12.75">
      <c r="A1" s="57" t="str">
        <f>+'Residential Sch 7'!A1</f>
        <v>Puget Sound Energy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2.75">
      <c r="A2" s="57" t="str">
        <f>+'Residential Sch 7'!A2</f>
        <v>Proforma and Proposed Revenue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2.75">
      <c r="A3" s="57" t="str">
        <f>+'Residential Sch 7'!A3</f>
        <v>Twelve Months ended September 30, 2007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ht="12.75">
      <c r="A4" s="57" t="s">
        <v>239</v>
      </c>
      <c r="B4" s="57"/>
      <c r="C4" s="57"/>
      <c r="D4" s="57"/>
      <c r="E4" s="57"/>
      <c r="F4" s="57"/>
      <c r="G4" s="57"/>
      <c r="H4" s="57"/>
      <c r="I4" s="57"/>
      <c r="J4" s="57"/>
    </row>
    <row r="5" spans="1:10" ht="12.75">
      <c r="A5" s="57" t="s">
        <v>240</v>
      </c>
      <c r="B5" s="57"/>
      <c r="C5" s="57"/>
      <c r="D5" s="57"/>
      <c r="E5" s="57"/>
      <c r="F5" s="57"/>
      <c r="G5" s="57"/>
      <c r="H5" s="57"/>
      <c r="I5" s="57"/>
      <c r="J5" s="57"/>
    </row>
    <row r="7" spans="2:10" ht="12.75">
      <c r="B7" s="94" t="s">
        <v>222</v>
      </c>
      <c r="C7" s="95"/>
      <c r="D7" s="96"/>
      <c r="E7" s="97" t="str">
        <f>+'Residential Sch 7'!E7</f>
        <v>Proforma</v>
      </c>
      <c r="F7" s="98"/>
      <c r="G7" s="99" t="str">
        <f>+'Residential Sch 7'!G7</f>
        <v>Proposed</v>
      </c>
      <c r="H7" s="98"/>
      <c r="I7" s="100"/>
      <c r="J7" s="100"/>
    </row>
    <row r="8" spans="3:10" ht="12.75">
      <c r="C8" s="89" t="s">
        <v>223</v>
      </c>
      <c r="D8" s="101"/>
      <c r="E8" s="102" t="str">
        <f>+'Residential Sch 7'!E8</f>
        <v>Rates Effective 9-1-07</v>
      </c>
      <c r="F8" s="103"/>
      <c r="G8" s="104" t="str">
        <f>+'Residential Sch 7'!G8</f>
        <v>Rates Effective 2008</v>
      </c>
      <c r="H8" s="105"/>
      <c r="I8" s="106" t="str">
        <f>+'Residential Sch 7'!I8</f>
        <v>Differences</v>
      </c>
      <c r="J8" s="107"/>
    </row>
    <row r="9" spans="1:10" ht="12.75">
      <c r="A9" s="108"/>
      <c r="B9" s="108"/>
      <c r="C9" s="108" t="s">
        <v>227</v>
      </c>
      <c r="D9" s="108" t="s">
        <v>228</v>
      </c>
      <c r="E9" s="106" t="str">
        <f>+'Residential Sch 7'!E9</f>
        <v>Charge</v>
      </c>
      <c r="F9" s="107" t="str">
        <f>+'Residential Sch 7'!F9</f>
        <v>Revenue</v>
      </c>
      <c r="G9" s="109" t="str">
        <f>+'Residential Sch 7'!G9</f>
        <v>Charge</v>
      </c>
      <c r="H9" s="107" t="str">
        <f>+'Residential Sch 7'!H9</f>
        <v>Revenue</v>
      </c>
      <c r="I9" s="109" t="str">
        <f>+'Residential Sch 7'!I9</f>
        <v>$</v>
      </c>
      <c r="J9" s="107" t="str">
        <f>+'Residential Sch 7'!J9</f>
        <v>%</v>
      </c>
    </row>
    <row r="10" spans="1:10" ht="12.75">
      <c r="A10" s="79" t="s">
        <v>233</v>
      </c>
      <c r="B10" s="68">
        <v>1040499</v>
      </c>
      <c r="C10" s="68"/>
      <c r="D10" s="68">
        <f>+B10</f>
        <v>1040499</v>
      </c>
      <c r="E10" s="110">
        <v>6.8</v>
      </c>
      <c r="F10" s="92">
        <f>+E10*D10</f>
        <v>7075393.2</v>
      </c>
      <c r="G10" s="111">
        <f>+'Rate Design Sch 24'!$F$8</f>
        <v>9.25</v>
      </c>
      <c r="H10" s="92">
        <f>+G10*D10</f>
        <v>9624615.75</v>
      </c>
      <c r="I10" s="90">
        <f>+H10-F10</f>
        <v>2549222.55</v>
      </c>
      <c r="J10" s="112">
        <f>+I10/F10</f>
        <v>0.36029411764705876</v>
      </c>
    </row>
    <row r="11" spans="1:10" ht="12.75">
      <c r="A11" s="58" t="s">
        <v>234</v>
      </c>
      <c r="B11" s="68">
        <v>401495</v>
      </c>
      <c r="C11" s="68"/>
      <c r="D11" s="68">
        <f>+B11</f>
        <v>401495</v>
      </c>
      <c r="E11" s="110">
        <v>16.79</v>
      </c>
      <c r="F11" s="92">
        <f>+E11*D11</f>
        <v>6741101.05</v>
      </c>
      <c r="G11" s="111">
        <f>+'Rate Design Sch 24'!$F$9</f>
        <v>23.5</v>
      </c>
      <c r="H11" s="92">
        <f>+G11*D11</f>
        <v>9435132.5</v>
      </c>
      <c r="I11" s="90">
        <f>+H11-F11</f>
        <v>2694031.45</v>
      </c>
      <c r="J11" s="112">
        <f>+I11/F11</f>
        <v>0.3996426444312091</v>
      </c>
    </row>
    <row r="12" spans="1:10" ht="12.75">
      <c r="A12" s="58" t="s">
        <v>58</v>
      </c>
      <c r="B12" s="73">
        <f>SUM(B10:B11)</f>
        <v>1441994</v>
      </c>
      <c r="C12" s="73"/>
      <c r="D12" s="73">
        <f>SUM(D10:D11)</f>
        <v>1441994</v>
      </c>
      <c r="F12" s="74">
        <f>SUM(F10:F11)</f>
        <v>13816494.25</v>
      </c>
      <c r="H12" s="74">
        <f>SUM(H10:H11)</f>
        <v>19059748.25</v>
      </c>
      <c r="I12" s="74">
        <f>SUM(I10:I11)</f>
        <v>5243254</v>
      </c>
      <c r="J12" s="113">
        <f>+I12/F12</f>
        <v>0.37949235928643765</v>
      </c>
    </row>
    <row r="13" spans="6:8" ht="12.75">
      <c r="F13" s="92"/>
      <c r="H13" s="110"/>
    </row>
    <row r="14" spans="1:10" ht="12.75">
      <c r="A14" s="58" t="s">
        <v>241</v>
      </c>
      <c r="B14" s="114">
        <v>1388857913.7160997</v>
      </c>
      <c r="C14" s="114">
        <v>-11965439</v>
      </c>
      <c r="D14" s="114">
        <f>SUM(B14:C14)</f>
        <v>1376892474.7160997</v>
      </c>
      <c r="E14" s="93">
        <v>0.079049</v>
      </c>
      <c r="F14" s="92">
        <f>+E14*D14</f>
        <v>108841973.23383296</v>
      </c>
      <c r="G14" s="93">
        <f>+'Rate Design Sch 24'!$F$15</f>
        <v>0.087462</v>
      </c>
      <c r="H14" s="92">
        <f>+G14*D14</f>
        <v>120425769.62361951</v>
      </c>
      <c r="I14" s="90">
        <f>+H14-F14</f>
        <v>11583796.389786556</v>
      </c>
      <c r="J14" s="112">
        <f>+I14/F14</f>
        <v>0.10642765879391274</v>
      </c>
    </row>
    <row r="15" spans="1:10" ht="12.75">
      <c r="A15" s="58" t="s">
        <v>242</v>
      </c>
      <c r="B15" s="114">
        <v>1237234757.1153002</v>
      </c>
      <c r="C15" s="114">
        <v>-7300019</v>
      </c>
      <c r="D15" s="114">
        <f>SUM(B15:C15)</f>
        <v>1229934738.1153002</v>
      </c>
      <c r="E15" s="93">
        <v>0.076264</v>
      </c>
      <c r="F15" s="92">
        <f>+E15*D15</f>
        <v>93799742.86762525</v>
      </c>
      <c r="G15" s="93">
        <f>+'Rate Design Sch 24'!$F$18</f>
        <v>0.084499</v>
      </c>
      <c r="H15" s="92">
        <f>+G15*D15</f>
        <v>103928255.43600476</v>
      </c>
      <c r="I15" s="90">
        <f>+H15-F15</f>
        <v>10128512.568379506</v>
      </c>
      <c r="J15" s="112">
        <f>+I15/F15</f>
        <v>0.10798017413196276</v>
      </c>
    </row>
    <row r="16" spans="1:12" ht="12.75">
      <c r="A16" s="58" t="s">
        <v>70</v>
      </c>
      <c r="B16" s="73">
        <f>SUM(B14:B15)</f>
        <v>2626092670.8314</v>
      </c>
      <c r="C16" s="73">
        <f>SUM(C14:C15)</f>
        <v>-19265458</v>
      </c>
      <c r="D16" s="73">
        <f>SUM(D14:D15)</f>
        <v>2606827212.8314</v>
      </c>
      <c r="F16" s="74">
        <f>SUM(F14:F15)</f>
        <v>202641716.1014582</v>
      </c>
      <c r="H16" s="74">
        <f>SUM(H14:H15)</f>
        <v>224354025.05962425</v>
      </c>
      <c r="I16" s="74">
        <f>SUM(I14:I15)</f>
        <v>21712308.958166063</v>
      </c>
      <c r="J16" s="113">
        <f>+I16/F16</f>
        <v>0.1071462943360349</v>
      </c>
      <c r="L16" s="90"/>
    </row>
    <row r="17" spans="2:10" ht="12.75">
      <c r="B17" s="76"/>
      <c r="C17" s="76"/>
      <c r="D17" s="76"/>
      <c r="F17" s="77"/>
      <c r="H17" s="77"/>
      <c r="I17" s="77"/>
      <c r="J17" s="115"/>
    </row>
    <row r="18" spans="1:10" ht="12.75">
      <c r="A18" s="58" t="s">
        <v>236</v>
      </c>
      <c r="D18" s="73">
        <f>+D16</f>
        <v>2606827212.8314</v>
      </c>
      <c r="E18" s="93">
        <v>0.003125</v>
      </c>
      <c r="F18" s="74">
        <f>+E18*D18</f>
        <v>8146335.040098125</v>
      </c>
      <c r="G18" s="93">
        <v>0</v>
      </c>
      <c r="H18" s="74">
        <f>+G18*D18</f>
        <v>0</v>
      </c>
      <c r="I18" s="116">
        <f>+H18-F18</f>
        <v>-8146335.040098125</v>
      </c>
      <c r="J18" s="113">
        <f>+I18/F18</f>
        <v>-1</v>
      </c>
    </row>
    <row r="19" ht="12.75">
      <c r="D19" s="71"/>
    </row>
    <row r="20" spans="1:10" ht="12.75">
      <c r="A20" s="58" t="s">
        <v>237</v>
      </c>
      <c r="D20" s="73">
        <v>10444821</v>
      </c>
      <c r="E20" s="93">
        <v>0.08504063058114877</v>
      </c>
      <c r="F20" s="74">
        <f>+E20*D20</f>
        <v>888234.164147225</v>
      </c>
      <c r="G20" s="93">
        <f>+'Rate Design Sch 24'!$F$21</f>
        <v>0.090514</v>
      </c>
      <c r="H20" s="74">
        <f>+G20*D20</f>
        <v>945402.527994</v>
      </c>
      <c r="I20" s="116">
        <f>+H20-F20</f>
        <v>57168.36384677503</v>
      </c>
      <c r="J20" s="117">
        <f>+I20/F20</f>
        <v>0.0643618160101522</v>
      </c>
    </row>
    <row r="21" ht="12.75">
      <c r="D21" s="71"/>
    </row>
    <row r="22" spans="1:10" ht="13.5" thickBot="1">
      <c r="A22" s="79" t="s">
        <v>243</v>
      </c>
      <c r="B22" s="79"/>
      <c r="C22" s="79"/>
      <c r="D22" s="82">
        <f>SUM(D20,D16)</f>
        <v>2617272033.8314</v>
      </c>
      <c r="F22" s="118">
        <f>SUM(F16,F12,F18,F20)</f>
        <v>225492779.55570355</v>
      </c>
      <c r="H22" s="118">
        <f>SUM(H16,H12,H18,H20)</f>
        <v>244359175.83761826</v>
      </c>
      <c r="I22" s="118">
        <f>SUM(I16,I12,I18,I20)</f>
        <v>18866396.281914715</v>
      </c>
      <c r="J22" s="119">
        <f>+I22/F22</f>
        <v>0.08366740752891444</v>
      </c>
    </row>
    <row r="23" ht="13.5" thickTop="1">
      <c r="D23" s="71"/>
    </row>
    <row r="24" spans="1:8" ht="12.75" hidden="1">
      <c r="A24" s="58" t="s">
        <v>117</v>
      </c>
      <c r="F24" s="92">
        <v>224604545.39155632</v>
      </c>
      <c r="H24" s="90">
        <f>+'Rate Spread'!$J$14</f>
        <v>248830240.5277242</v>
      </c>
    </row>
    <row r="25" spans="1:8" ht="12.75" hidden="1">
      <c r="A25" s="58" t="s">
        <v>117</v>
      </c>
      <c r="F25" s="90">
        <f>+F24-(F22-F20)</f>
        <v>0</v>
      </c>
      <c r="G25" s="90"/>
      <c r="H25" s="90">
        <f>+H24-H22</f>
        <v>4471064.690105945</v>
      </c>
    </row>
    <row r="26" ht="12.75" hidden="1"/>
    <row r="27" ht="12.75" hidden="1"/>
    <row r="28" ht="12.75" hidden="1"/>
    <row r="29" spans="1:6" ht="12.75" hidden="1">
      <c r="A29" s="79" t="str">
        <f>+'Residential Sch 7'!$A$29</f>
        <v>Schedule 95 Effective 9-1-07</v>
      </c>
      <c r="E29" s="93">
        <f>+E18</f>
        <v>0.003125</v>
      </c>
      <c r="F29" s="92">
        <f>+E29*$D$16</f>
        <v>8146335.040098125</v>
      </c>
    </row>
  </sheetData>
  <sheetProtection/>
  <printOptions/>
  <pageMargins left="0.46" right="0.27" top="1.5" bottom="1" header="0.5" footer="0.5"/>
  <pageSetup fitToHeight="1" fitToWidth="1" horizontalDpi="600" verticalDpi="600" orientation="landscape" scale="98" r:id="rId1"/>
  <headerFooter alignWithMargins="0">
    <oddHeader>&amp;L&amp;"Times New Roman,Regular"Puget Sound Energy
Docket UE-0702300/UG-072301&amp;R&amp;"Times New Roman,Regular"Electric Rate Spread and Rate Design 
Exhibit A to Multiparty Settlement&amp;"Arial,Regular"
</oddHeader>
    <oddFooter>&amp;R&amp;"Times New Roman,Regular"Page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24.421875" style="58" bestFit="1" customWidth="1"/>
    <col min="2" max="2" width="14.00390625" style="58" bestFit="1" customWidth="1"/>
    <col min="3" max="3" width="11.28125" style="58" bestFit="1" customWidth="1"/>
    <col min="4" max="4" width="16.57421875" style="58" bestFit="1" customWidth="1"/>
    <col min="5" max="5" width="10.7109375" style="58" bestFit="1" customWidth="1"/>
    <col min="6" max="6" width="16.57421875" style="58" bestFit="1" customWidth="1"/>
    <col min="7" max="7" width="11.28125" style="58" bestFit="1" customWidth="1"/>
    <col min="8" max="8" width="13.421875" style="58" bestFit="1" customWidth="1"/>
    <col min="9" max="9" width="12.8515625" style="58" bestFit="1" customWidth="1"/>
    <col min="10" max="10" width="7.8515625" style="58" bestFit="1" customWidth="1"/>
    <col min="11" max="16384" width="9.140625" style="58" customWidth="1"/>
  </cols>
  <sheetData>
    <row r="1" spans="1:10" ht="12.75">
      <c r="A1" s="57" t="str">
        <f>+'Residential Sch 7'!A1</f>
        <v>Puget Sound Energy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2.75">
      <c r="A2" s="57" t="str">
        <f>+'Residential Sch 7'!A2</f>
        <v>Proforma and Proposed Revenue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2.75">
      <c r="A3" s="57" t="str">
        <f>+'Residential Sch 7'!A3</f>
        <v>Twelve Months ended September 30, 2007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ht="12.75">
      <c r="A4" s="57" t="s">
        <v>244</v>
      </c>
      <c r="B4" s="57"/>
      <c r="C4" s="57"/>
      <c r="D4" s="57"/>
      <c r="E4" s="57"/>
      <c r="F4" s="57"/>
      <c r="G4" s="57"/>
      <c r="H4" s="57"/>
      <c r="I4" s="57"/>
      <c r="J4" s="57"/>
    </row>
    <row r="5" spans="1:10" ht="12.75">
      <c r="A5" s="57" t="s">
        <v>245</v>
      </c>
      <c r="B5" s="57"/>
      <c r="C5" s="57"/>
      <c r="D5" s="57"/>
      <c r="E5" s="57"/>
      <c r="F5" s="57"/>
      <c r="G5" s="57"/>
      <c r="H5" s="57"/>
      <c r="I5" s="57"/>
      <c r="J5" s="57"/>
    </row>
    <row r="7" spans="2:10" ht="12.75">
      <c r="B7" s="94" t="s">
        <v>222</v>
      </c>
      <c r="C7" s="95"/>
      <c r="D7" s="96"/>
      <c r="E7" s="97" t="str">
        <f>+'Residential Sch 7'!E7</f>
        <v>Proforma</v>
      </c>
      <c r="F7" s="98"/>
      <c r="G7" s="99" t="str">
        <f>+'Residential Sch 7'!G7</f>
        <v>Proposed</v>
      </c>
      <c r="H7" s="98"/>
      <c r="I7" s="100"/>
      <c r="J7" s="100"/>
    </row>
    <row r="8" spans="3:10" ht="12.75">
      <c r="C8" s="89" t="s">
        <v>223</v>
      </c>
      <c r="D8" s="101"/>
      <c r="E8" s="128" t="str">
        <f>+'Residential Sch 7'!E8</f>
        <v>Rates Effective 9-1-07</v>
      </c>
      <c r="F8" s="105"/>
      <c r="G8" s="104" t="str">
        <f>+'Residential Sch 7'!G8</f>
        <v>Rates Effective 2008</v>
      </c>
      <c r="H8" s="105"/>
      <c r="I8" s="106" t="str">
        <f>+'Residential Sch 7'!I8</f>
        <v>Differences</v>
      </c>
      <c r="J8" s="107"/>
    </row>
    <row r="9" spans="1:10" ht="12.75">
      <c r="A9" s="108"/>
      <c r="B9" s="108"/>
      <c r="C9" s="108" t="s">
        <v>227</v>
      </c>
      <c r="D9" s="108" t="s">
        <v>228</v>
      </c>
      <c r="E9" s="106" t="str">
        <f>+'Residential Sch 7'!E9</f>
        <v>Charge</v>
      </c>
      <c r="F9" s="107" t="str">
        <f>+'Residential Sch 7'!F9</f>
        <v>Revenue</v>
      </c>
      <c r="G9" s="109" t="str">
        <f>+'Residential Sch 7'!G9</f>
        <v>Charge</v>
      </c>
      <c r="H9" s="107" t="str">
        <f>+'Residential Sch 7'!H9</f>
        <v>Revenue</v>
      </c>
      <c r="I9" s="109" t="str">
        <f>+'Residential Sch 7'!I9</f>
        <v>$</v>
      </c>
      <c r="J9" s="107" t="str">
        <f>+'Residential Sch 7'!J9</f>
        <v>%</v>
      </c>
    </row>
    <row r="10" spans="1:10" ht="12.75">
      <c r="A10" s="58" t="s">
        <v>58</v>
      </c>
      <c r="B10" s="129">
        <v>93148</v>
      </c>
      <c r="C10" s="129"/>
      <c r="D10" s="129">
        <f>+B10</f>
        <v>93148</v>
      </c>
      <c r="E10" s="110">
        <v>27.2</v>
      </c>
      <c r="F10" s="74">
        <f>+E10*D10</f>
        <v>2533625.6</v>
      </c>
      <c r="G10" s="111">
        <f>+'Rate Design Sch 25'!$F$7</f>
        <v>50</v>
      </c>
      <c r="H10" s="74">
        <f>+G10*D10</f>
        <v>4657400</v>
      </c>
      <c r="I10" s="116">
        <f>+H10-F10</f>
        <v>2123774.4</v>
      </c>
      <c r="J10" s="113">
        <f>+I10/F10</f>
        <v>0.838235294117647</v>
      </c>
    </row>
    <row r="11" spans="6:8" ht="12.75">
      <c r="F11" s="92"/>
      <c r="H11" s="92"/>
    </row>
    <row r="12" spans="1:10" ht="12.75">
      <c r="A12" s="58" t="s">
        <v>246</v>
      </c>
      <c r="B12" s="114">
        <v>781028543.1319999</v>
      </c>
      <c r="C12" s="114"/>
      <c r="D12" s="114">
        <f>SUM(B12:C12)</f>
        <v>781028543.1319999</v>
      </c>
      <c r="E12" s="93">
        <v>0.082041</v>
      </c>
      <c r="F12" s="92">
        <f>+E12*D12</f>
        <v>64076362.707092404</v>
      </c>
      <c r="G12" s="93">
        <f>+'Rate Design Sch 25'!$F$11</f>
        <v>0.088261</v>
      </c>
      <c r="H12" s="92">
        <f>+G12*D12</f>
        <v>68934360.24537344</v>
      </c>
      <c r="I12" s="90">
        <f>+H12-F12</f>
        <v>4857997.538281038</v>
      </c>
      <c r="J12" s="21">
        <f>+I12/F12</f>
        <v>0.07581575066125472</v>
      </c>
    </row>
    <row r="13" spans="1:10" ht="12.75">
      <c r="A13" s="58" t="s">
        <v>247</v>
      </c>
      <c r="B13" s="114">
        <v>766793106.5449001</v>
      </c>
      <c r="C13" s="114"/>
      <c r="D13" s="114">
        <f>SUM(B13:C13)</f>
        <v>766793106.5449001</v>
      </c>
      <c r="E13" s="93">
        <v>0.074445</v>
      </c>
      <c r="F13" s="92">
        <f>+E13*D13</f>
        <v>57083912.81673508</v>
      </c>
      <c r="G13" s="93">
        <f>+'Rate Design Sch 25'!$F$12</f>
        <v>0.080388</v>
      </c>
      <c r="H13" s="92">
        <f>+G13*D13</f>
        <v>61640964.24893143</v>
      </c>
      <c r="I13" s="90">
        <f>+H13-F13</f>
        <v>4557051.432196349</v>
      </c>
      <c r="J13" s="21">
        <f>+I13/F13</f>
        <v>0.07983074753173498</v>
      </c>
    </row>
    <row r="14" spans="1:10" ht="12.75">
      <c r="A14" s="79" t="s">
        <v>248</v>
      </c>
      <c r="B14" s="114">
        <v>1499730302.954</v>
      </c>
      <c r="C14" s="114">
        <v>-529631.9585296367</v>
      </c>
      <c r="D14" s="114">
        <f>SUM(B14:C14)</f>
        <v>1499200670.9954703</v>
      </c>
      <c r="E14" s="93">
        <v>0.060417000000000005</v>
      </c>
      <c r="F14" s="92">
        <f>+E14*D14</f>
        <v>90577206.93953334</v>
      </c>
      <c r="G14" s="93">
        <f>+'Rate Design Sch 25'!$F$17</f>
        <v>0.063576</v>
      </c>
      <c r="H14" s="92">
        <f>+G14*D14</f>
        <v>95313181.859208</v>
      </c>
      <c r="I14" s="90">
        <f>+H14-F14</f>
        <v>4735974.919674665</v>
      </c>
      <c r="J14" s="21">
        <f>+I14/F14</f>
        <v>0.052286608073886194</v>
      </c>
    </row>
    <row r="15" spans="1:10" ht="12.75">
      <c r="A15" s="79" t="s">
        <v>249</v>
      </c>
      <c r="B15" s="129">
        <f>SUM(B12:B14)</f>
        <v>3047551952.6309</v>
      </c>
      <c r="C15" s="129">
        <f>SUM(C12:C14)</f>
        <v>-529631.9585296367</v>
      </c>
      <c r="D15" s="129">
        <f>SUM(D12:D14)</f>
        <v>3047022320.67237</v>
      </c>
      <c r="E15" s="110"/>
      <c r="F15" s="74">
        <f>SUM(F12:F14)</f>
        <v>211737482.46336085</v>
      </c>
      <c r="G15" s="130"/>
      <c r="H15" s="74">
        <f>SUM(H12:H14)</f>
        <v>225888506.35351288</v>
      </c>
      <c r="I15" s="116">
        <f>SUM(I12:I14)</f>
        <v>14151023.890152052</v>
      </c>
      <c r="J15" s="117">
        <f>+I15/F15</f>
        <v>0.06683287118330951</v>
      </c>
    </row>
    <row r="16" spans="2:6" ht="12.75">
      <c r="B16" s="71"/>
      <c r="C16" s="71"/>
      <c r="D16" s="71"/>
      <c r="F16" s="90"/>
    </row>
    <row r="17" spans="1:10" ht="12.75">
      <c r="A17" s="72" t="s">
        <v>103</v>
      </c>
      <c r="B17" s="114">
        <v>6636130.95</v>
      </c>
      <c r="C17" s="114"/>
      <c r="D17" s="114">
        <f>+B17</f>
        <v>6636130.95</v>
      </c>
      <c r="E17" s="110">
        <v>0</v>
      </c>
      <c r="F17" s="92">
        <f>+E17*D17</f>
        <v>0</v>
      </c>
      <c r="G17" s="110">
        <v>0</v>
      </c>
      <c r="H17" s="92">
        <f>+G17*D17</f>
        <v>0</v>
      </c>
      <c r="I17" s="90">
        <f>+H17-F17</f>
        <v>0</v>
      </c>
      <c r="J17" s="112" t="e">
        <f>+I17/F17</f>
        <v>#DIV/0!</v>
      </c>
    </row>
    <row r="18" spans="1:10" ht="12.75">
      <c r="A18" s="79" t="s">
        <v>250</v>
      </c>
      <c r="B18" s="114">
        <v>2383723</v>
      </c>
      <c r="C18" s="114"/>
      <c r="D18" s="114">
        <f>+B18</f>
        <v>2383723</v>
      </c>
      <c r="E18" s="110">
        <v>8.31</v>
      </c>
      <c r="F18" s="92">
        <f>+E18*D18</f>
        <v>19808738.130000003</v>
      </c>
      <c r="G18" s="110">
        <f>+'Rate Design Sch 25'!$F$28</f>
        <v>8.72</v>
      </c>
      <c r="H18" s="92">
        <f>+G18*D18</f>
        <v>20786064.560000002</v>
      </c>
      <c r="I18" s="90">
        <f>+H18-F18</f>
        <v>977326.4299999997</v>
      </c>
      <c r="J18" s="112">
        <f>+I18/F18</f>
        <v>0.049338146811070974</v>
      </c>
    </row>
    <row r="19" spans="1:10" ht="12.75">
      <c r="A19" s="79" t="s">
        <v>251</v>
      </c>
      <c r="B19" s="114">
        <v>2266686.158</v>
      </c>
      <c r="C19" s="114"/>
      <c r="D19" s="114">
        <f>+B19</f>
        <v>2266686.158</v>
      </c>
      <c r="E19" s="110">
        <v>5.54</v>
      </c>
      <c r="F19" s="92">
        <f>+E19*D19</f>
        <v>12557441.315319998</v>
      </c>
      <c r="G19" s="110">
        <f>+'Rate Design Sch 25'!$F$29</f>
        <v>5.81</v>
      </c>
      <c r="H19" s="92">
        <f>+G19*D19</f>
        <v>13169446.577979999</v>
      </c>
      <c r="I19" s="90">
        <f>+H19-F19</f>
        <v>612005.2626600005</v>
      </c>
      <c r="J19" s="112">
        <f>+I19/F19</f>
        <v>0.04873646209386286</v>
      </c>
    </row>
    <row r="20" spans="1:10" ht="12.75">
      <c r="A20" s="79" t="s">
        <v>252</v>
      </c>
      <c r="B20" s="129">
        <f>SUM(B17:B19)</f>
        <v>11286540.108</v>
      </c>
      <c r="C20" s="129"/>
      <c r="D20" s="129">
        <f>SUM(D17:D19)</f>
        <v>11286540.108</v>
      </c>
      <c r="E20" s="110"/>
      <c r="F20" s="74">
        <f>SUM(F18:F19)</f>
        <v>32366179.445320003</v>
      </c>
      <c r="G20" s="130"/>
      <c r="H20" s="74">
        <f>SUM(H18:H19)</f>
        <v>33955511.13798</v>
      </c>
      <c r="I20" s="74">
        <f>SUM(I18:I19)</f>
        <v>1589331.6926600002</v>
      </c>
      <c r="J20" s="113">
        <f>+I20/F20</f>
        <v>0.04910470496973686</v>
      </c>
    </row>
    <row r="21" spans="2:10" ht="12.75">
      <c r="B21" s="76"/>
      <c r="C21" s="76"/>
      <c r="D21" s="76"/>
      <c r="F21" s="77"/>
      <c r="H21" s="77"/>
      <c r="I21" s="77"/>
      <c r="J21" s="115"/>
    </row>
    <row r="22" spans="1:10" ht="12.75">
      <c r="A22" s="79" t="s">
        <v>253</v>
      </c>
      <c r="B22" s="129">
        <v>983442054.2900002</v>
      </c>
      <c r="C22" s="129"/>
      <c r="D22" s="129">
        <f>+B22</f>
        <v>983442054.2900002</v>
      </c>
      <c r="E22" s="131">
        <v>0.00265</v>
      </c>
      <c r="F22" s="74">
        <f>+E22*D22</f>
        <v>2606121.4438685006</v>
      </c>
      <c r="G22" s="131">
        <f>+'Rate Design Sch 25'!$F$32</f>
        <v>0.00274</v>
      </c>
      <c r="H22" s="74">
        <f>+G22*D22</f>
        <v>2694631.2287546005</v>
      </c>
      <c r="I22" s="116">
        <f>+H22-F22</f>
        <v>88509.78488609986</v>
      </c>
      <c r="J22" s="113">
        <f>+I22/F22</f>
        <v>0.03396226415094333</v>
      </c>
    </row>
    <row r="23" ht="12.75">
      <c r="D23" s="71"/>
    </row>
    <row r="24" spans="1:10" ht="12.75">
      <c r="A24" s="72" t="s">
        <v>236</v>
      </c>
      <c r="D24" s="129">
        <f>+D15</f>
        <v>3047022320.67237</v>
      </c>
      <c r="E24" s="93">
        <v>0.003115</v>
      </c>
      <c r="F24" s="74">
        <f>+E24*D24</f>
        <v>9491474.528894434</v>
      </c>
      <c r="G24" s="93">
        <v>0</v>
      </c>
      <c r="H24" s="74">
        <f>+G24*D24</f>
        <v>0</v>
      </c>
      <c r="I24" s="116">
        <f>+H24-F24</f>
        <v>-9491474.528894434</v>
      </c>
      <c r="J24" s="113">
        <f>+I24/F24</f>
        <v>-1</v>
      </c>
    </row>
    <row r="25" ht="12.75">
      <c r="D25" s="71"/>
    </row>
    <row r="26" spans="1:10" ht="12.75">
      <c r="A26" s="72" t="s">
        <v>237</v>
      </c>
      <c r="D26" s="73">
        <v>12847740</v>
      </c>
      <c r="E26" s="93">
        <v>0.080694715599667</v>
      </c>
      <c r="F26" s="74">
        <f>+E26*D26</f>
        <v>1036744.7253984656</v>
      </c>
      <c r="G26" s="93">
        <f>+'Rate Design Sch 25'!$F$23</f>
        <v>0.083346</v>
      </c>
      <c r="H26" s="74">
        <f>+G26*D26</f>
        <v>1070807.73804</v>
      </c>
      <c r="I26" s="116">
        <f>+H26-F26</f>
        <v>34063.012641534326</v>
      </c>
      <c r="J26" s="117">
        <f>+I26/F26</f>
        <v>0.03285573758616659</v>
      </c>
    </row>
    <row r="27" ht="12.75">
      <c r="D27" s="71"/>
    </row>
    <row r="28" spans="1:10" ht="13.5" thickBot="1">
      <c r="A28" s="58" t="s">
        <v>71</v>
      </c>
      <c r="D28" s="91">
        <f>+D15+D26</f>
        <v>3059870060.67237</v>
      </c>
      <c r="F28" s="118">
        <f>SUM(F22,F20,F15,F10,F24,F26)</f>
        <v>259771628.2068422</v>
      </c>
      <c r="H28" s="118">
        <f>SUM(H22,H20,H15,H10,H24,H26)</f>
        <v>268266856.45828748</v>
      </c>
      <c r="I28" s="118">
        <f>SUM(I22,I20,I15,I10,I24,I26)</f>
        <v>8495228.25144525</v>
      </c>
      <c r="J28" s="119">
        <f>+I28/F28</f>
        <v>0.03270267931138714</v>
      </c>
    </row>
    <row r="29" ht="13.5" thickTop="1"/>
    <row r="30" spans="1:8" ht="12.75" hidden="1">
      <c r="A30" s="58" t="s">
        <v>117</v>
      </c>
      <c r="D30" s="71"/>
      <c r="F30" s="92">
        <v>258734883.4814438</v>
      </c>
      <c r="H30" s="92">
        <f>+'Rate Design Sch 25'!$H$38-'Secondary Sch 29'!H30</f>
        <v>268267281.2718846</v>
      </c>
    </row>
    <row r="31" spans="1:8" ht="12.75" hidden="1">
      <c r="A31" s="58" t="s">
        <v>117</v>
      </c>
      <c r="F31" s="90">
        <f>+F30-(F28-F26)</f>
        <v>0</v>
      </c>
      <c r="H31" s="90">
        <f>+H30-H28</f>
        <v>424.81359711289406</v>
      </c>
    </row>
    <row r="32" ht="12.75" hidden="1"/>
    <row r="33" ht="12.75" hidden="1">
      <c r="F33" s="127"/>
    </row>
    <row r="34" ht="12.75" hidden="1"/>
    <row r="35" spans="1:6" ht="12.75" hidden="1">
      <c r="A35" s="79" t="str">
        <f>+'Residential Sch 7'!$A$29</f>
        <v>Schedule 95 Effective 9-1-07</v>
      </c>
      <c r="E35" s="93">
        <f>+E24</f>
        <v>0.003115</v>
      </c>
      <c r="F35" s="92">
        <f>+E35*$D$15</f>
        <v>9491474.528894434</v>
      </c>
    </row>
  </sheetData>
  <sheetProtection/>
  <printOptions/>
  <pageMargins left="0.46" right="0.27" top="1.5" bottom="1" header="0.5" footer="0.5"/>
  <pageSetup fitToHeight="1" fitToWidth="1" horizontalDpi="600" verticalDpi="600" orientation="landscape" scale="96" r:id="rId1"/>
  <headerFooter alignWithMargins="0">
    <oddHeader>&amp;L&amp;"Times New Roman,Regular"Puget Sound Energy
Docket UE-0702300/UG-072301&amp;R&amp;"Times New Roman,Regular"Electric Rate Spread and Rate Design 
Exhibit A to Multiparty Settlement&amp;"Arial,Regular"
</oddHeader>
    <oddFooter>&amp;R&amp;"Times New Roman,Regular"Page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25.7109375" style="58" bestFit="1" customWidth="1"/>
    <col min="2" max="2" width="14.00390625" style="58" bestFit="1" customWidth="1"/>
    <col min="3" max="3" width="11.28125" style="58" bestFit="1" customWidth="1"/>
    <col min="4" max="4" width="16.57421875" style="58" bestFit="1" customWidth="1"/>
    <col min="5" max="5" width="10.7109375" style="58" bestFit="1" customWidth="1"/>
    <col min="6" max="6" width="13.421875" style="58" bestFit="1" customWidth="1"/>
    <col min="7" max="7" width="10.7109375" style="58" bestFit="1" customWidth="1"/>
    <col min="8" max="8" width="13.421875" style="58" bestFit="1" customWidth="1"/>
    <col min="9" max="9" width="12.8515625" style="58" bestFit="1" customWidth="1"/>
    <col min="10" max="10" width="7.8515625" style="58" bestFit="1" customWidth="1"/>
    <col min="11" max="16384" width="9.140625" style="58" customWidth="1"/>
  </cols>
  <sheetData>
    <row r="1" spans="1:10" ht="12.75">
      <c r="A1" s="57" t="str">
        <f>+'Residential Sch 7'!A1</f>
        <v>Puget Sound Energy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2.75">
      <c r="A2" s="57" t="str">
        <f>+'Residential Sch 7'!A2</f>
        <v>Proforma and Proposed Revenue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2.75">
      <c r="A3" s="57" t="str">
        <f>+'Residential Sch 7'!A3</f>
        <v>Twelve Months ended September 30, 2007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ht="12.75">
      <c r="A4" s="57" t="s">
        <v>254</v>
      </c>
      <c r="B4" s="57"/>
      <c r="C4" s="57"/>
      <c r="D4" s="57"/>
      <c r="E4" s="57"/>
      <c r="F4" s="57"/>
      <c r="G4" s="57"/>
      <c r="H4" s="57"/>
      <c r="I4" s="57"/>
      <c r="J4" s="57"/>
    </row>
    <row r="5" spans="1:10" ht="12.75">
      <c r="A5" s="57" t="s">
        <v>255</v>
      </c>
      <c r="B5" s="57"/>
      <c r="C5" s="57"/>
      <c r="D5" s="57"/>
      <c r="E5" s="57"/>
      <c r="F5" s="57"/>
      <c r="G5" s="57"/>
      <c r="H5" s="57"/>
      <c r="I5" s="57"/>
      <c r="J5" s="57"/>
    </row>
    <row r="7" spans="2:10" ht="12.75">
      <c r="B7" s="94" t="s">
        <v>222</v>
      </c>
      <c r="C7" s="95"/>
      <c r="D7" s="96"/>
      <c r="E7" s="97" t="str">
        <f>+'Residential Sch 7'!E7</f>
        <v>Proforma</v>
      </c>
      <c r="F7" s="98"/>
      <c r="G7" s="99" t="str">
        <f>+'Residential Sch 7'!G7</f>
        <v>Proposed</v>
      </c>
      <c r="H7" s="98"/>
      <c r="I7" s="100"/>
      <c r="J7" s="100"/>
    </row>
    <row r="8" spans="3:10" ht="12.75">
      <c r="C8" s="89" t="s">
        <v>223</v>
      </c>
      <c r="D8" s="101"/>
      <c r="E8" s="132" t="str">
        <f>+'Residential Sch 7'!E8</f>
        <v>Rates Effective 9-1-07</v>
      </c>
      <c r="F8" s="105"/>
      <c r="G8" s="104" t="str">
        <f>+'Residential Sch 7'!G8</f>
        <v>Rates Effective 2008</v>
      </c>
      <c r="H8" s="105"/>
      <c r="I8" s="106" t="str">
        <f>+'Residential Sch 7'!I8</f>
        <v>Differences</v>
      </c>
      <c r="J8" s="107"/>
    </row>
    <row r="9" spans="1:10" ht="12.75">
      <c r="A9" s="108"/>
      <c r="B9" s="108"/>
      <c r="C9" s="108" t="s">
        <v>227</v>
      </c>
      <c r="D9" s="108" t="s">
        <v>228</v>
      </c>
      <c r="E9" s="106" t="str">
        <f>+'Residential Sch 7'!E9</f>
        <v>Charge</v>
      </c>
      <c r="F9" s="107" t="str">
        <f>+'Residential Sch 7'!F9</f>
        <v>Revenue</v>
      </c>
      <c r="G9" s="109" t="str">
        <f>+'Residential Sch 7'!G9</f>
        <v>Charge</v>
      </c>
      <c r="H9" s="107" t="str">
        <f>+'Residential Sch 7'!H9</f>
        <v>Revenue</v>
      </c>
      <c r="I9" s="109" t="str">
        <f>+'Residential Sch 7'!I9</f>
        <v>$</v>
      </c>
      <c r="J9" s="107" t="str">
        <f>+'Residential Sch 7'!J9</f>
        <v>%</v>
      </c>
    </row>
    <row r="10" spans="1:10" ht="12.75">
      <c r="A10" s="58" t="s">
        <v>58</v>
      </c>
      <c r="B10" s="129">
        <v>9387</v>
      </c>
      <c r="C10" s="129"/>
      <c r="D10" s="129">
        <f>SUM(B10:C10)</f>
        <v>9387</v>
      </c>
      <c r="E10" s="110">
        <v>48</v>
      </c>
      <c r="F10" s="74">
        <f>+E10*D10</f>
        <v>450576</v>
      </c>
      <c r="G10" s="111">
        <f>+'Rate Design Sch 26'!$F$7</f>
        <v>100</v>
      </c>
      <c r="H10" s="74">
        <f>+G10*D10</f>
        <v>938700</v>
      </c>
      <c r="I10" s="116">
        <f>+H10-F10</f>
        <v>488124</v>
      </c>
      <c r="J10" s="113">
        <f>+I10/F10</f>
        <v>1.0833333333333333</v>
      </c>
    </row>
    <row r="11" spans="6:8" ht="12.75">
      <c r="F11" s="92"/>
      <c r="H11" s="92"/>
    </row>
    <row r="12" spans="1:10" ht="12.75">
      <c r="A12" s="79" t="s">
        <v>249</v>
      </c>
      <c r="B12" s="73">
        <v>2079689442.06</v>
      </c>
      <c r="C12" s="73">
        <v>8749920.44027593</v>
      </c>
      <c r="D12" s="129">
        <f>SUM(B12:C12)</f>
        <v>2088439362.5002759</v>
      </c>
      <c r="E12" s="93">
        <v>0.057795</v>
      </c>
      <c r="F12" s="74">
        <f>+E12*D12</f>
        <v>120701352.95570344</v>
      </c>
      <c r="G12" s="93">
        <f>+'Rate Design Sch 26'!$F$12</f>
        <v>0.060995</v>
      </c>
      <c r="H12" s="74">
        <f>+G12*D12</f>
        <v>127384358.91570432</v>
      </c>
      <c r="I12" s="116">
        <f>+H12-F12</f>
        <v>6683005.9600008875</v>
      </c>
      <c r="J12" s="117">
        <f>+I12/F12</f>
        <v>0.05536811142832429</v>
      </c>
    </row>
    <row r="13" spans="2:4" ht="12.75">
      <c r="B13" s="71"/>
      <c r="C13" s="71"/>
      <c r="D13" s="71"/>
    </row>
    <row r="14" spans="1:10" ht="12.75">
      <c r="A14" s="79" t="s">
        <v>256</v>
      </c>
      <c r="B14" s="114">
        <v>2361739.33</v>
      </c>
      <c r="C14" s="114"/>
      <c r="D14" s="114">
        <f>SUM(B14:C14)</f>
        <v>2361739.33</v>
      </c>
      <c r="E14" s="110">
        <v>7.5</v>
      </c>
      <c r="F14" s="92">
        <f>+E14*D14</f>
        <v>17713044.975</v>
      </c>
      <c r="G14" s="110">
        <f>+'Rate Design Sch 26'!$F$19</f>
        <v>8.52</v>
      </c>
      <c r="H14" s="92">
        <f>+G14*D14</f>
        <v>20122019.0916</v>
      </c>
      <c r="I14" s="90">
        <f>+H14-F14</f>
        <v>2408974.1165999994</v>
      </c>
      <c r="J14" s="112">
        <f>+I14/F14</f>
        <v>0.13599999999999995</v>
      </c>
    </row>
    <row r="15" spans="1:10" ht="12.75">
      <c r="A15" s="79" t="s">
        <v>257</v>
      </c>
      <c r="B15" s="114">
        <v>2466057.47</v>
      </c>
      <c r="C15" s="114"/>
      <c r="D15" s="114">
        <f>SUM(B15:C15)</f>
        <v>2466057.47</v>
      </c>
      <c r="E15" s="110">
        <v>4.99</v>
      </c>
      <c r="F15" s="92">
        <f>+E15*D15</f>
        <v>12305626.775300002</v>
      </c>
      <c r="G15" s="110">
        <f>+'Rate Design Sch 26'!$F$20</f>
        <v>5.67</v>
      </c>
      <c r="H15" s="92">
        <f>+G15*D15</f>
        <v>13982545.8549</v>
      </c>
      <c r="I15" s="90">
        <f>+H15-F15</f>
        <v>1676919.079599999</v>
      </c>
      <c r="J15" s="112">
        <f>+I15/F15</f>
        <v>0.13627254509018025</v>
      </c>
    </row>
    <row r="16" spans="1:10" ht="12.75">
      <c r="A16" s="79" t="s">
        <v>252</v>
      </c>
      <c r="B16" s="73">
        <f>SUM(B14:B15)</f>
        <v>4827796.800000001</v>
      </c>
      <c r="C16" s="73">
        <f>SUM(C14:C15)</f>
        <v>0</v>
      </c>
      <c r="D16" s="73">
        <f>SUM(B16:C16)</f>
        <v>4827796.800000001</v>
      </c>
      <c r="F16" s="74">
        <f>SUM(F14:F15)</f>
        <v>30018671.750300005</v>
      </c>
      <c r="H16" s="74">
        <f>SUM(H14:H15)</f>
        <v>34104564.9465</v>
      </c>
      <c r="I16" s="74">
        <f>SUM(I14:I15)</f>
        <v>4085893.1961999983</v>
      </c>
      <c r="J16" s="113">
        <f>+I16/F16</f>
        <v>0.13611172506855385</v>
      </c>
    </row>
    <row r="17" spans="2:10" ht="12.75">
      <c r="B17" s="76"/>
      <c r="C17" s="76"/>
      <c r="D17" s="76"/>
      <c r="F17" s="77"/>
      <c r="H17" s="77"/>
      <c r="I17" s="77"/>
      <c r="J17" s="115"/>
    </row>
    <row r="18" spans="1:10" ht="12.75">
      <c r="A18" s="79" t="s">
        <v>253</v>
      </c>
      <c r="B18" s="129">
        <v>988805243.3100001</v>
      </c>
      <c r="C18" s="129"/>
      <c r="D18" s="73">
        <f>SUM(B18:C18)</f>
        <v>988805243.3100001</v>
      </c>
      <c r="E18" s="131">
        <v>0.00115</v>
      </c>
      <c r="F18" s="74">
        <f>+E18*D18</f>
        <v>1137126.0298065</v>
      </c>
      <c r="G18" s="131">
        <f>+'Rate Design Sch 26'!$F$23</f>
        <v>0.00119</v>
      </c>
      <c r="H18" s="74">
        <f>+G18*D18</f>
        <v>1176678.2395389</v>
      </c>
      <c r="I18" s="116">
        <f>+H18-F18</f>
        <v>39552.20973240002</v>
      </c>
      <c r="J18" s="113">
        <f>+I18/F18</f>
        <v>0.03478260869565219</v>
      </c>
    </row>
    <row r="19" spans="1:10" ht="12.75">
      <c r="A19" s="79"/>
      <c r="B19" s="133"/>
      <c r="C19" s="133"/>
      <c r="D19" s="76"/>
      <c r="E19" s="131"/>
      <c r="F19" s="77"/>
      <c r="G19" s="131"/>
      <c r="H19" s="77"/>
      <c r="I19" s="134"/>
      <c r="J19" s="115"/>
    </row>
    <row r="20" spans="1:10" ht="12.75">
      <c r="A20" s="72" t="s">
        <v>236</v>
      </c>
      <c r="B20" s="71"/>
      <c r="C20" s="71"/>
      <c r="D20" s="73">
        <f>+D12</f>
        <v>2088439362.5002759</v>
      </c>
      <c r="E20" s="93">
        <v>0.002918</v>
      </c>
      <c r="F20" s="74">
        <f>+E20*D20</f>
        <v>6094066.059775805</v>
      </c>
      <c r="G20" s="93">
        <v>0</v>
      </c>
      <c r="H20" s="74">
        <f>+G20*D20</f>
        <v>0</v>
      </c>
      <c r="I20" s="116">
        <f>+H20-F20</f>
        <v>-6094066.059775805</v>
      </c>
      <c r="J20" s="113">
        <f>+I20/F20</f>
        <v>-1</v>
      </c>
    </row>
    <row r="21" ht="12.75">
      <c r="D21" s="71"/>
    </row>
    <row r="22" spans="1:10" ht="12.75">
      <c r="A22" s="72" t="s">
        <v>258</v>
      </c>
      <c r="B22" s="71"/>
      <c r="C22" s="71"/>
      <c r="D22" s="73">
        <v>9136102</v>
      </c>
      <c r="E22" s="93">
        <v>0.0729303897635715</v>
      </c>
      <c r="F22" s="74">
        <f>+E22*D22</f>
        <v>666299.4797797451</v>
      </c>
      <c r="G22" s="93">
        <f>+'Rate Design Sch 26'!$F$14</f>
        <v>0.075326</v>
      </c>
      <c r="H22" s="74">
        <f>+G22*D22</f>
        <v>688186.019252</v>
      </c>
      <c r="I22" s="116">
        <f>+H22-F22</f>
        <v>21886.539472254924</v>
      </c>
      <c r="J22" s="117">
        <f>+I22/F22</f>
        <v>0.03284790118625012</v>
      </c>
    </row>
    <row r="23" ht="12.75">
      <c r="D23" s="71"/>
    </row>
    <row r="24" spans="1:10" ht="13.5" thickBot="1">
      <c r="A24" s="58" t="s">
        <v>71</v>
      </c>
      <c r="D24" s="91">
        <f>+D22+D12</f>
        <v>2097575464.5002759</v>
      </c>
      <c r="F24" s="118">
        <f>SUM(F18,F16,F12,F10,F20,F22)</f>
        <v>159068092.2753655</v>
      </c>
      <c r="H24" s="118">
        <f>SUM(H18,H16,H12,H10,H20,H22)</f>
        <v>164292488.12099522</v>
      </c>
      <c r="I24" s="118">
        <f>SUM(I18,I16,I12,I10,I20,I22)</f>
        <v>5224395.845629736</v>
      </c>
      <c r="J24" s="119">
        <f>+I24/F24</f>
        <v>0.0328437700540577</v>
      </c>
    </row>
    <row r="25" ht="13.5" thickTop="1"/>
    <row r="26" spans="1:8" ht="12.75" hidden="1">
      <c r="A26" s="58" t="s">
        <v>117</v>
      </c>
      <c r="F26" s="92">
        <v>158401792.79558575</v>
      </c>
      <c r="H26" s="92">
        <f>+'Rate Spread'!$J$16</f>
        <v>167299498.62612426</v>
      </c>
    </row>
    <row r="27" spans="1:8" ht="12.75" hidden="1">
      <c r="A27" s="58" t="s">
        <v>117</v>
      </c>
      <c r="F27" s="90">
        <f>+F26-(F24-F22)</f>
        <v>0</v>
      </c>
      <c r="H27" s="90">
        <f>+H26-H24</f>
        <v>3007010.5051290393</v>
      </c>
    </row>
    <row r="28" ht="12.75" hidden="1"/>
    <row r="29" ht="12.75" hidden="1"/>
    <row r="30" spans="1:6" ht="12.75" hidden="1">
      <c r="A30" s="79" t="str">
        <f>+'Residential Sch 7'!$A$29</f>
        <v>Schedule 95 Effective 9-1-07</v>
      </c>
      <c r="E30" s="93">
        <f>+E20</f>
        <v>0.002918</v>
      </c>
      <c r="F30" s="92">
        <f>+E30*$D$12</f>
        <v>6094066.059775805</v>
      </c>
    </row>
  </sheetData>
  <sheetProtection/>
  <printOptions/>
  <pageMargins left="0.46" right="0.27" top="1.5" bottom="1" header="0.5" footer="0.5"/>
  <pageSetup fitToHeight="1" fitToWidth="1" horizontalDpi="600" verticalDpi="600" orientation="landscape" scale="97" r:id="rId1"/>
  <headerFooter alignWithMargins="0">
    <oddHeader>&amp;L&amp;"Times New Roman,Regular"Puget Sound Energy
Docket UE-0702300/UG-072301&amp;R&amp;"Times New Roman,Regular"Electric Rate Spread and Rate Design 
Exhibit A to Multiparty Settlement&amp;"Arial,Regular"
</oddHeader>
    <oddFooter>&amp;R&amp;"Times New Roman,Regular"Page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26.7109375" style="58" bestFit="1" customWidth="1"/>
    <col min="2" max="3" width="11.28125" style="58" bestFit="1" customWidth="1"/>
    <col min="4" max="4" width="14.00390625" style="58" bestFit="1" customWidth="1"/>
    <col min="5" max="5" width="11.7109375" style="58" bestFit="1" customWidth="1"/>
    <col min="6" max="6" width="13.421875" style="58" bestFit="1" customWidth="1"/>
    <col min="7" max="8" width="11.28125" style="58" bestFit="1" customWidth="1"/>
    <col min="9" max="9" width="9.7109375" style="58" bestFit="1" customWidth="1"/>
    <col min="10" max="10" width="7.8515625" style="58" bestFit="1" customWidth="1"/>
    <col min="11" max="16384" width="9.140625" style="58" customWidth="1"/>
  </cols>
  <sheetData>
    <row r="1" spans="1:10" ht="12.75">
      <c r="A1" s="57" t="str">
        <f>+'Residential Sch 7'!A1</f>
        <v>Puget Sound Energy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2.75">
      <c r="A2" s="57" t="str">
        <f>+'Residential Sch 7'!A2</f>
        <v>Proforma and Proposed Revenue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2.75">
      <c r="A3" s="57" t="str">
        <f>+'Residential Sch 7'!A3</f>
        <v>Twelve Months ended September 30, 2007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ht="12.75">
      <c r="A4" s="57" t="s">
        <v>259</v>
      </c>
      <c r="B4" s="57"/>
      <c r="C4" s="57"/>
      <c r="D4" s="57"/>
      <c r="E4" s="57"/>
      <c r="F4" s="57"/>
      <c r="G4" s="57"/>
      <c r="H4" s="57"/>
      <c r="I4" s="57"/>
      <c r="J4" s="57"/>
    </row>
    <row r="5" spans="1:10" ht="12.75">
      <c r="A5" s="57" t="s">
        <v>260</v>
      </c>
      <c r="B5" s="57"/>
      <c r="C5" s="57"/>
      <c r="D5" s="57"/>
      <c r="E5" s="57"/>
      <c r="F5" s="57"/>
      <c r="G5" s="57"/>
      <c r="H5" s="57"/>
      <c r="I5" s="57"/>
      <c r="J5" s="57"/>
    </row>
    <row r="7" spans="2:10" ht="12.75">
      <c r="B7" s="94" t="s">
        <v>222</v>
      </c>
      <c r="C7" s="95"/>
      <c r="D7" s="96"/>
      <c r="E7" s="97" t="str">
        <f>+'Residential Sch 7'!E7</f>
        <v>Proforma</v>
      </c>
      <c r="F7" s="98"/>
      <c r="G7" s="99" t="str">
        <f>+'Residential Sch 7'!G7</f>
        <v>Proposed</v>
      </c>
      <c r="H7" s="98"/>
      <c r="I7" s="100"/>
      <c r="J7" s="100"/>
    </row>
    <row r="8" spans="3:10" ht="12.75">
      <c r="C8" s="89" t="s">
        <v>223</v>
      </c>
      <c r="D8" s="101"/>
      <c r="E8" s="128" t="str">
        <f>+'Residential Sch 7'!E8</f>
        <v>Rates Effective 9-1-07</v>
      </c>
      <c r="F8" s="105"/>
      <c r="G8" s="104" t="str">
        <f>+'Residential Sch 7'!G8</f>
        <v>Rates Effective 2008</v>
      </c>
      <c r="H8" s="105"/>
      <c r="I8" s="106" t="str">
        <f>+'Residential Sch 7'!I8</f>
        <v>Differences</v>
      </c>
      <c r="J8" s="107"/>
    </row>
    <row r="9" spans="1:10" ht="12.75">
      <c r="A9" s="108"/>
      <c r="B9" s="108"/>
      <c r="C9" s="108" t="s">
        <v>227</v>
      </c>
      <c r="D9" s="108" t="s">
        <v>228</v>
      </c>
      <c r="E9" s="106" t="str">
        <f>+'Residential Sch 7'!E9</f>
        <v>Charge</v>
      </c>
      <c r="F9" s="107" t="str">
        <f>+'Residential Sch 7'!F9</f>
        <v>Revenue</v>
      </c>
      <c r="G9" s="109" t="str">
        <f>+'Residential Sch 7'!G9</f>
        <v>Charge</v>
      </c>
      <c r="H9" s="107" t="str">
        <f>+'Residential Sch 7'!H9</f>
        <v>Revenue</v>
      </c>
      <c r="I9" s="109" t="str">
        <f>+'Residential Sch 7'!I9</f>
        <v>$</v>
      </c>
      <c r="J9" s="107" t="str">
        <f>+'Residential Sch 7'!J9</f>
        <v>%</v>
      </c>
    </row>
    <row r="10" spans="1:10" ht="12.75">
      <c r="A10" s="79" t="s">
        <v>233</v>
      </c>
      <c r="B10" s="68">
        <v>2769</v>
      </c>
      <c r="C10" s="68"/>
      <c r="D10" s="68">
        <f>SUM(B10:C10)</f>
        <v>2769</v>
      </c>
      <c r="E10" s="110">
        <v>6.8</v>
      </c>
      <c r="F10" s="92">
        <f>+E10*D10</f>
        <v>18829.2</v>
      </c>
      <c r="G10" s="111">
        <f>+'Rate Design Sch 29'!$F$8</f>
        <v>9.25</v>
      </c>
      <c r="H10" s="92">
        <f>+G10*D10</f>
        <v>25613.25</v>
      </c>
      <c r="I10" s="90">
        <f>+H10-F10</f>
        <v>6784.049999999999</v>
      </c>
      <c r="J10" s="112">
        <f>+I10/F10</f>
        <v>0.36029411764705876</v>
      </c>
    </row>
    <row r="11" spans="1:10" ht="12.75">
      <c r="A11" s="58" t="s">
        <v>234</v>
      </c>
      <c r="B11" s="68">
        <v>5595</v>
      </c>
      <c r="C11" s="68"/>
      <c r="D11" s="68">
        <f>SUM(B11:C11)</f>
        <v>5595</v>
      </c>
      <c r="E11" s="110">
        <v>16.79</v>
      </c>
      <c r="F11" s="92">
        <f>+E11*D11</f>
        <v>93940.04999999999</v>
      </c>
      <c r="G11" s="130">
        <f>+'Rate Design Sch 29'!$F$9</f>
        <v>23.5</v>
      </c>
      <c r="H11" s="92">
        <f>+G11*D11</f>
        <v>131482.5</v>
      </c>
      <c r="I11" s="90">
        <f>+H11-F11</f>
        <v>37542.45000000001</v>
      </c>
      <c r="J11" s="112">
        <f>+I11/F11</f>
        <v>0.3996426444312092</v>
      </c>
    </row>
    <row r="12" spans="1:10" ht="12.75">
      <c r="A12" s="58" t="s">
        <v>58</v>
      </c>
      <c r="B12" s="129">
        <f>SUM(B10:B11)</f>
        <v>8364</v>
      </c>
      <c r="C12" s="129"/>
      <c r="D12" s="129">
        <f>SUM(D10:D11)</f>
        <v>8364</v>
      </c>
      <c r="E12" s="110"/>
      <c r="F12" s="74">
        <f>SUM(F10:F11)</f>
        <v>112769.24999999999</v>
      </c>
      <c r="G12" s="110"/>
      <c r="H12" s="74">
        <f>SUM(H10:H11)</f>
        <v>157095.75</v>
      </c>
      <c r="I12" s="74">
        <f>SUM(I10:I11)</f>
        <v>44326.500000000015</v>
      </c>
      <c r="J12" s="113">
        <f>+I12/F12</f>
        <v>0.39307257962609504</v>
      </c>
    </row>
    <row r="13" spans="6:8" ht="12.75">
      <c r="F13" s="92"/>
      <c r="H13" s="92"/>
    </row>
    <row r="14" spans="1:10" ht="12.75">
      <c r="A14" s="58" t="s">
        <v>246</v>
      </c>
      <c r="B14" s="114">
        <v>2098763.1476</v>
      </c>
      <c r="C14" s="114"/>
      <c r="D14" s="68">
        <f>SUM(B14:C14)</f>
        <v>2098763.1476</v>
      </c>
      <c r="E14" s="93">
        <v>0.081732</v>
      </c>
      <c r="F14" s="92">
        <f>+E14*D14</f>
        <v>171536.10957964318</v>
      </c>
      <c r="G14" s="93">
        <f>+'Rate Design Sch 29'!$F$14</f>
        <v>0.088261</v>
      </c>
      <c r="H14" s="92">
        <f>+G14*D14</f>
        <v>185238.9341703236</v>
      </c>
      <c r="I14" s="90">
        <f>+H14-F14</f>
        <v>13702.824590680422</v>
      </c>
      <c r="J14" s="21">
        <f>+I14/F14</f>
        <v>0.07988303234963064</v>
      </c>
    </row>
    <row r="15" spans="1:10" ht="12.75">
      <c r="A15" s="79" t="s">
        <v>261</v>
      </c>
      <c r="B15" s="114">
        <v>112240.4688</v>
      </c>
      <c r="C15" s="114">
        <v>-2796</v>
      </c>
      <c r="D15" s="68">
        <f>SUM(B15:C15)</f>
        <v>109444.4688</v>
      </c>
      <c r="E15" s="93">
        <v>0.06486</v>
      </c>
      <c r="F15" s="92">
        <f>+E15*D15</f>
        <v>7098.5682463680005</v>
      </c>
      <c r="G15" s="93">
        <f>+'Rate Design Sch 29'!$F$18</f>
        <v>0.067426</v>
      </c>
      <c r="H15" s="92">
        <f>+G15*D15</f>
        <v>7379.4027533088</v>
      </c>
      <c r="I15" s="90">
        <f>+H15-F15</f>
        <v>280.83450694079966</v>
      </c>
      <c r="J15" s="21">
        <f>+I15/F15</f>
        <v>0.03956213382670362</v>
      </c>
    </row>
    <row r="16" spans="1:10" ht="12.75">
      <c r="A16" s="58" t="s">
        <v>247</v>
      </c>
      <c r="B16" s="114">
        <v>11933176.224100001</v>
      </c>
      <c r="C16" s="114"/>
      <c r="D16" s="68">
        <f>SUM(B16:C16)</f>
        <v>11933176.224100001</v>
      </c>
      <c r="E16" s="93">
        <v>0.057121</v>
      </c>
      <c r="F16" s="92">
        <f>+E16*D16</f>
        <v>681634.9590968161</v>
      </c>
      <c r="G16" s="93">
        <f>+'Rate Design Sch 29'!$F$15</f>
        <v>0.061648</v>
      </c>
      <c r="H16" s="92">
        <f>+G16*D16</f>
        <v>735656.4478633169</v>
      </c>
      <c r="I16" s="90">
        <f>+H16-F16</f>
        <v>54021.488766500726</v>
      </c>
      <c r="J16" s="21">
        <f>+I16/F16</f>
        <v>0.07925281420143208</v>
      </c>
    </row>
    <row r="17" spans="1:10" ht="12.75">
      <c r="A17" s="79" t="s">
        <v>262</v>
      </c>
      <c r="B17" s="114">
        <v>661158.7308</v>
      </c>
      <c r="C17" s="114">
        <v>-16544</v>
      </c>
      <c r="D17" s="68">
        <f>SUM(B17:C17)</f>
        <v>644614.7308</v>
      </c>
      <c r="E17" s="93">
        <v>0.050493</v>
      </c>
      <c r="F17" s="92">
        <f>+E17*D17</f>
        <v>32548.5316022844</v>
      </c>
      <c r="G17" s="93">
        <f>+'Rate Design Sch 29'!$F$19</f>
        <v>0.053059</v>
      </c>
      <c r="H17" s="92">
        <f>+G17*D17</f>
        <v>34202.6130015172</v>
      </c>
      <c r="I17" s="90">
        <f>+H17-F17</f>
        <v>1654.0813992328003</v>
      </c>
      <c r="J17" s="21">
        <f>+I17/F17</f>
        <v>0.050818925395599394</v>
      </c>
    </row>
    <row r="18" spans="1:10" ht="12.75">
      <c r="A18" s="79" t="s">
        <v>249</v>
      </c>
      <c r="B18" s="73">
        <f>SUM(B14:B17)</f>
        <v>14805338.5713</v>
      </c>
      <c r="C18" s="73">
        <f>SUM(C14:C17)</f>
        <v>-19340</v>
      </c>
      <c r="D18" s="73">
        <f>SUM(D14:D17)</f>
        <v>14785998.5713</v>
      </c>
      <c r="F18" s="74">
        <f>SUM(F14:F17)</f>
        <v>892818.1685251117</v>
      </c>
      <c r="H18" s="74">
        <f>SUM(H14:H17)</f>
        <v>962477.3977884665</v>
      </c>
      <c r="I18" s="74">
        <f>SUM(I14:I17)</f>
        <v>69659.22926335475</v>
      </c>
      <c r="J18" s="117">
        <f>+I18/F18</f>
        <v>0.07802174252169185</v>
      </c>
    </row>
    <row r="19" spans="2:8" ht="12.75">
      <c r="B19" s="71"/>
      <c r="C19" s="71"/>
      <c r="D19" s="71"/>
      <c r="H19" s="17"/>
    </row>
    <row r="20" spans="1:10" ht="12.75">
      <c r="A20" s="79" t="s">
        <v>250</v>
      </c>
      <c r="B20" s="114">
        <v>4652</v>
      </c>
      <c r="C20" s="114"/>
      <c r="D20" s="68">
        <f>SUM(B20:C20)</f>
        <v>4652</v>
      </c>
      <c r="E20" s="110">
        <v>8.55</v>
      </c>
      <c r="F20" s="92">
        <f>+E20*D20</f>
        <v>39774.600000000006</v>
      </c>
      <c r="G20" s="110">
        <f>+'Rate Design Sch 29'!$F$30</f>
        <v>8.55</v>
      </c>
      <c r="H20" s="92">
        <f>+G20*D20</f>
        <v>39774.600000000006</v>
      </c>
      <c r="I20" s="90">
        <f>+H20-F20</f>
        <v>0</v>
      </c>
      <c r="J20" s="112">
        <f>+I20/F20</f>
        <v>0</v>
      </c>
    </row>
    <row r="21" spans="1:10" ht="12.75">
      <c r="A21" s="79" t="s">
        <v>251</v>
      </c>
      <c r="B21" s="114">
        <v>7778</v>
      </c>
      <c r="C21" s="114"/>
      <c r="D21" s="68">
        <f>SUM(B21:C21)</f>
        <v>7778</v>
      </c>
      <c r="E21" s="110">
        <v>4.21</v>
      </c>
      <c r="F21" s="92">
        <f>+E21*D21</f>
        <v>32745.38</v>
      </c>
      <c r="G21" s="110">
        <f>+'Rate Design Sch 29'!$F$31</f>
        <v>4.21</v>
      </c>
      <c r="H21" s="92">
        <f>+G21*D21</f>
        <v>32745.38</v>
      </c>
      <c r="I21" s="90">
        <f>+H21-F21</f>
        <v>0</v>
      </c>
      <c r="J21" s="112">
        <f>+I21/F21</f>
        <v>0</v>
      </c>
    </row>
    <row r="22" spans="1:10" ht="12.75">
      <c r="A22" s="79" t="s">
        <v>252</v>
      </c>
      <c r="B22" s="73">
        <f>SUM(B20:B21)</f>
        <v>12430</v>
      </c>
      <c r="C22" s="73"/>
      <c r="D22" s="73">
        <f>SUM(D20:D21)</f>
        <v>12430</v>
      </c>
      <c r="F22" s="74">
        <f>SUM(F20:F21)</f>
        <v>72519.98000000001</v>
      </c>
      <c r="H22" s="74">
        <f>SUM(H20:H21)</f>
        <v>72519.98000000001</v>
      </c>
      <c r="I22" s="74">
        <f>SUM(I20:I21)</f>
        <v>0</v>
      </c>
      <c r="J22" s="113">
        <f>+I22/F22</f>
        <v>0</v>
      </c>
    </row>
    <row r="23" spans="2:10" ht="12.75">
      <c r="B23" s="76"/>
      <c r="C23" s="76"/>
      <c r="D23" s="76"/>
      <c r="F23" s="77"/>
      <c r="H23" s="77"/>
      <c r="I23" s="77"/>
      <c r="J23" s="115"/>
    </row>
    <row r="24" spans="1:10" ht="12.75">
      <c r="A24" s="79" t="s">
        <v>253</v>
      </c>
      <c r="B24" s="129">
        <v>903360</v>
      </c>
      <c r="C24" s="129"/>
      <c r="D24" s="129">
        <f>SUM(B24:C24)</f>
        <v>903360</v>
      </c>
      <c r="E24" s="131">
        <v>0.00272</v>
      </c>
      <c r="F24" s="74">
        <f>+E24*D24</f>
        <v>2457.1392</v>
      </c>
      <c r="G24" s="131">
        <f>+'Rate Design Sch 29'!$F$34</f>
        <v>0.00272</v>
      </c>
      <c r="H24" s="74">
        <f>+G24*D24</f>
        <v>2457.1392</v>
      </c>
      <c r="I24" s="116">
        <f>+H24-F24</f>
        <v>0</v>
      </c>
      <c r="J24" s="113">
        <f>+I24/F24</f>
        <v>0</v>
      </c>
    </row>
    <row r="25" spans="1:10" ht="12.75">
      <c r="A25" s="79"/>
      <c r="B25" s="133"/>
      <c r="C25" s="133"/>
      <c r="D25" s="133"/>
      <c r="E25" s="131"/>
      <c r="F25" s="77"/>
      <c r="G25" s="131"/>
      <c r="H25" s="77"/>
      <c r="I25" s="134"/>
      <c r="J25" s="115"/>
    </row>
    <row r="26" spans="1:10" ht="12.75">
      <c r="A26" s="72" t="s">
        <v>236</v>
      </c>
      <c r="D26" s="129">
        <f>+D18</f>
        <v>14785998.5713</v>
      </c>
      <c r="E26" s="93">
        <v>0.002566</v>
      </c>
      <c r="F26" s="74">
        <f>+E26*D26</f>
        <v>37940.872333955806</v>
      </c>
      <c r="G26" s="93">
        <v>0</v>
      </c>
      <c r="H26" s="74">
        <f>+G26*D26</f>
        <v>0</v>
      </c>
      <c r="I26" s="116">
        <f>+H26-F26</f>
        <v>-37940.872333955806</v>
      </c>
      <c r="J26" s="113">
        <f>+I26/F26</f>
        <v>-1</v>
      </c>
    </row>
    <row r="27" ht="12.75">
      <c r="D27" s="71"/>
    </row>
    <row r="28" spans="1:10" ht="12.75">
      <c r="A28" s="72" t="s">
        <v>258</v>
      </c>
      <c r="D28" s="73">
        <v>158706</v>
      </c>
      <c r="E28" s="93">
        <v>0.06515087756951293</v>
      </c>
      <c r="F28" s="74">
        <f>+E28*D28</f>
        <v>10339.83517554712</v>
      </c>
      <c r="G28" s="93">
        <f>+'Rate Design Sch 29'!$F$25</f>
        <v>0.065151</v>
      </c>
      <c r="H28" s="74">
        <f>+G28*D28</f>
        <v>10339.854606</v>
      </c>
      <c r="I28" s="116">
        <f>+H28-F28</f>
        <v>0.019430452881351812</v>
      </c>
      <c r="J28" s="117">
        <f>+I28/F28</f>
        <v>1.8791840054958781E-06</v>
      </c>
    </row>
    <row r="29" ht="12.75">
      <c r="D29" s="71"/>
    </row>
    <row r="30" spans="1:10" ht="13.5" thickBot="1">
      <c r="A30" s="58" t="s">
        <v>71</v>
      </c>
      <c r="D30" s="91">
        <f>SUM(D18,D28)</f>
        <v>14944704.5713</v>
      </c>
      <c r="F30" s="118">
        <f>SUM(F24,F22,F18,F12,F26,F28)</f>
        <v>1128845.2452346145</v>
      </c>
      <c r="H30" s="118">
        <f>SUM(H24,H22,H18,H12,H26,H28)</f>
        <v>1204890.1215944665</v>
      </c>
      <c r="I30" s="118">
        <f>SUM(I24,I22,I18,I12,I26,I28)</f>
        <v>76044.87635985184</v>
      </c>
      <c r="J30" s="119">
        <f>+I30/F30</f>
        <v>0.06736519171327775</v>
      </c>
    </row>
    <row r="31" ht="13.5" thickTop="1"/>
    <row r="32" spans="1:8" ht="12.75" hidden="1">
      <c r="A32" s="58" t="s">
        <v>117</v>
      </c>
      <c r="F32" s="92">
        <v>1118505.4100590674</v>
      </c>
      <c r="H32" s="92">
        <f>+'Rate Design Sch 29'!$H$36</f>
        <v>1204890.1215944665</v>
      </c>
    </row>
    <row r="33" spans="1:8" ht="12.75" hidden="1">
      <c r="A33" s="58" t="s">
        <v>117</v>
      </c>
      <c r="F33" s="90">
        <f>+F32-(F30-F28)</f>
        <v>0</v>
      </c>
      <c r="H33" s="90">
        <f>+H32-H30</f>
        <v>0</v>
      </c>
    </row>
    <row r="34" spans="4:9" ht="12.75" hidden="1">
      <c r="D34" s="71"/>
      <c r="H34" s="90"/>
      <c r="I34" s="135"/>
    </row>
    <row r="35" spans="4:9" ht="12.75" hidden="1">
      <c r="D35" s="71"/>
      <c r="F35" s="90"/>
      <c r="H35" s="90"/>
      <c r="I35" s="135"/>
    </row>
    <row r="36" spans="1:6" ht="12.75" hidden="1">
      <c r="A36" s="79" t="str">
        <f>+'Residential Sch 7'!$A$29</f>
        <v>Schedule 95 Effective 9-1-07</v>
      </c>
      <c r="E36" s="93">
        <f>+E26</f>
        <v>0.002566</v>
      </c>
      <c r="F36" s="92">
        <f>+E36*$D$18</f>
        <v>37940.872333955806</v>
      </c>
    </row>
  </sheetData>
  <sheetProtection/>
  <printOptions/>
  <pageMargins left="0.46" right="0.27" top="1.5" bottom="1" header="0.5" footer="0.5"/>
  <pageSetup fitToHeight="1" fitToWidth="1" horizontalDpi="600" verticalDpi="600" orientation="landscape" r:id="rId1"/>
  <headerFooter alignWithMargins="0">
    <oddHeader>&amp;L&amp;"Times New Roman,Regular"Puget Sound Energy
Docket UE-0702300/UG-072301&amp;R&amp;"Times New Roman,Regular"Electric Rate Spread and Rate Design 
Exhibit A to Multiparty Settlement&amp;"Arial,Regular"
</oddHeader>
    <oddFooter>&amp;R&amp;"Times New Roman,Regular"Page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24.140625" style="58" bestFit="1" customWidth="1"/>
    <col min="2" max="2" width="14.00390625" style="58" bestFit="1" customWidth="1"/>
    <col min="3" max="3" width="11.28125" style="58" bestFit="1" customWidth="1"/>
    <col min="4" max="4" width="16.57421875" style="58" bestFit="1" customWidth="1"/>
    <col min="5" max="5" width="10.7109375" style="58" bestFit="1" customWidth="1"/>
    <col min="6" max="6" width="15.00390625" style="58" bestFit="1" customWidth="1"/>
    <col min="7" max="7" width="15.421875" style="58" bestFit="1" customWidth="1"/>
    <col min="8" max="8" width="13.421875" style="58" bestFit="1" customWidth="1"/>
    <col min="9" max="9" width="12.28125" style="58" bestFit="1" customWidth="1"/>
    <col min="10" max="10" width="7.8515625" style="58" bestFit="1" customWidth="1"/>
    <col min="11" max="11" width="9.140625" style="58" customWidth="1"/>
    <col min="12" max="12" width="11.28125" style="58" bestFit="1" customWidth="1"/>
    <col min="13" max="16384" width="9.140625" style="58" customWidth="1"/>
  </cols>
  <sheetData>
    <row r="1" spans="1:10" ht="12.75">
      <c r="A1" s="57" t="str">
        <f>+'Residential Sch 7'!A1</f>
        <v>Puget Sound Energy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2.75">
      <c r="A2" s="57" t="str">
        <f>+'Residential Sch 7'!A2</f>
        <v>Proforma and Proposed Revenue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2.75">
      <c r="A3" s="57" t="str">
        <f>+'Residential Sch 7'!A3</f>
        <v>Twelve Months ended September 30, 2007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ht="12.75">
      <c r="A4" s="57" t="s">
        <v>263</v>
      </c>
      <c r="B4" s="57"/>
      <c r="C4" s="57"/>
      <c r="D4" s="57"/>
      <c r="E4" s="57"/>
      <c r="F4" s="57"/>
      <c r="G4" s="57"/>
      <c r="H4" s="57"/>
      <c r="I4" s="57"/>
      <c r="J4" s="57"/>
    </row>
    <row r="5" spans="1:10" ht="12.75">
      <c r="A5" s="57" t="s">
        <v>264</v>
      </c>
      <c r="B5" s="57"/>
      <c r="C5" s="57"/>
      <c r="D5" s="57"/>
      <c r="E5" s="57"/>
      <c r="F5" s="57"/>
      <c r="G5" s="57"/>
      <c r="H5" s="57"/>
      <c r="I5" s="57"/>
      <c r="J5" s="57"/>
    </row>
    <row r="7" spans="2:10" ht="12.75">
      <c r="B7" s="94" t="s">
        <v>222</v>
      </c>
      <c r="C7" s="95"/>
      <c r="D7" s="96"/>
      <c r="E7" s="97" t="str">
        <f>+'Residential Sch 7'!E7</f>
        <v>Proforma</v>
      </c>
      <c r="F7" s="98"/>
      <c r="G7" s="99" t="str">
        <f>+'Residential Sch 7'!G7</f>
        <v>Proposed</v>
      </c>
      <c r="H7" s="98"/>
      <c r="I7" s="100"/>
      <c r="J7" s="100"/>
    </row>
    <row r="8" spans="3:10" ht="12.75">
      <c r="C8" s="89" t="s">
        <v>223</v>
      </c>
      <c r="D8" s="101"/>
      <c r="E8" s="104" t="str">
        <f>+'Residential Sch 7'!E8</f>
        <v>Rates Effective 9-1-07</v>
      </c>
      <c r="F8" s="105"/>
      <c r="G8" s="104" t="str">
        <f>+'Residential Sch 7'!G8</f>
        <v>Rates Effective 2008</v>
      </c>
      <c r="H8" s="105"/>
      <c r="I8" s="106" t="str">
        <f>+'Residential Sch 7'!I8</f>
        <v>Differences</v>
      </c>
      <c r="J8" s="107"/>
    </row>
    <row r="9" spans="1:10" ht="12.75">
      <c r="A9" s="108"/>
      <c r="B9" s="108"/>
      <c r="C9" s="108" t="s">
        <v>227</v>
      </c>
      <c r="D9" s="108" t="s">
        <v>228</v>
      </c>
      <c r="E9" s="106" t="str">
        <f>+'Residential Sch 7'!E9</f>
        <v>Charge</v>
      </c>
      <c r="F9" s="107" t="str">
        <f>+'Residential Sch 7'!F9</f>
        <v>Revenue</v>
      </c>
      <c r="G9" s="109" t="str">
        <f>+'Residential Sch 7'!G9</f>
        <v>Charge</v>
      </c>
      <c r="H9" s="107" t="str">
        <f>+'Residential Sch 7'!H9</f>
        <v>Revenue</v>
      </c>
      <c r="I9" s="109" t="str">
        <f>+'Residential Sch 7'!I9</f>
        <v>$</v>
      </c>
      <c r="J9" s="107" t="str">
        <f>+'Residential Sch 7'!J9</f>
        <v>%</v>
      </c>
    </row>
    <row r="10" spans="1:10" ht="12.75">
      <c r="A10" s="58" t="s">
        <v>58</v>
      </c>
      <c r="B10" s="129">
        <v>5893</v>
      </c>
      <c r="C10" s="129"/>
      <c r="D10" s="129">
        <f>SUM(B10:C10)</f>
        <v>5893</v>
      </c>
      <c r="E10" s="110">
        <v>295</v>
      </c>
      <c r="F10" s="74">
        <f>+E10*D10</f>
        <v>1738435</v>
      </c>
      <c r="G10" s="110">
        <f>+'Rate Design Sch 31'!$F$7</f>
        <v>325</v>
      </c>
      <c r="H10" s="74">
        <f>+G10*D10</f>
        <v>1915225</v>
      </c>
      <c r="I10" s="116">
        <f>+H10-F10</f>
        <v>176790</v>
      </c>
      <c r="J10" s="113">
        <f>+I10/F10</f>
        <v>0.1016949152542373</v>
      </c>
    </row>
    <row r="11" spans="6:8" ht="12.75">
      <c r="F11" s="92"/>
      <c r="H11" s="92"/>
    </row>
    <row r="12" spans="1:10" ht="12.75">
      <c r="A12" s="79" t="s">
        <v>249</v>
      </c>
      <c r="B12" s="73">
        <v>1369024424.4800003</v>
      </c>
      <c r="C12" s="73">
        <v>-4318073.453684403</v>
      </c>
      <c r="D12" s="73">
        <f>SUM(B12:C12)</f>
        <v>1364706351.026316</v>
      </c>
      <c r="E12" s="93">
        <v>0.051902</v>
      </c>
      <c r="F12" s="74">
        <f>+D12*E12</f>
        <v>70830989.03096785</v>
      </c>
      <c r="G12" s="93">
        <f>+'Rate Design Sch 31'!$F$12</f>
        <v>0.058895</v>
      </c>
      <c r="H12" s="74">
        <f>+G12*D12</f>
        <v>80374380.54369488</v>
      </c>
      <c r="I12" s="116">
        <f>+H12-F12</f>
        <v>9543391.512727037</v>
      </c>
      <c r="J12" s="113">
        <f>+I12/F12</f>
        <v>0.1347346923047283</v>
      </c>
    </row>
    <row r="13" spans="2:4" ht="12.75">
      <c r="B13" s="71"/>
      <c r="C13" s="71"/>
      <c r="D13" s="71"/>
    </row>
    <row r="14" spans="1:10" ht="12.75">
      <c r="A14" s="79" t="s">
        <v>256</v>
      </c>
      <c r="B14" s="114">
        <v>1685522.6</v>
      </c>
      <c r="C14" s="114"/>
      <c r="D14" s="114">
        <f>SUM(B14:C14)</f>
        <v>1685522.6</v>
      </c>
      <c r="E14" s="110">
        <v>7.35</v>
      </c>
      <c r="F14" s="92">
        <f>+E14*D14</f>
        <v>12388591.11</v>
      </c>
      <c r="G14" s="110">
        <f>+'Rate Design Sch 31'!$F$19</f>
        <v>8.27</v>
      </c>
      <c r="H14" s="92">
        <f>+G14*D14</f>
        <v>13939271.902</v>
      </c>
      <c r="I14" s="90">
        <f>+H14-F14</f>
        <v>1550680.7920000013</v>
      </c>
      <c r="J14" s="112">
        <f>+I14/F14</f>
        <v>0.125170068027211</v>
      </c>
    </row>
    <row r="15" spans="1:10" ht="12.75">
      <c r="A15" s="79" t="s">
        <v>257</v>
      </c>
      <c r="B15" s="114">
        <v>1822271.76</v>
      </c>
      <c r="C15" s="114"/>
      <c r="D15" s="114">
        <f>SUM(B15:C15)</f>
        <v>1822271.76</v>
      </c>
      <c r="E15" s="110">
        <v>4.89</v>
      </c>
      <c r="F15" s="92">
        <f>+E15*D15</f>
        <v>8910908.906399999</v>
      </c>
      <c r="G15" s="110">
        <f>+'Rate Design Sch 31'!$F$20</f>
        <v>5.5</v>
      </c>
      <c r="H15" s="92">
        <f>+G15*D15</f>
        <v>10022494.68</v>
      </c>
      <c r="I15" s="90">
        <f>+H15-F15</f>
        <v>1111585.773600001</v>
      </c>
      <c r="J15" s="112">
        <f>+I15/F15</f>
        <v>0.12474437627811873</v>
      </c>
    </row>
    <row r="16" spans="1:10" ht="12.75">
      <c r="A16" s="79" t="s">
        <v>252</v>
      </c>
      <c r="B16" s="73">
        <f>SUM(B14:B15)</f>
        <v>3507794.3600000003</v>
      </c>
      <c r="C16" s="73">
        <f>SUM(C14:C15)</f>
        <v>0</v>
      </c>
      <c r="D16" s="73">
        <f>SUM(B16:C16)</f>
        <v>3507794.3600000003</v>
      </c>
      <c r="F16" s="74">
        <f>SUM(F14:F15)</f>
        <v>21299500.0164</v>
      </c>
      <c r="H16" s="74">
        <f>SUM(H14:H15)</f>
        <v>23961766.582000002</v>
      </c>
      <c r="I16" s="74">
        <f>SUM(I14:I15)</f>
        <v>2662266.565600002</v>
      </c>
      <c r="J16" s="113">
        <f>+I16/F16</f>
        <v>0.12499197462617123</v>
      </c>
    </row>
    <row r="17" spans="2:10" ht="12.75">
      <c r="B17" s="76"/>
      <c r="C17" s="76"/>
      <c r="D17" s="76"/>
      <c r="F17" s="77"/>
      <c r="H17" s="77"/>
      <c r="I17" s="77"/>
      <c r="J17" s="115"/>
    </row>
    <row r="18" spans="1:10" ht="12.75">
      <c r="A18" s="79" t="s">
        <v>253</v>
      </c>
      <c r="B18" s="129">
        <v>820937822.1300001</v>
      </c>
      <c r="C18" s="129"/>
      <c r="D18" s="73">
        <f>SUM(B18:C18)</f>
        <v>820937822.1300001</v>
      </c>
      <c r="E18" s="131">
        <v>0.00094</v>
      </c>
      <c r="F18" s="74">
        <f>+E18*D18</f>
        <v>771681.5528022001</v>
      </c>
      <c r="G18" s="131">
        <f>+'Rate Design Sch 31'!$F$23</f>
        <v>0.00102</v>
      </c>
      <c r="H18" s="74">
        <f>+G18*D18</f>
        <v>837356.5785726001</v>
      </c>
      <c r="I18" s="116">
        <f>+H18-F18</f>
        <v>65675.02577040007</v>
      </c>
      <c r="J18" s="113">
        <f>+I18/F18</f>
        <v>0.08510638297872349</v>
      </c>
    </row>
    <row r="19" spans="1:10" ht="12.75">
      <c r="A19" s="79"/>
      <c r="B19" s="133"/>
      <c r="C19" s="133"/>
      <c r="D19" s="133"/>
      <c r="E19" s="131"/>
      <c r="F19" s="77"/>
      <c r="G19" s="131"/>
      <c r="H19" s="77"/>
      <c r="I19" s="134"/>
      <c r="J19" s="115"/>
    </row>
    <row r="20" spans="1:10" ht="12.75">
      <c r="A20" s="72" t="s">
        <v>236</v>
      </c>
      <c r="D20" s="129">
        <f>+D12</f>
        <v>1364706351.026316</v>
      </c>
      <c r="E20" s="93">
        <v>0.003063</v>
      </c>
      <c r="F20" s="74">
        <f>+E20*D20</f>
        <v>4180095.553193606</v>
      </c>
      <c r="G20" s="131">
        <v>0</v>
      </c>
      <c r="H20" s="74">
        <f>+G20*D20</f>
        <v>0</v>
      </c>
      <c r="I20" s="116">
        <f>+H20-F20</f>
        <v>-4180095.553193606</v>
      </c>
      <c r="J20" s="113">
        <f>+I20/F20</f>
        <v>-1</v>
      </c>
    </row>
    <row r="21" ht="12.75">
      <c r="D21" s="71"/>
    </row>
    <row r="22" spans="1:10" ht="12.75">
      <c r="A22" s="72" t="s">
        <v>258</v>
      </c>
      <c r="D22" s="73">
        <v>5847669</v>
      </c>
      <c r="E22" s="93">
        <v>0.06962346876701592</v>
      </c>
      <c r="F22" s="74">
        <f>+E22*D22</f>
        <v>407134.9999813472</v>
      </c>
      <c r="G22" s="93">
        <f>+'Rate Design Sch 31'!$F$14</f>
        <v>0.075449</v>
      </c>
      <c r="H22" s="74">
        <f>+G22*D22</f>
        <v>441200.77838100004</v>
      </c>
      <c r="I22" s="116">
        <f>+H22-F22</f>
        <v>34065.77839965286</v>
      </c>
      <c r="J22" s="113">
        <f>+I22/F22</f>
        <v>0.08367194763705792</v>
      </c>
    </row>
    <row r="23" ht="12.75">
      <c r="D23" s="71"/>
    </row>
    <row r="24" spans="1:10" ht="13.5" thickBot="1">
      <c r="A24" s="58" t="s">
        <v>71</v>
      </c>
      <c r="D24" s="91">
        <f>SUM(D12,D22)</f>
        <v>1370554020.026316</v>
      </c>
      <c r="F24" s="118">
        <f>SUM(F18,F16,F12,F10,F20,F22)</f>
        <v>99227836.15334499</v>
      </c>
      <c r="H24" s="118">
        <f>SUM(H18,H16,H12,H10,H20,H22)</f>
        <v>107529929.48264849</v>
      </c>
      <c r="I24" s="118">
        <f>SUM(I18,I16,I12,I10,I20,I22)</f>
        <v>8302093.329303485</v>
      </c>
      <c r="J24" s="119">
        <f>+I24/F24</f>
        <v>0.08366697946001335</v>
      </c>
    </row>
    <row r="25" ht="15.75" customHeight="1" thickTop="1"/>
    <row r="26" spans="1:8" ht="12.75" hidden="1">
      <c r="A26" s="58" t="s">
        <v>117</v>
      </c>
      <c r="F26" s="92">
        <v>98820701.15336365</v>
      </c>
      <c r="H26" s="92">
        <f>(1+'Rate Design Sch 31'!$H$31)*F24</f>
        <v>107530466.03250363</v>
      </c>
    </row>
    <row r="27" spans="1:8" ht="12.75" hidden="1">
      <c r="A27" s="58" t="s">
        <v>117</v>
      </c>
      <c r="F27" s="90">
        <f>+F26-(F24-F22)</f>
        <v>0</v>
      </c>
      <c r="H27" s="90">
        <f>+H26-H24</f>
        <v>536.5498551428318</v>
      </c>
    </row>
    <row r="28" ht="12.75" hidden="1"/>
    <row r="29" ht="12.75" hidden="1"/>
    <row r="30" ht="12.75" hidden="1"/>
    <row r="31" spans="1:6" ht="12.75" hidden="1">
      <c r="A31" s="79" t="str">
        <f>+'Residential Sch 7'!$A$29</f>
        <v>Schedule 95 Effective 9-1-07</v>
      </c>
      <c r="E31" s="93">
        <f>+E20</f>
        <v>0.003063</v>
      </c>
      <c r="F31" s="92">
        <f>+E31*$D$12</f>
        <v>4180095.553193606</v>
      </c>
    </row>
  </sheetData>
  <sheetProtection/>
  <printOptions/>
  <pageMargins left="0.46" right="0.27" top="1.5" bottom="1" header="0.5" footer="0.5"/>
  <pageSetup fitToHeight="1" fitToWidth="1" horizontalDpi="600" verticalDpi="600" orientation="landscape" scale="95" r:id="rId1"/>
  <headerFooter alignWithMargins="0">
    <oddHeader>&amp;L&amp;"Times New Roman,Regular"Puget Sound Energy
Docket UE-0702300/UG-072301&amp;R&amp;"Times New Roman,Regular"Electric Rate Spread and Rate Design 
Exhibit A to Multiparty Settlement&amp;"Arial,Regular"
</oddHeader>
    <oddFooter>&amp;R&amp;"Times New Roman,Regular"Page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Puget Sound Energy</dc:creator>
  <cp:keywords/>
  <dc:description/>
  <cp:lastModifiedBy>BCedarba</cp:lastModifiedBy>
  <cp:lastPrinted>2008-08-05T22:36:22Z</cp:lastPrinted>
  <dcterms:created xsi:type="dcterms:W3CDTF">2007-11-27T17:03:20Z</dcterms:created>
  <dcterms:modified xsi:type="dcterms:W3CDTF">2008-08-07T18:01:08Z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Agreement</vt:lpwstr>
  </property>
  <property fmtid="{D5CDD505-2E9C-101B-9397-08002B2CF9AE}" pid="4" name="IsHighlyConfidenti">
    <vt:lpwstr>0</vt:lpwstr>
  </property>
  <property fmtid="{D5CDD505-2E9C-101B-9397-08002B2CF9AE}" pid="5" name="DocketNumb">
    <vt:lpwstr>072300</vt:lpwstr>
  </property>
  <property fmtid="{D5CDD505-2E9C-101B-9397-08002B2CF9AE}" pid="6" name="IsConfidenti">
    <vt:lpwstr>0</vt:lpwstr>
  </property>
  <property fmtid="{D5CDD505-2E9C-101B-9397-08002B2CF9AE}" pid="7" name="Dat">
    <vt:lpwstr>2008-08-12T00:00:00Z</vt:lpwstr>
  </property>
  <property fmtid="{D5CDD505-2E9C-101B-9397-08002B2CF9AE}" pid="8" name="CaseTy">
    <vt:lpwstr>Tariff Revision</vt:lpwstr>
  </property>
  <property fmtid="{D5CDD505-2E9C-101B-9397-08002B2CF9AE}" pid="9" name="OpenedDa">
    <vt:lpwstr>2007-12-03T00:00:00Z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