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19836" windowHeight="8556"/>
  </bookViews>
  <sheets>
    <sheet name="Proforma kWh" sheetId="32" r:id="rId1"/>
    <sheet name="Proforma Revenue" sheetId="33" r:id="rId2"/>
    <sheet name="Temperature Adjustment" sheetId="34" r:id="rId3"/>
    <sheet name="Sch 24 Sm Sec" sheetId="12" r:id="rId4"/>
    <sheet name="Sch 25 Med Sec" sheetId="14" r:id="rId5"/>
    <sheet name="Sch 26 Large Sec" sheetId="15" r:id="rId6"/>
    <sheet name="Sch 31 Pri Gen Svc" sheetId="19" r:id="rId7"/>
    <sheet name="Sch 40 Campus Svc" sheetId="23" r:id="rId8"/>
    <sheet name="Microsoft Special Contract" sheetId="28" r:id="rId9"/>
  </sheets>
  <externalReferences>
    <externalReference r:id="rId10"/>
  </externalReferences>
  <definedNames>
    <definedName name="_xlnm.Print_Area" localSheetId="8">'Microsoft Special Contract'!$A$1:$O$23</definedName>
    <definedName name="_xlnm.Print_Area" localSheetId="0">'Proforma kWh'!$A$1:$T$37</definedName>
    <definedName name="_xlnm.Print_Area" localSheetId="1">'Proforma Revenue'!$A$1:$T$37</definedName>
    <definedName name="_xlnm.Print_Area" localSheetId="3">'Sch 24 Sm Sec'!$A$1:$O$28</definedName>
    <definedName name="_xlnm.Print_Area" localSheetId="4">'Sch 25 Med Sec'!$A$1:$O$41</definedName>
    <definedName name="_xlnm.Print_Area" localSheetId="5">'Sch 26 Large Sec'!$A$1:$O$35</definedName>
    <definedName name="_xlnm.Print_Area" localSheetId="6">'Sch 31 Pri Gen Svc'!$A$1:$O$35</definedName>
    <definedName name="_xlnm.Print_Area" localSheetId="7">'Sch 40 Campus Svc'!$A$1:$O$62</definedName>
    <definedName name="_xlnm.Print_Area" localSheetId="2">'Temperature Adjustment'!$A$1:$N$64</definedName>
  </definedNames>
  <calcPr calcId="145621"/>
</workbook>
</file>

<file path=xl/calcChain.xml><?xml version="1.0" encoding="utf-8"?>
<calcChain xmlns="http://schemas.openxmlformats.org/spreadsheetml/2006/main">
  <c r="O38" i="23" l="1"/>
  <c r="N38" i="23"/>
  <c r="M38" i="23"/>
  <c r="L38" i="23"/>
  <c r="K38" i="23"/>
  <c r="J38" i="23"/>
  <c r="I38" i="23"/>
  <c r="H38" i="23"/>
  <c r="G38" i="23"/>
  <c r="F38" i="23"/>
  <c r="E38" i="23"/>
  <c r="D38" i="23"/>
  <c r="O17" i="28" l="1"/>
  <c r="N17" i="28"/>
  <c r="M17" i="28"/>
  <c r="L17" i="28"/>
  <c r="K17" i="28"/>
  <c r="J17" i="28"/>
  <c r="I17" i="28"/>
  <c r="H17" i="28"/>
  <c r="G17" i="28"/>
  <c r="F17" i="28"/>
  <c r="E17" i="28"/>
  <c r="D17" i="28"/>
  <c r="O41" i="23" l="1"/>
  <c r="N41" i="23"/>
  <c r="M41" i="23"/>
  <c r="L41" i="23"/>
  <c r="K41" i="23"/>
  <c r="J41" i="23"/>
  <c r="I41" i="23"/>
  <c r="H41" i="23"/>
  <c r="G41" i="23"/>
  <c r="F41" i="23"/>
  <c r="E41" i="23"/>
  <c r="D41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8" i="23"/>
  <c r="N8" i="23"/>
  <c r="M8" i="23"/>
  <c r="L8" i="23"/>
  <c r="K8" i="23"/>
  <c r="J8" i="23"/>
  <c r="I8" i="23"/>
  <c r="H8" i="23"/>
  <c r="G8" i="23"/>
  <c r="F8" i="23"/>
  <c r="E8" i="23"/>
  <c r="D8" i="23"/>
  <c r="O7" i="23"/>
  <c r="N7" i="23"/>
  <c r="M7" i="23"/>
  <c r="L7" i="23"/>
  <c r="K7" i="23"/>
  <c r="J7" i="23"/>
  <c r="I7" i="23"/>
  <c r="H7" i="23"/>
  <c r="G7" i="23"/>
  <c r="F7" i="23"/>
  <c r="E7" i="23"/>
  <c r="D7" i="23"/>
  <c r="O6" i="23"/>
  <c r="N6" i="23"/>
  <c r="M6" i="23"/>
  <c r="L6" i="23"/>
  <c r="K6" i="23"/>
  <c r="J6" i="23"/>
  <c r="I6" i="23"/>
  <c r="H6" i="23"/>
  <c r="G6" i="23"/>
  <c r="F6" i="23"/>
  <c r="E6" i="23"/>
  <c r="D6" i="23"/>
  <c r="O10" i="28"/>
  <c r="N10" i="28"/>
  <c r="M10" i="28"/>
  <c r="L10" i="28"/>
  <c r="K10" i="28"/>
  <c r="J10" i="28"/>
  <c r="I10" i="28"/>
  <c r="H10" i="28"/>
  <c r="G10" i="28"/>
  <c r="F10" i="28"/>
  <c r="E10" i="28"/>
  <c r="D10" i="28"/>
  <c r="O8" i="28"/>
  <c r="N8" i="28"/>
  <c r="M8" i="28"/>
  <c r="L8" i="28"/>
  <c r="K8" i="28"/>
  <c r="J8" i="28"/>
  <c r="I8" i="28"/>
  <c r="H8" i="28"/>
  <c r="G8" i="28"/>
  <c r="F8" i="28"/>
  <c r="E8" i="28"/>
  <c r="D8" i="28"/>
  <c r="O6" i="28"/>
  <c r="N6" i="28"/>
  <c r="M6" i="28"/>
  <c r="L6" i="28"/>
  <c r="K6" i="28"/>
  <c r="J6" i="28"/>
  <c r="I6" i="28"/>
  <c r="H6" i="28"/>
  <c r="G6" i="28"/>
  <c r="F6" i="28"/>
  <c r="E6" i="28"/>
  <c r="D6" i="28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O16" i="19"/>
  <c r="N16" i="19"/>
  <c r="M16" i="19"/>
  <c r="L16" i="19"/>
  <c r="K16" i="19"/>
  <c r="J16" i="19"/>
  <c r="I16" i="19"/>
  <c r="H16" i="19"/>
  <c r="G16" i="19"/>
  <c r="F16" i="19"/>
  <c r="E16" i="19"/>
  <c r="D16" i="19"/>
  <c r="L13" i="19"/>
  <c r="K13" i="19"/>
  <c r="J13" i="19"/>
  <c r="I13" i="19"/>
  <c r="H13" i="19"/>
  <c r="G13" i="19"/>
  <c r="O12" i="19"/>
  <c r="N12" i="19"/>
  <c r="M12" i="19"/>
  <c r="F12" i="19"/>
  <c r="E12" i="19"/>
  <c r="D12" i="19"/>
  <c r="O9" i="19"/>
  <c r="N9" i="19"/>
  <c r="M9" i="19"/>
  <c r="L9" i="19"/>
  <c r="K9" i="19"/>
  <c r="J9" i="19"/>
  <c r="I9" i="19"/>
  <c r="H9" i="19"/>
  <c r="G9" i="19"/>
  <c r="F9" i="19"/>
  <c r="E9" i="19"/>
  <c r="D9" i="19"/>
  <c r="O6" i="19"/>
  <c r="N6" i="19"/>
  <c r="M6" i="19"/>
  <c r="L6" i="19"/>
  <c r="K6" i="19"/>
  <c r="J6" i="19"/>
  <c r="I6" i="19"/>
  <c r="H6" i="19"/>
  <c r="G6" i="19"/>
  <c r="F6" i="19"/>
  <c r="E6" i="19"/>
  <c r="D6" i="19"/>
  <c r="O16" i="15"/>
  <c r="N16" i="15"/>
  <c r="M16" i="15"/>
  <c r="L16" i="15"/>
  <c r="K16" i="15"/>
  <c r="J16" i="15"/>
  <c r="I16" i="15"/>
  <c r="H16" i="15"/>
  <c r="G16" i="15"/>
  <c r="F16" i="15"/>
  <c r="E16" i="15"/>
  <c r="D16" i="15"/>
  <c r="L13" i="15"/>
  <c r="K13" i="15"/>
  <c r="J13" i="15"/>
  <c r="I13" i="15"/>
  <c r="H13" i="15"/>
  <c r="G13" i="15"/>
  <c r="O12" i="15"/>
  <c r="N12" i="15"/>
  <c r="M12" i="15"/>
  <c r="F12" i="15"/>
  <c r="E12" i="15"/>
  <c r="D12" i="15"/>
  <c r="O9" i="15"/>
  <c r="N9" i="15"/>
  <c r="M9" i="15"/>
  <c r="L9" i="15"/>
  <c r="K9" i="15"/>
  <c r="J9" i="15"/>
  <c r="I9" i="15"/>
  <c r="H9" i="15"/>
  <c r="G9" i="15"/>
  <c r="F9" i="15"/>
  <c r="E9" i="15"/>
  <c r="D9" i="15"/>
  <c r="O6" i="15"/>
  <c r="N6" i="15"/>
  <c r="M6" i="15"/>
  <c r="L6" i="15"/>
  <c r="K6" i="15"/>
  <c r="J6" i="15"/>
  <c r="I6" i="15"/>
  <c r="H6" i="15"/>
  <c r="G6" i="15"/>
  <c r="F6" i="15"/>
  <c r="E6" i="15"/>
  <c r="D6" i="15"/>
  <c r="O18" i="14"/>
  <c r="N18" i="14"/>
  <c r="M18" i="14"/>
  <c r="L18" i="14"/>
  <c r="K18" i="14"/>
  <c r="J18" i="14"/>
  <c r="I18" i="14"/>
  <c r="H18" i="14"/>
  <c r="G18" i="14"/>
  <c r="F18" i="14"/>
  <c r="E18" i="14"/>
  <c r="D18" i="14"/>
  <c r="O6" i="14"/>
  <c r="O14" i="14" s="1"/>
  <c r="N6" i="14"/>
  <c r="N14" i="14" s="1"/>
  <c r="M6" i="14"/>
  <c r="M14" i="14" s="1"/>
  <c r="L6" i="14"/>
  <c r="L15" i="14" s="1"/>
  <c r="K6" i="14"/>
  <c r="K15" i="14" s="1"/>
  <c r="J6" i="14"/>
  <c r="J15" i="14" s="1"/>
  <c r="I6" i="14"/>
  <c r="I15" i="14" s="1"/>
  <c r="H6" i="14"/>
  <c r="H15" i="14" s="1"/>
  <c r="G6" i="14"/>
  <c r="G15" i="14" s="1"/>
  <c r="F6" i="14"/>
  <c r="F14" i="14" s="1"/>
  <c r="E6" i="14"/>
  <c r="E14" i="14" s="1"/>
  <c r="D6" i="14"/>
  <c r="D14" i="14" s="1"/>
  <c r="O10" i="12"/>
  <c r="N10" i="12"/>
  <c r="M10" i="12"/>
  <c r="L11" i="12"/>
  <c r="K11" i="12"/>
  <c r="J11" i="12"/>
  <c r="I11" i="12"/>
  <c r="H11" i="12"/>
  <c r="G11" i="12"/>
  <c r="F10" i="12"/>
  <c r="E10" i="12"/>
  <c r="D10" i="12"/>
  <c r="O6" i="12"/>
  <c r="N6" i="12"/>
  <c r="M6" i="12"/>
  <c r="L6" i="12"/>
  <c r="K6" i="12"/>
  <c r="J6" i="12"/>
  <c r="I6" i="12"/>
  <c r="H6" i="12"/>
  <c r="G6" i="12"/>
  <c r="F6" i="12"/>
  <c r="E6" i="12"/>
  <c r="D6" i="12"/>
  <c r="N28" i="34"/>
  <c r="M28" i="34"/>
  <c r="L28" i="34"/>
  <c r="K28" i="34"/>
  <c r="J28" i="34"/>
  <c r="I28" i="34"/>
  <c r="H28" i="34"/>
  <c r="G28" i="34"/>
  <c r="F28" i="34"/>
  <c r="E28" i="34"/>
  <c r="D28" i="34"/>
  <c r="C28" i="34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A44" i="23" l="1"/>
  <c r="A45" i="23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N53" i="34" l="1"/>
  <c r="M53" i="34"/>
  <c r="L53" i="34"/>
  <c r="K53" i="34"/>
  <c r="J53" i="34"/>
  <c r="I53" i="34"/>
  <c r="H53" i="34"/>
  <c r="G53" i="34"/>
  <c r="F53" i="34"/>
  <c r="E53" i="34"/>
  <c r="D53" i="34"/>
  <c r="C53" i="34"/>
  <c r="D46" i="34"/>
  <c r="E46" i="34" s="1"/>
  <c r="F46" i="34" s="1"/>
  <c r="G46" i="34" s="1"/>
  <c r="H46" i="34" s="1"/>
  <c r="I46" i="34" s="1"/>
  <c r="J46" i="34" s="1"/>
  <c r="K46" i="34" s="1"/>
  <c r="L46" i="34" s="1"/>
  <c r="M46" i="34" s="1"/>
  <c r="N46" i="34" s="1"/>
  <c r="B53" i="34" l="1"/>
  <c r="E18" i="28" l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J14" i="19"/>
  <c r="I14" i="19"/>
  <c r="H14" i="19"/>
  <c r="O17" i="19"/>
  <c r="N17" i="19"/>
  <c r="K17" i="19"/>
  <c r="J17" i="19"/>
  <c r="H17" i="19"/>
  <c r="G17" i="19"/>
  <c r="F17" i="19"/>
  <c r="O14" i="19"/>
  <c r="M14" i="19"/>
  <c r="F14" i="19"/>
  <c r="E14" i="19"/>
  <c r="O10" i="19"/>
  <c r="N10" i="19"/>
  <c r="L10" i="19"/>
  <c r="K10" i="19"/>
  <c r="H10" i="19"/>
  <c r="G10" i="19"/>
  <c r="F10" i="19"/>
  <c r="O7" i="19"/>
  <c r="N7" i="19"/>
  <c r="K7" i="19"/>
  <c r="J7" i="19"/>
  <c r="G7" i="19"/>
  <c r="F7" i="19"/>
  <c r="L14" i="15"/>
  <c r="H14" i="15"/>
  <c r="G14" i="15"/>
  <c r="M14" i="15"/>
  <c r="K14" i="15"/>
  <c r="F14" i="15"/>
  <c r="E14" i="15"/>
  <c r="N17" i="15"/>
  <c r="M17" i="15"/>
  <c r="J17" i="15"/>
  <c r="I17" i="15"/>
  <c r="F17" i="15"/>
  <c r="E17" i="15"/>
  <c r="N14" i="15"/>
  <c r="O10" i="15"/>
  <c r="T14" i="32" s="1"/>
  <c r="N10" i="15"/>
  <c r="S14" i="32" s="1"/>
  <c r="L10" i="15"/>
  <c r="Q14" i="32" s="1"/>
  <c r="I10" i="15"/>
  <c r="N14" i="32" s="1"/>
  <c r="H10" i="15"/>
  <c r="M14" i="32" s="1"/>
  <c r="G10" i="15"/>
  <c r="L14" i="32" s="1"/>
  <c r="F10" i="15"/>
  <c r="K14" i="32" s="1"/>
  <c r="N7" i="15"/>
  <c r="M7" i="15"/>
  <c r="K7" i="15"/>
  <c r="J7" i="15"/>
  <c r="I7" i="15"/>
  <c r="F7" i="15"/>
  <c r="E7" i="15"/>
  <c r="A13" i="15"/>
  <c r="D14" i="15"/>
  <c r="E24" i="14"/>
  <c r="F24" i="14" s="1"/>
  <c r="G24" i="14" s="1"/>
  <c r="H24" i="14" s="1"/>
  <c r="I24" i="14" s="1"/>
  <c r="J24" i="14" s="1"/>
  <c r="K24" i="14" s="1"/>
  <c r="L24" i="14" s="1"/>
  <c r="M24" i="14" s="1"/>
  <c r="N24" i="14" s="1"/>
  <c r="O24" i="14" s="1"/>
  <c r="A24" i="14"/>
  <c r="N54" i="34"/>
  <c r="M54" i="34"/>
  <c r="L54" i="34"/>
  <c r="K54" i="34"/>
  <c r="J54" i="34"/>
  <c r="I54" i="34"/>
  <c r="H54" i="34"/>
  <c r="G54" i="34"/>
  <c r="D54" i="34"/>
  <c r="N52" i="34"/>
  <c r="M52" i="34"/>
  <c r="L52" i="34"/>
  <c r="K52" i="34"/>
  <c r="J52" i="34"/>
  <c r="I52" i="34"/>
  <c r="H52" i="34"/>
  <c r="G52" i="34"/>
  <c r="F52" i="34"/>
  <c r="E52" i="34"/>
  <c r="D52" i="34"/>
  <c r="N51" i="34"/>
  <c r="M51" i="34"/>
  <c r="L51" i="34"/>
  <c r="K51" i="34"/>
  <c r="J51" i="34"/>
  <c r="I51" i="34"/>
  <c r="H51" i="34"/>
  <c r="G51" i="34"/>
  <c r="F51" i="34"/>
  <c r="E51" i="34"/>
  <c r="D51" i="34"/>
  <c r="N50" i="34"/>
  <c r="M50" i="34"/>
  <c r="L50" i="34"/>
  <c r="K50" i="34"/>
  <c r="J50" i="34"/>
  <c r="I50" i="34"/>
  <c r="H50" i="34"/>
  <c r="G50" i="34"/>
  <c r="F50" i="34"/>
  <c r="E50" i="34"/>
  <c r="D50" i="34"/>
  <c r="C52" i="34"/>
  <c r="C51" i="34"/>
  <c r="C50" i="34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7" i="12"/>
  <c r="N13" i="23"/>
  <c r="I13" i="23"/>
  <c r="F13" i="23"/>
  <c r="E13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7" i="23"/>
  <c r="T7" i="33"/>
  <c r="T7" i="32" s="1"/>
  <c r="S7" i="33"/>
  <c r="S7" i="32" s="1"/>
  <c r="R7" i="33"/>
  <c r="R7" i="32" s="1"/>
  <c r="Q7" i="33"/>
  <c r="Q7" i="32" s="1"/>
  <c r="P7" i="33"/>
  <c r="P7" i="32" s="1"/>
  <c r="O7" i="33"/>
  <c r="O7" i="32" s="1"/>
  <c r="N7" i="33"/>
  <c r="N7" i="32" s="1"/>
  <c r="M7" i="33"/>
  <c r="M7" i="32" s="1"/>
  <c r="L7" i="33"/>
  <c r="L7" i="32" s="1"/>
  <c r="K7" i="33"/>
  <c r="K7" i="32" s="1"/>
  <c r="J7" i="33"/>
  <c r="J7" i="32" s="1"/>
  <c r="I7" i="33"/>
  <c r="I7" i="32" s="1"/>
  <c r="H7" i="33"/>
  <c r="H7" i="32" s="1"/>
  <c r="H35" i="32"/>
  <c r="H29" i="32"/>
  <c r="H26" i="32"/>
  <c r="H25" i="32"/>
  <c r="H20" i="32"/>
  <c r="H19" i="32"/>
  <c r="H8" i="32"/>
  <c r="H10" i="32"/>
  <c r="A3" i="28"/>
  <c r="A3" i="23"/>
  <c r="A3" i="19"/>
  <c r="A3" i="15"/>
  <c r="A3" i="14"/>
  <c r="A3" i="12"/>
  <c r="A4" i="33"/>
  <c r="F8" i="33"/>
  <c r="A9" i="33"/>
  <c r="A10" i="33"/>
  <c r="A11" i="33" s="1"/>
  <c r="A12" i="33" s="1"/>
  <c r="F10" i="33"/>
  <c r="D10" i="33" s="1"/>
  <c r="E21" i="23" l="1"/>
  <c r="I21" i="23"/>
  <c r="M21" i="23"/>
  <c r="I17" i="23"/>
  <c r="K21" i="23"/>
  <c r="G21" i="23"/>
  <c r="O21" i="23"/>
  <c r="B52" i="34"/>
  <c r="G55" i="34"/>
  <c r="G58" i="34" s="1"/>
  <c r="K55" i="34"/>
  <c r="K59" i="34" s="1"/>
  <c r="K24" i="34" s="1"/>
  <c r="E54" i="34"/>
  <c r="E55" i="34" s="1"/>
  <c r="E61" i="34" s="1"/>
  <c r="E27" i="34" s="1"/>
  <c r="G9" i="23"/>
  <c r="K9" i="23"/>
  <c r="H21" i="23"/>
  <c r="L21" i="23"/>
  <c r="D55" i="34"/>
  <c r="D61" i="34" s="1"/>
  <c r="D27" i="34" s="1"/>
  <c r="H55" i="34"/>
  <c r="H58" i="34" s="1"/>
  <c r="L55" i="34"/>
  <c r="L61" i="34" s="1"/>
  <c r="L27" i="34" s="1"/>
  <c r="F54" i="34"/>
  <c r="F55" i="34" s="1"/>
  <c r="F61" i="34" s="1"/>
  <c r="F27" i="34" s="1"/>
  <c r="B50" i="34"/>
  <c r="I55" i="34"/>
  <c r="I61" i="34" s="1"/>
  <c r="I27" i="34" s="1"/>
  <c r="M55" i="34"/>
  <c r="M61" i="34" s="1"/>
  <c r="M27" i="34" s="1"/>
  <c r="C54" i="34"/>
  <c r="H17" i="23"/>
  <c r="L17" i="23"/>
  <c r="B51" i="34"/>
  <c r="J55" i="34"/>
  <c r="J61" i="34" s="1"/>
  <c r="J27" i="34" s="1"/>
  <c r="N55" i="34"/>
  <c r="N61" i="34" s="1"/>
  <c r="N27" i="34" s="1"/>
  <c r="M13" i="23"/>
  <c r="E17" i="23"/>
  <c r="E53" i="23"/>
  <c r="H17" i="15"/>
  <c r="L7" i="19"/>
  <c r="N14" i="19"/>
  <c r="E17" i="19"/>
  <c r="I17" i="19"/>
  <c r="M17" i="19"/>
  <c r="E9" i="23"/>
  <c r="I9" i="23"/>
  <c r="M9" i="23"/>
  <c r="J13" i="23"/>
  <c r="F17" i="23"/>
  <c r="J17" i="23"/>
  <c r="N17" i="23"/>
  <c r="L17" i="15"/>
  <c r="O14" i="15"/>
  <c r="J14" i="15"/>
  <c r="E7" i="19"/>
  <c r="I7" i="19"/>
  <c r="M7" i="19"/>
  <c r="H7" i="19"/>
  <c r="F9" i="23"/>
  <c r="J9" i="23"/>
  <c r="N9" i="23"/>
  <c r="G13" i="23"/>
  <c r="K13" i="23"/>
  <c r="O13" i="23"/>
  <c r="C48" i="23"/>
  <c r="D53" i="23"/>
  <c r="H7" i="15"/>
  <c r="L7" i="15"/>
  <c r="J10" i="15"/>
  <c r="O14" i="32" s="1"/>
  <c r="O9" i="23"/>
  <c r="M17" i="23"/>
  <c r="C49" i="23"/>
  <c r="C50" i="23"/>
  <c r="K10" i="15"/>
  <c r="P14" i="32" s="1"/>
  <c r="I53" i="23"/>
  <c r="M53" i="23"/>
  <c r="K14" i="19"/>
  <c r="G17" i="23"/>
  <c r="K17" i="23"/>
  <c r="O17" i="23"/>
  <c r="F21" i="23"/>
  <c r="J21" i="23"/>
  <c r="N21" i="23"/>
  <c r="F53" i="23"/>
  <c r="F54" i="23" s="1"/>
  <c r="J53" i="23"/>
  <c r="N53" i="23"/>
  <c r="G7" i="15"/>
  <c r="O7" i="15"/>
  <c r="G17" i="15"/>
  <c r="K17" i="15"/>
  <c r="O17" i="15"/>
  <c r="E10" i="19"/>
  <c r="I10" i="19"/>
  <c r="M10" i="19"/>
  <c r="L14" i="19"/>
  <c r="E10" i="15"/>
  <c r="J14" i="32" s="1"/>
  <c r="M10" i="15"/>
  <c r="R14" i="32" s="1"/>
  <c r="J10" i="19"/>
  <c r="L17" i="19"/>
  <c r="C8" i="28"/>
  <c r="C13" i="15"/>
  <c r="C10" i="28"/>
  <c r="G14" i="19"/>
  <c r="I14" i="15"/>
  <c r="L53" i="23"/>
  <c r="C51" i="23"/>
  <c r="K53" i="23"/>
  <c r="O53" i="23"/>
  <c r="G53" i="23"/>
  <c r="H53" i="23"/>
  <c r="C52" i="23"/>
  <c r="H9" i="23"/>
  <c r="L9" i="23"/>
  <c r="H13" i="23"/>
  <c r="L13" i="23"/>
  <c r="H54" i="23" l="1"/>
  <c r="K62" i="34"/>
  <c r="K31" i="34" s="1"/>
  <c r="K17" i="34" s="1"/>
  <c r="J58" i="34"/>
  <c r="J23" i="34" s="1"/>
  <c r="I58" i="34"/>
  <c r="I23" i="34" s="1"/>
  <c r="I59" i="34"/>
  <c r="I24" i="34" s="1"/>
  <c r="G59" i="34"/>
  <c r="G24" i="34" s="1"/>
  <c r="D62" i="34"/>
  <c r="D31" i="34" s="1"/>
  <c r="D17" i="34" s="1"/>
  <c r="G62" i="34"/>
  <c r="G31" i="34" s="1"/>
  <c r="G17" i="34" s="1"/>
  <c r="L60" i="34"/>
  <c r="L25" i="34" s="1"/>
  <c r="G54" i="23"/>
  <c r="G10" i="23" s="1"/>
  <c r="N62" i="34"/>
  <c r="N31" i="34" s="1"/>
  <c r="N17" i="34" s="1"/>
  <c r="D60" i="34"/>
  <c r="D25" i="34" s="1"/>
  <c r="L59" i="34"/>
  <c r="L24" i="34" s="1"/>
  <c r="L54" i="23"/>
  <c r="L7" i="28" s="1"/>
  <c r="L62" i="34"/>
  <c r="L31" i="34" s="1"/>
  <c r="L17" i="34" s="1"/>
  <c r="N59" i="34"/>
  <c r="N24" i="34" s="1"/>
  <c r="N60" i="34"/>
  <c r="N25" i="34" s="1"/>
  <c r="F10" i="23"/>
  <c r="F7" i="28"/>
  <c r="J54" i="23"/>
  <c r="J7" i="28" s="1"/>
  <c r="J59" i="34"/>
  <c r="J24" i="34" s="1"/>
  <c r="J62" i="34"/>
  <c r="J31" i="34" s="1"/>
  <c r="J17" i="34" s="1"/>
  <c r="J60" i="34"/>
  <c r="J25" i="34" s="1"/>
  <c r="E59" i="34"/>
  <c r="E24" i="34" s="1"/>
  <c r="H62" i="34"/>
  <c r="H31" i="34" s="1"/>
  <c r="H17" i="34" s="1"/>
  <c r="H61" i="34"/>
  <c r="H27" i="34" s="1"/>
  <c r="M62" i="34"/>
  <c r="M31" i="34" s="1"/>
  <c r="M17" i="34" s="1"/>
  <c r="M60" i="34"/>
  <c r="M25" i="34" s="1"/>
  <c r="H59" i="34"/>
  <c r="H24" i="34" s="1"/>
  <c r="G23" i="34"/>
  <c r="I54" i="23"/>
  <c r="O54" i="23"/>
  <c r="O7" i="28" s="1"/>
  <c r="M54" i="23"/>
  <c r="M7" i="28" s="1"/>
  <c r="H60" i="34"/>
  <c r="H25" i="34" s="1"/>
  <c r="N58" i="34"/>
  <c r="F58" i="34"/>
  <c r="F59" i="34"/>
  <c r="F24" i="34" s="1"/>
  <c r="C55" i="34"/>
  <c r="F62" i="34"/>
  <c r="F31" i="34" s="1"/>
  <c r="F17" i="34" s="1"/>
  <c r="F60" i="34"/>
  <c r="F25" i="34" s="1"/>
  <c r="L58" i="34"/>
  <c r="D58" i="34"/>
  <c r="I62" i="34"/>
  <c r="I31" i="34" s="1"/>
  <c r="I17" i="34" s="1"/>
  <c r="I60" i="34"/>
  <c r="I25" i="34" s="1"/>
  <c r="D59" i="34"/>
  <c r="D24" i="34" s="1"/>
  <c r="G60" i="34"/>
  <c r="G25" i="34" s="1"/>
  <c r="G61" i="34"/>
  <c r="G27" i="34" s="1"/>
  <c r="E54" i="23"/>
  <c r="H23" i="34"/>
  <c r="K60" i="34"/>
  <c r="K25" i="34" s="1"/>
  <c r="K61" i="34"/>
  <c r="K27" i="34" s="1"/>
  <c r="K54" i="23"/>
  <c r="K7" i="28" s="1"/>
  <c r="M58" i="34"/>
  <c r="E58" i="34"/>
  <c r="M59" i="34"/>
  <c r="M24" i="34" s="1"/>
  <c r="B54" i="34"/>
  <c r="B55" i="34" s="1"/>
  <c r="E62" i="34"/>
  <c r="E31" i="34" s="1"/>
  <c r="E17" i="34" s="1"/>
  <c r="E60" i="34"/>
  <c r="E25" i="34" s="1"/>
  <c r="K58" i="34"/>
  <c r="N54" i="23"/>
  <c r="M10" i="23"/>
  <c r="L10" i="23"/>
  <c r="H10" i="23"/>
  <c r="H7" i="28"/>
  <c r="C53" i="23"/>
  <c r="K10" i="23" l="1"/>
  <c r="G7" i="28"/>
  <c r="O10" i="23"/>
  <c r="J10" i="23"/>
  <c r="F63" i="34"/>
  <c r="F64" i="34" s="1"/>
  <c r="F23" i="34"/>
  <c r="D23" i="34"/>
  <c r="D63" i="34"/>
  <c r="D64" i="34" s="1"/>
  <c r="N63" i="34"/>
  <c r="N64" i="34" s="1"/>
  <c r="N23" i="34"/>
  <c r="K63" i="34"/>
  <c r="K64" i="34" s="1"/>
  <c r="K23" i="34"/>
  <c r="K32" i="34" s="1"/>
  <c r="M23" i="34"/>
  <c r="M63" i="34"/>
  <c r="M64" i="34" s="1"/>
  <c r="J63" i="34"/>
  <c r="J64" i="34" s="1"/>
  <c r="L23" i="34"/>
  <c r="L63" i="34"/>
  <c r="L64" i="34" s="1"/>
  <c r="I63" i="34"/>
  <c r="I64" i="34" s="1"/>
  <c r="N10" i="23"/>
  <c r="N7" i="28"/>
  <c r="E23" i="34"/>
  <c r="E63" i="34"/>
  <c r="E64" i="34" s="1"/>
  <c r="C61" i="34"/>
  <c r="C60" i="34"/>
  <c r="C59" i="34"/>
  <c r="C58" i="34"/>
  <c r="G63" i="34"/>
  <c r="G64" i="34" s="1"/>
  <c r="H63" i="34"/>
  <c r="H64" i="34" s="1"/>
  <c r="E7" i="28"/>
  <c r="E10" i="23"/>
  <c r="C62" i="34"/>
  <c r="I7" i="28"/>
  <c r="I10" i="23"/>
  <c r="D45" i="34"/>
  <c r="D43" i="34"/>
  <c r="D42" i="34"/>
  <c r="E42" i="34" s="1"/>
  <c r="F42" i="34" s="1"/>
  <c r="G41" i="34"/>
  <c r="H41" i="34" s="1"/>
  <c r="D41" i="34"/>
  <c r="D39" i="34"/>
  <c r="E39" i="34" s="1"/>
  <c r="F39" i="34" s="1"/>
  <c r="G38" i="34"/>
  <c r="G9" i="34" s="1"/>
  <c r="L38" i="34"/>
  <c r="M38" i="34" s="1"/>
  <c r="N38" i="34" s="1"/>
  <c r="D37" i="34"/>
  <c r="H32" i="34"/>
  <c r="B29" i="34"/>
  <c r="E20" i="32" s="1"/>
  <c r="B26" i="34"/>
  <c r="E15" i="32" s="1"/>
  <c r="G32" i="34"/>
  <c r="B22" i="34"/>
  <c r="E8" i="32" s="1"/>
  <c r="E27" i="3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E27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5" i="32"/>
  <c r="A3" i="32"/>
  <c r="C16" i="34" l="1"/>
  <c r="N9" i="34"/>
  <c r="B59" i="34"/>
  <c r="C24" i="34"/>
  <c r="B24" i="34" s="1"/>
  <c r="C25" i="34"/>
  <c r="B25" i="34" s="1"/>
  <c r="B60" i="34"/>
  <c r="B58" i="34"/>
  <c r="C23" i="34"/>
  <c r="C63" i="34"/>
  <c r="C64" i="34" s="1"/>
  <c r="C31" i="34"/>
  <c r="B62" i="34"/>
  <c r="B61" i="34"/>
  <c r="C27" i="34"/>
  <c r="B27" i="34" s="1"/>
  <c r="E43" i="34"/>
  <c r="E14" i="34" s="1"/>
  <c r="D14" i="34"/>
  <c r="E41" i="34"/>
  <c r="E12" i="34" s="1"/>
  <c r="D12" i="34"/>
  <c r="C8" i="34"/>
  <c r="F12" i="34"/>
  <c r="D38" i="34"/>
  <c r="E38" i="34" s="1"/>
  <c r="E9" i="34" s="1"/>
  <c r="F9" i="34"/>
  <c r="H38" i="34"/>
  <c r="I38" i="34" s="1"/>
  <c r="J38" i="34" s="1"/>
  <c r="K38" i="34" s="1"/>
  <c r="K9" i="34" s="1"/>
  <c r="I41" i="34"/>
  <c r="J41" i="34" s="1"/>
  <c r="K41" i="34" s="1"/>
  <c r="K12" i="34" s="1"/>
  <c r="H12" i="34"/>
  <c r="D44" i="34"/>
  <c r="C15" i="34"/>
  <c r="D40" i="34"/>
  <c r="G12" i="34"/>
  <c r="L41" i="34"/>
  <c r="L12" i="34" s="1"/>
  <c r="C12" i="34"/>
  <c r="E10" i="34"/>
  <c r="E37" i="34"/>
  <c r="F37" i="34" s="1"/>
  <c r="G37" i="34" s="1"/>
  <c r="D8" i="34"/>
  <c r="B30" i="34"/>
  <c r="E35" i="32" s="1"/>
  <c r="I32" i="34"/>
  <c r="C14" i="34"/>
  <c r="B28" i="34"/>
  <c r="E23" i="32" s="1"/>
  <c r="G42" i="34"/>
  <c r="F13" i="34"/>
  <c r="E45" i="34"/>
  <c r="F45" i="34" s="1"/>
  <c r="D16" i="34"/>
  <c r="F32" i="34"/>
  <c r="J32" i="34"/>
  <c r="N32" i="34"/>
  <c r="E32" i="34"/>
  <c r="M32" i="34"/>
  <c r="M9" i="34"/>
  <c r="D13" i="34"/>
  <c r="D32" i="34"/>
  <c r="L32" i="34"/>
  <c r="G39" i="34"/>
  <c r="H39" i="34" s="1"/>
  <c r="I39" i="34" s="1"/>
  <c r="F10" i="34"/>
  <c r="L9" i="34"/>
  <c r="D10" i="34"/>
  <c r="E13" i="34"/>
  <c r="B23" i="34" l="1"/>
  <c r="E12" i="32" s="1"/>
  <c r="E13" i="32"/>
  <c r="E18" i="32"/>
  <c r="E21" i="32" s="1"/>
  <c r="E14" i="32"/>
  <c r="C10" i="34"/>
  <c r="C9" i="34"/>
  <c r="C13" i="34"/>
  <c r="B31" i="34"/>
  <c r="C17" i="34"/>
  <c r="B17" i="34" s="1"/>
  <c r="C32" i="34"/>
  <c r="C11" i="34"/>
  <c r="B63" i="34"/>
  <c r="H10" i="34"/>
  <c r="F43" i="34"/>
  <c r="G43" i="34" s="1"/>
  <c r="H43" i="34" s="1"/>
  <c r="M41" i="34"/>
  <c r="N41" i="34" s="1"/>
  <c r="N12" i="34" s="1"/>
  <c r="D9" i="34"/>
  <c r="G10" i="34"/>
  <c r="J9" i="34"/>
  <c r="I12" i="34"/>
  <c r="H9" i="34"/>
  <c r="I9" i="34"/>
  <c r="E8" i="34"/>
  <c r="F8" i="34"/>
  <c r="G45" i="34"/>
  <c r="H45" i="34" s="1"/>
  <c r="F16" i="34"/>
  <c r="E40" i="34"/>
  <c r="D11" i="34"/>
  <c r="J12" i="34"/>
  <c r="H37" i="34"/>
  <c r="G8" i="34"/>
  <c r="E44" i="34"/>
  <c r="D15" i="34"/>
  <c r="H42" i="34"/>
  <c r="G13" i="34"/>
  <c r="J39" i="34"/>
  <c r="I10" i="34"/>
  <c r="E16" i="34"/>
  <c r="E16" i="32" l="1"/>
  <c r="E31" i="32"/>
  <c r="E33" i="32" s="1"/>
  <c r="E37" i="32" s="1"/>
  <c r="B32" i="34"/>
  <c r="C18" i="34"/>
  <c r="F14" i="34"/>
  <c r="G14" i="34"/>
  <c r="M12" i="34"/>
  <c r="B12" i="34" s="1"/>
  <c r="E15" i="33" s="1"/>
  <c r="G16" i="34"/>
  <c r="D18" i="34"/>
  <c r="B9" i="34"/>
  <c r="E12" i="33" s="1"/>
  <c r="I43" i="34"/>
  <c r="H14" i="34"/>
  <c r="F44" i="34"/>
  <c r="E15" i="34"/>
  <c r="H8" i="34"/>
  <c r="I37" i="34"/>
  <c r="F40" i="34"/>
  <c r="E11" i="34"/>
  <c r="H16" i="34"/>
  <c r="I45" i="34"/>
  <c r="K39" i="34"/>
  <c r="J10" i="34"/>
  <c r="I42" i="34"/>
  <c r="H13" i="34"/>
  <c r="E18" i="34" l="1"/>
  <c r="J43" i="34"/>
  <c r="I14" i="34"/>
  <c r="G40" i="34"/>
  <c r="F11" i="34"/>
  <c r="J37" i="34"/>
  <c r="I8" i="34"/>
  <c r="G44" i="34"/>
  <c r="F15" i="34"/>
  <c r="J42" i="34"/>
  <c r="I13" i="34"/>
  <c r="L39" i="34"/>
  <c r="K10" i="34"/>
  <c r="J45" i="34"/>
  <c r="I16" i="34"/>
  <c r="K37" i="34" l="1"/>
  <c r="J8" i="34"/>
  <c r="J14" i="34"/>
  <c r="K43" i="34"/>
  <c r="H44" i="34"/>
  <c r="G15" i="34"/>
  <c r="H40" i="34"/>
  <c r="G11" i="34"/>
  <c r="F18" i="34"/>
  <c r="K42" i="34"/>
  <c r="J13" i="34"/>
  <c r="M39" i="34"/>
  <c r="L10" i="34"/>
  <c r="K45" i="34"/>
  <c r="J16" i="34"/>
  <c r="H11" i="34" l="1"/>
  <c r="I40" i="34"/>
  <c r="L43" i="34"/>
  <c r="K14" i="34"/>
  <c r="H15" i="34"/>
  <c r="I44" i="34"/>
  <c r="G18" i="34"/>
  <c r="L37" i="34"/>
  <c r="K8" i="34"/>
  <c r="L45" i="34"/>
  <c r="K16" i="34"/>
  <c r="N39" i="34"/>
  <c r="N10" i="34" s="1"/>
  <c r="M10" i="34"/>
  <c r="K13" i="34"/>
  <c r="L42" i="34"/>
  <c r="I11" i="34" l="1"/>
  <c r="J40" i="34"/>
  <c r="J44" i="34"/>
  <c r="I15" i="34"/>
  <c r="M43" i="34"/>
  <c r="L14" i="34"/>
  <c r="M37" i="34"/>
  <c r="L8" i="34"/>
  <c r="H18" i="34"/>
  <c r="B10" i="34"/>
  <c r="M42" i="34"/>
  <c r="L13" i="34"/>
  <c r="M45" i="34"/>
  <c r="L16" i="34"/>
  <c r="K40" i="34" l="1"/>
  <c r="J11" i="34"/>
  <c r="K44" i="34"/>
  <c r="J15" i="34"/>
  <c r="N43" i="34"/>
  <c r="N14" i="34" s="1"/>
  <c r="M14" i="34"/>
  <c r="N37" i="34"/>
  <c r="N8" i="34" s="1"/>
  <c r="M8" i="34"/>
  <c r="I18" i="34"/>
  <c r="N45" i="34"/>
  <c r="N16" i="34" s="1"/>
  <c r="M16" i="34"/>
  <c r="N42" i="34"/>
  <c r="N13" i="34" s="1"/>
  <c r="M13" i="34"/>
  <c r="E13" i="33"/>
  <c r="B8" i="34" l="1"/>
  <c r="E8" i="33" s="1"/>
  <c r="D8" i="33" s="1"/>
  <c r="B14" i="34"/>
  <c r="E23" i="33" s="1"/>
  <c r="J18" i="34"/>
  <c r="L44" i="34"/>
  <c r="K15" i="34"/>
  <c r="L40" i="34"/>
  <c r="K11" i="34"/>
  <c r="B16" i="34"/>
  <c r="E35" i="33" s="1"/>
  <c r="B13" i="34"/>
  <c r="K18" i="34" l="1"/>
  <c r="L11" i="34"/>
  <c r="M40" i="34"/>
  <c r="M44" i="34"/>
  <c r="L15" i="34"/>
  <c r="E18" i="33"/>
  <c r="N40" i="34" l="1"/>
  <c r="N11" i="34" s="1"/>
  <c r="M11" i="34"/>
  <c r="M15" i="34"/>
  <c r="N44" i="34"/>
  <c r="N15" i="34" s="1"/>
  <c r="L18" i="34"/>
  <c r="N18" i="34" l="1"/>
  <c r="B15" i="34"/>
  <c r="E20" i="33" s="1"/>
  <c r="M18" i="34"/>
  <c r="B11" i="34"/>
  <c r="E14" i="33" l="1"/>
  <c r="B18" i="34"/>
  <c r="E21" i="33"/>
  <c r="E16" i="33" l="1"/>
  <c r="E33" i="33" s="1"/>
  <c r="E37" i="33" s="1"/>
  <c r="T31" i="32" l="1"/>
  <c r="S31" i="32"/>
  <c r="R31" i="32"/>
  <c r="Q31" i="32"/>
  <c r="P31" i="32"/>
  <c r="O31" i="32"/>
  <c r="N31" i="32"/>
  <c r="M31" i="32"/>
  <c r="L31" i="32"/>
  <c r="K31" i="32"/>
  <c r="J31" i="32"/>
  <c r="I31" i="32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E13" i="28" l="1"/>
  <c r="D16" i="28"/>
  <c r="H31" i="32"/>
  <c r="C18" i="28"/>
  <c r="C6" i="28"/>
  <c r="N27" i="32"/>
  <c r="K27" i="32"/>
  <c r="O27" i="32"/>
  <c r="F13" i="28" l="1"/>
  <c r="E16" i="28"/>
  <c r="E19" i="28" s="1"/>
  <c r="A19" i="28"/>
  <c r="A20" i="28" s="1"/>
  <c r="A21" i="28" s="1"/>
  <c r="A22" i="28" s="1"/>
  <c r="A23" i="28" s="1"/>
  <c r="T27" i="32"/>
  <c r="J27" i="32"/>
  <c r="R27" i="32"/>
  <c r="L27" i="32"/>
  <c r="M27" i="32"/>
  <c r="P27" i="32"/>
  <c r="I27" i="32"/>
  <c r="S27" i="32"/>
  <c r="D19" i="28"/>
  <c r="G13" i="28" l="1"/>
  <c r="F16" i="28"/>
  <c r="F19" i="28" s="1"/>
  <c r="F22" i="28" s="1"/>
  <c r="H27" i="32"/>
  <c r="Q27" i="32"/>
  <c r="E22" i="28"/>
  <c r="J31" i="33"/>
  <c r="D22" i="28"/>
  <c r="I31" i="33"/>
  <c r="K31" i="33" l="1"/>
  <c r="H13" i="28"/>
  <c r="G16" i="28"/>
  <c r="G19" i="28" s="1"/>
  <c r="I27" i="33"/>
  <c r="I13" i="28" l="1"/>
  <c r="H16" i="28"/>
  <c r="H19" i="28" s="1"/>
  <c r="L31" i="33"/>
  <c r="G22" i="28"/>
  <c r="J27" i="33"/>
  <c r="K27" i="33"/>
  <c r="C17" i="28"/>
  <c r="J13" i="28" l="1"/>
  <c r="I16" i="28"/>
  <c r="I19" i="28" s="1"/>
  <c r="H22" i="28"/>
  <c r="M31" i="33"/>
  <c r="L27" i="33"/>
  <c r="K13" i="28" l="1"/>
  <c r="J16" i="28"/>
  <c r="J19" i="28" s="1"/>
  <c r="I22" i="28"/>
  <c r="N31" i="33"/>
  <c r="M27" i="33"/>
  <c r="L13" i="28" l="1"/>
  <c r="K16" i="28"/>
  <c r="J22" i="28"/>
  <c r="O31" i="33"/>
  <c r="N27" i="33"/>
  <c r="M13" i="28" l="1"/>
  <c r="L16" i="28"/>
  <c r="L19" i="28" s="1"/>
  <c r="K19" i="28"/>
  <c r="O27" i="33"/>
  <c r="N13" i="28" l="1"/>
  <c r="M16" i="28"/>
  <c r="M19" i="28" s="1"/>
  <c r="K22" i="28"/>
  <c r="P31" i="33"/>
  <c r="L22" i="28"/>
  <c r="Q31" i="33"/>
  <c r="P27" i="33"/>
  <c r="O13" i="28" l="1"/>
  <c r="O16" i="28" s="1"/>
  <c r="O19" i="28" s="1"/>
  <c r="N16" i="28"/>
  <c r="N19" i="28" s="1"/>
  <c r="R31" i="33"/>
  <c r="M22" i="28"/>
  <c r="Q27" i="33"/>
  <c r="C16" i="28" l="1"/>
  <c r="C19" i="28" s="1"/>
  <c r="N22" i="28"/>
  <c r="S31" i="33"/>
  <c r="O22" i="28"/>
  <c r="T31" i="33"/>
  <c r="R27" i="33"/>
  <c r="H31" i="33" l="1"/>
  <c r="S27" i="33"/>
  <c r="T27" i="33" l="1"/>
  <c r="H27" i="33" l="1"/>
  <c r="M23" i="32"/>
  <c r="Q23" i="32"/>
  <c r="K23" i="32"/>
  <c r="S23" i="32"/>
  <c r="L23" i="32"/>
  <c r="P23" i="32"/>
  <c r="T23" i="32"/>
  <c r="O23" i="32"/>
  <c r="N23" i="32"/>
  <c r="C7" i="23"/>
  <c r="C8" i="23"/>
  <c r="C11" i="23"/>
  <c r="C12" i="23"/>
  <c r="C20" i="23"/>
  <c r="C15" i="23"/>
  <c r="C16" i="23"/>
  <c r="D9" i="23"/>
  <c r="C6" i="23"/>
  <c r="D17" i="23"/>
  <c r="D13" i="23"/>
  <c r="C19" i="23"/>
  <c r="D21" i="23"/>
  <c r="I23" i="32" l="1"/>
  <c r="D54" i="23"/>
  <c r="R23" i="32"/>
  <c r="J23" i="32"/>
  <c r="C9" i="23"/>
  <c r="C13" i="23"/>
  <c r="C17" i="23"/>
  <c r="C21" i="23"/>
  <c r="D10" i="23" l="1"/>
  <c r="D7" i="28"/>
  <c r="H23" i="32"/>
  <c r="P18" i="32" l="1"/>
  <c r="P21" i="32" s="1"/>
  <c r="E21" i="19" l="1"/>
  <c r="D28" i="19"/>
  <c r="C38" i="23"/>
  <c r="L18" i="32"/>
  <c r="L21" i="32" s="1"/>
  <c r="M18" i="32"/>
  <c r="M21" i="32" s="1"/>
  <c r="C12" i="19"/>
  <c r="N18" i="32"/>
  <c r="N21" i="32" s="1"/>
  <c r="O18" i="32"/>
  <c r="O21" i="32" s="1"/>
  <c r="T18" i="32"/>
  <c r="T21" i="32" s="1"/>
  <c r="R18" i="32"/>
  <c r="R21" i="32" s="1"/>
  <c r="S18" i="32"/>
  <c r="S21" i="32" s="1"/>
  <c r="Q18" i="32"/>
  <c r="Q21" i="32" s="1"/>
  <c r="K18" i="32"/>
  <c r="K21" i="32" s="1"/>
  <c r="J18" i="32"/>
  <c r="J21" i="32" s="1"/>
  <c r="A7" i="19"/>
  <c r="E23" i="19" l="1"/>
  <c r="D30" i="19"/>
  <c r="F21" i="19"/>
  <c r="E28" i="19"/>
  <c r="E19" i="19"/>
  <c r="D26" i="19"/>
  <c r="E20" i="19"/>
  <c r="D27" i="19"/>
  <c r="E21" i="15"/>
  <c r="D28" i="15"/>
  <c r="E22" i="19"/>
  <c r="D29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C9" i="19"/>
  <c r="D10" i="19"/>
  <c r="I18" i="32" s="1"/>
  <c r="D14" i="19"/>
  <c r="C6" i="19"/>
  <c r="C13" i="19"/>
  <c r="D17" i="19"/>
  <c r="D7" i="19"/>
  <c r="C16" i="19"/>
  <c r="F21" i="15" l="1"/>
  <c r="E28" i="15"/>
  <c r="F23" i="19"/>
  <c r="E30" i="19"/>
  <c r="F22" i="19"/>
  <c r="E29" i="19"/>
  <c r="F20" i="19"/>
  <c r="E27" i="19"/>
  <c r="G21" i="19"/>
  <c r="F28" i="19"/>
  <c r="F19" i="19"/>
  <c r="E26" i="19"/>
  <c r="H18" i="32"/>
  <c r="H21" i="32" s="1"/>
  <c r="I21" i="32"/>
  <c r="C14" i="19"/>
  <c r="C7" i="19"/>
  <c r="C17" i="19"/>
  <c r="D31" i="19"/>
  <c r="I18" i="33" s="1"/>
  <c r="C10" i="19"/>
  <c r="E31" i="19" l="1"/>
  <c r="H21" i="19"/>
  <c r="G28" i="19"/>
  <c r="G19" i="19"/>
  <c r="F26" i="19"/>
  <c r="G20" i="19"/>
  <c r="F27" i="19"/>
  <c r="G23" i="19"/>
  <c r="F30" i="19"/>
  <c r="G22" i="19"/>
  <c r="F29" i="19"/>
  <c r="G21" i="15"/>
  <c r="F28" i="15"/>
  <c r="C12" i="15"/>
  <c r="I21" i="33"/>
  <c r="D34" i="19"/>
  <c r="H22" i="19" l="1"/>
  <c r="G29" i="19"/>
  <c r="H20" i="19"/>
  <c r="G27" i="19"/>
  <c r="I21" i="19"/>
  <c r="H28" i="19"/>
  <c r="H21" i="15"/>
  <c r="G28" i="15"/>
  <c r="H23" i="19"/>
  <c r="G30" i="19"/>
  <c r="H19" i="19"/>
  <c r="G26" i="19"/>
  <c r="F31" i="19"/>
  <c r="K18" i="33" s="1"/>
  <c r="E34" i="19"/>
  <c r="J18" i="33"/>
  <c r="F34" i="19" l="1"/>
  <c r="G31" i="19"/>
  <c r="G34" i="19" s="1"/>
  <c r="I19" i="19"/>
  <c r="H26" i="19"/>
  <c r="I21" i="15"/>
  <c r="H28" i="15"/>
  <c r="I20" i="19"/>
  <c r="H27" i="19"/>
  <c r="I23" i="19"/>
  <c r="H30" i="19"/>
  <c r="J21" i="19"/>
  <c r="I28" i="19"/>
  <c r="I22" i="19"/>
  <c r="H29" i="19"/>
  <c r="J21" i="33"/>
  <c r="K21" i="33"/>
  <c r="L18" i="33" l="1"/>
  <c r="L21" i="33" s="1"/>
  <c r="H31" i="19"/>
  <c r="H34" i="19" s="1"/>
  <c r="J20" i="19"/>
  <c r="I27" i="19"/>
  <c r="J22" i="19"/>
  <c r="I29" i="19"/>
  <c r="J23" i="19"/>
  <c r="I30" i="19"/>
  <c r="K21" i="19"/>
  <c r="J28" i="19"/>
  <c r="J21" i="15"/>
  <c r="I28" i="15"/>
  <c r="J19" i="19"/>
  <c r="I26" i="19"/>
  <c r="M18" i="33" l="1"/>
  <c r="M21" i="33" s="1"/>
  <c r="I31" i="19"/>
  <c r="K23" i="19"/>
  <c r="J30" i="19"/>
  <c r="K20" i="19"/>
  <c r="J27" i="19"/>
  <c r="K19" i="19"/>
  <c r="J26" i="19"/>
  <c r="K21" i="15"/>
  <c r="J28" i="15"/>
  <c r="L21" i="19"/>
  <c r="K28" i="19"/>
  <c r="K22" i="19"/>
  <c r="J29" i="19"/>
  <c r="M21" i="19" l="1"/>
  <c r="L28" i="19"/>
  <c r="L19" i="19"/>
  <c r="K26" i="19"/>
  <c r="L23" i="19"/>
  <c r="K30" i="19"/>
  <c r="J31" i="19"/>
  <c r="L22" i="19"/>
  <c r="K29" i="19"/>
  <c r="L21" i="15"/>
  <c r="K28" i="15"/>
  <c r="L20" i="19"/>
  <c r="K27" i="19"/>
  <c r="N18" i="33"/>
  <c r="N21" i="33" s="1"/>
  <c r="I34" i="19"/>
  <c r="K31" i="19" l="1"/>
  <c r="P18" i="33" s="1"/>
  <c r="P21" i="33" s="1"/>
  <c r="M20" i="19"/>
  <c r="L27" i="19"/>
  <c r="M22" i="19"/>
  <c r="L29" i="19"/>
  <c r="M21" i="15"/>
  <c r="L28" i="15"/>
  <c r="J34" i="19"/>
  <c r="O18" i="33"/>
  <c r="O21" i="33" s="1"/>
  <c r="M19" i="19"/>
  <c r="L26" i="19"/>
  <c r="M23" i="19"/>
  <c r="L30" i="19"/>
  <c r="N21" i="19"/>
  <c r="M28" i="19"/>
  <c r="K34" i="19" l="1"/>
  <c r="N21" i="15"/>
  <c r="M28" i="15"/>
  <c r="O21" i="19"/>
  <c r="O28" i="19" s="1"/>
  <c r="N28" i="19"/>
  <c r="N19" i="19"/>
  <c r="M26" i="19"/>
  <c r="N22" i="19"/>
  <c r="M29" i="19"/>
  <c r="N23" i="19"/>
  <c r="M30" i="19"/>
  <c r="N20" i="19"/>
  <c r="M27" i="19"/>
  <c r="L31" i="19"/>
  <c r="C28" i="19" l="1"/>
  <c r="Q18" i="33"/>
  <c r="Q21" i="33" s="1"/>
  <c r="L34" i="19"/>
  <c r="O23" i="19"/>
  <c r="O30" i="19" s="1"/>
  <c r="N30" i="19"/>
  <c r="O19" i="19"/>
  <c r="O26" i="19" s="1"/>
  <c r="N26" i="19"/>
  <c r="O21" i="15"/>
  <c r="O28" i="15" s="1"/>
  <c r="N28" i="15"/>
  <c r="O20" i="19"/>
  <c r="O27" i="19" s="1"/>
  <c r="N27" i="19"/>
  <c r="O22" i="19"/>
  <c r="O29" i="19" s="1"/>
  <c r="N29" i="19"/>
  <c r="M31" i="19"/>
  <c r="A7" i="15"/>
  <c r="A8" i="15" s="1"/>
  <c r="A9" i="15" s="1"/>
  <c r="A10" i="15" s="1"/>
  <c r="A11" i="15" s="1"/>
  <c r="A12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7" i="14"/>
  <c r="A8" i="14" s="1"/>
  <c r="C30" i="19" l="1"/>
  <c r="C27" i="19"/>
  <c r="E15" i="12"/>
  <c r="D21" i="12"/>
  <c r="E20" i="15"/>
  <c r="D27" i="15"/>
  <c r="O31" i="19"/>
  <c r="C26" i="19"/>
  <c r="E17" i="12"/>
  <c r="D23" i="12"/>
  <c r="E25" i="14"/>
  <c r="D34" i="14"/>
  <c r="E26" i="14"/>
  <c r="D35" i="14"/>
  <c r="E23" i="15"/>
  <c r="D30" i="15"/>
  <c r="C29" i="19"/>
  <c r="E22" i="15"/>
  <c r="D29" i="15"/>
  <c r="E16" i="12"/>
  <c r="D22" i="12"/>
  <c r="E14" i="12"/>
  <c r="D20" i="12"/>
  <c r="E27" i="14"/>
  <c r="D36" i="14"/>
  <c r="E19" i="15"/>
  <c r="D26" i="15"/>
  <c r="R18" i="33"/>
  <c r="R21" i="33" s="1"/>
  <c r="M34" i="19"/>
  <c r="N31" i="19"/>
  <c r="E23" i="14"/>
  <c r="D32" i="14"/>
  <c r="E21" i="14"/>
  <c r="D30" i="14"/>
  <c r="A9" i="14"/>
  <c r="A10" i="14" s="1"/>
  <c r="A11" i="14" s="1"/>
  <c r="A12" i="14" s="1"/>
  <c r="A13" i="14" s="1"/>
  <c r="L19" i="14"/>
  <c r="D7" i="14"/>
  <c r="D9" i="14" s="1"/>
  <c r="D11" i="14" s="1"/>
  <c r="G7" i="14"/>
  <c r="G10" i="14" s="1"/>
  <c r="G11" i="14" s="1"/>
  <c r="K7" i="14"/>
  <c r="K10" i="14" s="1"/>
  <c r="K11" i="14" s="1"/>
  <c r="O7" i="14"/>
  <c r="O9" i="14" s="1"/>
  <c r="O11" i="14" s="1"/>
  <c r="F19" i="14"/>
  <c r="J19" i="14"/>
  <c r="N19" i="14"/>
  <c r="G19" i="14"/>
  <c r="K19" i="14"/>
  <c r="O19" i="14"/>
  <c r="H19" i="14"/>
  <c r="F16" i="14"/>
  <c r="N16" i="14"/>
  <c r="H16" i="14"/>
  <c r="L7" i="14"/>
  <c r="L10" i="14" s="1"/>
  <c r="L11" i="14" s="1"/>
  <c r="F8" i="12"/>
  <c r="J8" i="12"/>
  <c r="N8" i="12"/>
  <c r="H8" i="12"/>
  <c r="L8" i="12"/>
  <c r="E19" i="14"/>
  <c r="I19" i="14"/>
  <c r="M19" i="14"/>
  <c r="F7" i="14"/>
  <c r="F9" i="14" s="1"/>
  <c r="F11" i="14" s="1"/>
  <c r="J7" i="14"/>
  <c r="J10" i="14" s="1"/>
  <c r="J11" i="14" s="1"/>
  <c r="N7" i="14"/>
  <c r="N9" i="14" s="1"/>
  <c r="N11" i="14" s="1"/>
  <c r="J16" i="14"/>
  <c r="L16" i="14"/>
  <c r="H7" i="14"/>
  <c r="H10" i="14" s="1"/>
  <c r="H11" i="14" s="1"/>
  <c r="E8" i="12"/>
  <c r="I8" i="12"/>
  <c r="M8" i="12"/>
  <c r="G8" i="12"/>
  <c r="K8" i="12"/>
  <c r="O8" i="12"/>
  <c r="N12" i="12"/>
  <c r="G16" i="14"/>
  <c r="K16" i="14"/>
  <c r="O16" i="14"/>
  <c r="C14" i="14"/>
  <c r="I16" i="14"/>
  <c r="M16" i="14"/>
  <c r="E7" i="14"/>
  <c r="E9" i="14" s="1"/>
  <c r="E11" i="14" s="1"/>
  <c r="I7" i="14"/>
  <c r="I10" i="14" s="1"/>
  <c r="I11" i="14" s="1"/>
  <c r="M7" i="14"/>
  <c r="M9" i="14" s="1"/>
  <c r="M11" i="14" s="1"/>
  <c r="C16" i="15"/>
  <c r="C6" i="15"/>
  <c r="D7" i="15"/>
  <c r="C9" i="15"/>
  <c r="D10" i="15"/>
  <c r="I14" i="32" s="1"/>
  <c r="D17" i="15"/>
  <c r="E22" i="14"/>
  <c r="F22" i="14" s="1"/>
  <c r="G22" i="14" s="1"/>
  <c r="E16" i="14"/>
  <c r="C18" i="14"/>
  <c r="C6" i="14"/>
  <c r="D16" i="14"/>
  <c r="C15" i="14"/>
  <c r="D19" i="14"/>
  <c r="C10" i="12"/>
  <c r="F12" i="12"/>
  <c r="C6" i="12"/>
  <c r="H12" i="12"/>
  <c r="M12" i="32" s="1"/>
  <c r="C11" i="12"/>
  <c r="E12" i="12"/>
  <c r="J12" i="32" s="1"/>
  <c r="I12" i="12"/>
  <c r="N12" i="32" s="1"/>
  <c r="C7" i="12"/>
  <c r="M12" i="12"/>
  <c r="D8" i="12"/>
  <c r="D12" i="12"/>
  <c r="I12" i="32" s="1"/>
  <c r="G12" i="12"/>
  <c r="L12" i="32" s="1"/>
  <c r="K12" i="12"/>
  <c r="P12" i="32" s="1"/>
  <c r="O12" i="12"/>
  <c r="T12" i="32" s="1"/>
  <c r="J12" i="12"/>
  <c r="L12" i="12"/>
  <c r="Q12" i="32" s="1"/>
  <c r="C31" i="19" l="1"/>
  <c r="J33" i="14"/>
  <c r="F19" i="15"/>
  <c r="E26" i="15"/>
  <c r="F22" i="15"/>
  <c r="E29" i="15"/>
  <c r="F15" i="12"/>
  <c r="E21" i="12"/>
  <c r="F26" i="14"/>
  <c r="E35" i="14"/>
  <c r="F17" i="12"/>
  <c r="E23" i="12"/>
  <c r="H22" i="14"/>
  <c r="G31" i="14"/>
  <c r="L33" i="14"/>
  <c r="O33" i="14"/>
  <c r="F27" i="14"/>
  <c r="E36" i="14"/>
  <c r="F16" i="12"/>
  <c r="E22" i="12"/>
  <c r="F20" i="15"/>
  <c r="E27" i="15"/>
  <c r="I33" i="14"/>
  <c r="H33" i="14"/>
  <c r="G33" i="14"/>
  <c r="S18" i="33"/>
  <c r="S21" i="33" s="1"/>
  <c r="N34" i="19"/>
  <c r="F14" i="12"/>
  <c r="E20" i="12"/>
  <c r="E33" i="14"/>
  <c r="E31" i="14"/>
  <c r="F33" i="14"/>
  <c r="F31" i="14"/>
  <c r="F21" i="14"/>
  <c r="E30" i="14"/>
  <c r="M33" i="14"/>
  <c r="F23" i="14"/>
  <c r="E32" i="14"/>
  <c r="F23" i="15"/>
  <c r="E30" i="15"/>
  <c r="F25" i="14"/>
  <c r="E34" i="14"/>
  <c r="T18" i="33"/>
  <c r="O34" i="19"/>
  <c r="C10" i="14"/>
  <c r="D31" i="14"/>
  <c r="D33" i="14"/>
  <c r="C9" i="14"/>
  <c r="I12" i="14"/>
  <c r="N13" i="32" s="1"/>
  <c r="N16" i="32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H14" i="32"/>
  <c r="S12" i="32"/>
  <c r="R12" i="32"/>
  <c r="O12" i="32"/>
  <c r="K12" i="32"/>
  <c r="C19" i="14"/>
  <c r="A27" i="15"/>
  <c r="A28" i="15" s="1"/>
  <c r="A29" i="15" s="1"/>
  <c r="A30" i="15" s="1"/>
  <c r="A31" i="15" s="1"/>
  <c r="A32" i="15" s="1"/>
  <c r="A33" i="15" s="1"/>
  <c r="A34" i="15" s="1"/>
  <c r="A35" i="15" s="1"/>
  <c r="C7" i="15"/>
  <c r="C17" i="15"/>
  <c r="C10" i="15"/>
  <c r="D31" i="15"/>
  <c r="I14" i="33" s="1"/>
  <c r="C14" i="15"/>
  <c r="C16" i="14"/>
  <c r="C7" i="14"/>
  <c r="C12" i="12"/>
  <c r="C8" i="12"/>
  <c r="D24" i="12"/>
  <c r="H12" i="14" l="1"/>
  <c r="M13" i="32" s="1"/>
  <c r="M16" i="32" s="1"/>
  <c r="G12" i="14"/>
  <c r="L13" i="32" s="1"/>
  <c r="L16" i="32" s="1"/>
  <c r="M12" i="14"/>
  <c r="R13" i="32" s="1"/>
  <c r="R16" i="32" s="1"/>
  <c r="J12" i="14"/>
  <c r="O13" i="32" s="1"/>
  <c r="O16" i="32" s="1"/>
  <c r="O12" i="14"/>
  <c r="T13" i="32" s="1"/>
  <c r="T16" i="32" s="1"/>
  <c r="F12" i="14"/>
  <c r="K13" i="32" s="1"/>
  <c r="K16" i="32" s="1"/>
  <c r="E37" i="14"/>
  <c r="J13" i="33" s="1"/>
  <c r="L12" i="14"/>
  <c r="Q13" i="32" s="1"/>
  <c r="Q16" i="32" s="1"/>
  <c r="G25" i="14"/>
  <c r="F34" i="14"/>
  <c r="G23" i="14"/>
  <c r="F32" i="14"/>
  <c r="N33" i="14"/>
  <c r="N12" i="14"/>
  <c r="S13" i="32" s="1"/>
  <c r="S16" i="32" s="1"/>
  <c r="I22" i="14"/>
  <c r="H31" i="14"/>
  <c r="G26" i="14"/>
  <c r="F35" i="14"/>
  <c r="G22" i="15"/>
  <c r="F29" i="15"/>
  <c r="G21" i="14"/>
  <c r="F30" i="14"/>
  <c r="G27" i="14"/>
  <c r="F36" i="14"/>
  <c r="H18" i="33"/>
  <c r="H21" i="33" s="1"/>
  <c r="T21" i="33"/>
  <c r="G23" i="15"/>
  <c r="F30" i="15"/>
  <c r="K33" i="14"/>
  <c r="K12" i="14"/>
  <c r="P13" i="32" s="1"/>
  <c r="P16" i="32" s="1"/>
  <c r="E24" i="12"/>
  <c r="J12" i="33" s="1"/>
  <c r="G17" i="12"/>
  <c r="F23" i="12"/>
  <c r="G15" i="12"/>
  <c r="F21" i="12"/>
  <c r="G19" i="15"/>
  <c r="F26" i="15"/>
  <c r="G20" i="15"/>
  <c r="F27" i="15"/>
  <c r="E31" i="15"/>
  <c r="J14" i="33" s="1"/>
  <c r="E12" i="14"/>
  <c r="J13" i="32" s="1"/>
  <c r="J16" i="32" s="1"/>
  <c r="G14" i="12"/>
  <c r="F20" i="12"/>
  <c r="G16" i="12"/>
  <c r="F22" i="12"/>
  <c r="D37" i="14"/>
  <c r="I13" i="33" s="1"/>
  <c r="C11" i="14"/>
  <c r="C12" i="14" s="1"/>
  <c r="D12" i="14"/>
  <c r="I13" i="32" s="1"/>
  <c r="H12" i="32"/>
  <c r="D27" i="12"/>
  <c r="I12" i="33"/>
  <c r="D34" i="15"/>
  <c r="F19" i="32"/>
  <c r="D19" i="32" s="1"/>
  <c r="F19" i="33"/>
  <c r="D19" i="33" s="1"/>
  <c r="F15" i="32"/>
  <c r="D15" i="32" s="1"/>
  <c r="F15" i="33"/>
  <c r="D15" i="33" s="1"/>
  <c r="H13" i="32" l="1"/>
  <c r="F24" i="12"/>
  <c r="F31" i="15"/>
  <c r="K14" i="33" s="1"/>
  <c r="E40" i="14"/>
  <c r="E27" i="12"/>
  <c r="F37" i="14"/>
  <c r="F40" i="14" s="1"/>
  <c r="H16" i="12"/>
  <c r="G22" i="12"/>
  <c r="H19" i="15"/>
  <c r="G26" i="15"/>
  <c r="H17" i="12"/>
  <c r="G23" i="12"/>
  <c r="H21" i="14"/>
  <c r="G30" i="14"/>
  <c r="H26" i="14"/>
  <c r="G35" i="14"/>
  <c r="H25" i="14"/>
  <c r="G34" i="14"/>
  <c r="H14" i="12"/>
  <c r="G20" i="12"/>
  <c r="H20" i="15"/>
  <c r="G27" i="15"/>
  <c r="H15" i="12"/>
  <c r="G21" i="12"/>
  <c r="H23" i="15"/>
  <c r="G30" i="15"/>
  <c r="H27" i="14"/>
  <c r="G36" i="14"/>
  <c r="H22" i="15"/>
  <c r="G29" i="15"/>
  <c r="J22" i="14"/>
  <c r="I31" i="14"/>
  <c r="H23" i="14"/>
  <c r="G32" i="14"/>
  <c r="D40" i="14"/>
  <c r="I16" i="32"/>
  <c r="H16" i="32"/>
  <c r="E34" i="15"/>
  <c r="F26" i="32"/>
  <c r="D26" i="32" s="1"/>
  <c r="F26" i="33"/>
  <c r="D26" i="33" s="1"/>
  <c r="I16" i="33"/>
  <c r="F10" i="32"/>
  <c r="D10" i="32" s="1"/>
  <c r="K13" i="33" l="1"/>
  <c r="F27" i="12"/>
  <c r="K12" i="33"/>
  <c r="G24" i="12"/>
  <c r="K22" i="14"/>
  <c r="J31" i="14"/>
  <c r="I27" i="14"/>
  <c r="H36" i="14"/>
  <c r="I15" i="12"/>
  <c r="H21" i="12"/>
  <c r="I14" i="12"/>
  <c r="H20" i="12"/>
  <c r="I26" i="14"/>
  <c r="H35" i="14"/>
  <c r="I17" i="12"/>
  <c r="H23" i="12"/>
  <c r="I16" i="12"/>
  <c r="H22" i="12"/>
  <c r="G37" i="14"/>
  <c r="L13" i="33" s="1"/>
  <c r="G31" i="15"/>
  <c r="L14" i="33" s="1"/>
  <c r="I23" i="14"/>
  <c r="H32" i="14"/>
  <c r="I22" i="15"/>
  <c r="H29" i="15"/>
  <c r="I23" i="15"/>
  <c r="H30" i="15"/>
  <c r="I20" i="15"/>
  <c r="H27" i="15"/>
  <c r="I25" i="14"/>
  <c r="H34" i="14"/>
  <c r="I21" i="14"/>
  <c r="H30" i="14"/>
  <c r="I19" i="15"/>
  <c r="H26" i="15"/>
  <c r="G27" i="32"/>
  <c r="F25" i="32"/>
  <c r="J16" i="33"/>
  <c r="G27" i="33"/>
  <c r="F25" i="33"/>
  <c r="F35" i="33"/>
  <c r="D35" i="33" s="1"/>
  <c r="F35" i="32"/>
  <c r="D35" i="32" s="1"/>
  <c r="F34" i="15"/>
  <c r="F20" i="32"/>
  <c r="D20" i="32" s="1"/>
  <c r="G40" i="14" l="1"/>
  <c r="H37" i="14"/>
  <c r="H40" i="14" s="1"/>
  <c r="H31" i="15"/>
  <c r="M14" i="33" s="1"/>
  <c r="J25" i="14"/>
  <c r="I34" i="14"/>
  <c r="J23" i="15"/>
  <c r="I30" i="15"/>
  <c r="J16" i="12"/>
  <c r="I22" i="12"/>
  <c r="J15" i="12"/>
  <c r="I21" i="12"/>
  <c r="J21" i="14"/>
  <c r="I30" i="14"/>
  <c r="J17" i="12"/>
  <c r="I23" i="12"/>
  <c r="J14" i="12"/>
  <c r="I20" i="12"/>
  <c r="J27" i="14"/>
  <c r="I36" i="14"/>
  <c r="J19" i="15"/>
  <c r="I26" i="15"/>
  <c r="J23" i="14"/>
  <c r="I32" i="14"/>
  <c r="J26" i="14"/>
  <c r="I35" i="14"/>
  <c r="L22" i="14"/>
  <c r="K31" i="14"/>
  <c r="H24" i="12"/>
  <c r="J20" i="15"/>
  <c r="I27" i="15"/>
  <c r="J22" i="15"/>
  <c r="I29" i="15"/>
  <c r="G27" i="12"/>
  <c r="L12" i="33"/>
  <c r="F29" i="32"/>
  <c r="D29" i="32" s="1"/>
  <c r="F27" i="32"/>
  <c r="D25" i="32"/>
  <c r="K16" i="33"/>
  <c r="D25" i="33"/>
  <c r="F27" i="33"/>
  <c r="G34" i="15"/>
  <c r="F20" i="33"/>
  <c r="M13" i="33" l="1"/>
  <c r="I24" i="12"/>
  <c r="I27" i="12" s="1"/>
  <c r="M22" i="14"/>
  <c r="L31" i="14"/>
  <c r="K23" i="14"/>
  <c r="J32" i="14"/>
  <c r="K27" i="14"/>
  <c r="J36" i="14"/>
  <c r="K17" i="12"/>
  <c r="J23" i="12"/>
  <c r="K15" i="12"/>
  <c r="J21" i="12"/>
  <c r="K23" i="15"/>
  <c r="J30" i="15"/>
  <c r="K20" i="15"/>
  <c r="J27" i="15"/>
  <c r="I31" i="15"/>
  <c r="N14" i="33" s="1"/>
  <c r="N12" i="33"/>
  <c r="I37" i="14"/>
  <c r="N13" i="33" s="1"/>
  <c r="H27" i="12"/>
  <c r="M12" i="33"/>
  <c r="K26" i="14"/>
  <c r="J35" i="14"/>
  <c r="K19" i="15"/>
  <c r="J26" i="15"/>
  <c r="K14" i="12"/>
  <c r="J20" i="12"/>
  <c r="K21" i="14"/>
  <c r="J30" i="14"/>
  <c r="K16" i="12"/>
  <c r="J22" i="12"/>
  <c r="K25" i="14"/>
  <c r="J34" i="14"/>
  <c r="K22" i="15"/>
  <c r="J29" i="15"/>
  <c r="D27" i="32"/>
  <c r="L16" i="33"/>
  <c r="H34" i="15"/>
  <c r="I40" i="14"/>
  <c r="D20" i="33"/>
  <c r="D27" i="33"/>
  <c r="L20" i="15" l="1"/>
  <c r="K27" i="15"/>
  <c r="N22" i="14"/>
  <c r="M31" i="14"/>
  <c r="L19" i="15"/>
  <c r="K26" i="15"/>
  <c r="J37" i="14"/>
  <c r="J40" i="14" s="1"/>
  <c r="L15" i="12"/>
  <c r="K21" i="12"/>
  <c r="L27" i="14"/>
  <c r="K36" i="14"/>
  <c r="L25" i="14"/>
  <c r="K34" i="14"/>
  <c r="L21" i="14"/>
  <c r="K30" i="14"/>
  <c r="J24" i="12"/>
  <c r="L23" i="15"/>
  <c r="K30" i="15"/>
  <c r="L17" i="12"/>
  <c r="K23" i="12"/>
  <c r="L23" i="14"/>
  <c r="K32" i="14"/>
  <c r="L22" i="15"/>
  <c r="K29" i="15"/>
  <c r="L16" i="12"/>
  <c r="K22" i="12"/>
  <c r="L14" i="12"/>
  <c r="K20" i="12"/>
  <c r="L26" i="14"/>
  <c r="K35" i="14"/>
  <c r="J31" i="15"/>
  <c r="O14" i="33" s="1"/>
  <c r="M16" i="33"/>
  <c r="I34" i="15"/>
  <c r="M17" i="12" l="1"/>
  <c r="L23" i="12"/>
  <c r="K37" i="14"/>
  <c r="K40" i="14" s="1"/>
  <c r="O13" i="33"/>
  <c r="M26" i="14"/>
  <c r="L35" i="14"/>
  <c r="M16" i="12"/>
  <c r="L22" i="12"/>
  <c r="M21" i="14"/>
  <c r="L30" i="14"/>
  <c r="M27" i="14"/>
  <c r="L36" i="14"/>
  <c r="O22" i="14"/>
  <c r="O31" i="14" s="1"/>
  <c r="N31" i="14"/>
  <c r="K24" i="12"/>
  <c r="M23" i="14"/>
  <c r="L32" i="14"/>
  <c r="M23" i="15"/>
  <c r="L30" i="15"/>
  <c r="K31" i="15"/>
  <c r="P14" i="33" s="1"/>
  <c r="M14" i="12"/>
  <c r="L20" i="12"/>
  <c r="M22" i="15"/>
  <c r="L29" i="15"/>
  <c r="O12" i="33"/>
  <c r="J27" i="12"/>
  <c r="M25" i="14"/>
  <c r="L34" i="14"/>
  <c r="M15" i="12"/>
  <c r="L21" i="12"/>
  <c r="M19" i="15"/>
  <c r="L26" i="15"/>
  <c r="M20" i="15"/>
  <c r="L27" i="15"/>
  <c r="O33" i="32"/>
  <c r="O37" i="32" s="1"/>
  <c r="T33" i="32"/>
  <c r="T37" i="32" s="1"/>
  <c r="P33" i="32"/>
  <c r="P37" i="32" s="1"/>
  <c r="L33" i="32"/>
  <c r="L37" i="32" s="1"/>
  <c r="K33" i="32"/>
  <c r="K37" i="32" s="1"/>
  <c r="S33" i="32"/>
  <c r="S37" i="32" s="1"/>
  <c r="J34" i="15"/>
  <c r="N16" i="33"/>
  <c r="C33" i="14"/>
  <c r="P13" i="33" l="1"/>
  <c r="L31" i="15"/>
  <c r="Q14" i="33" s="1"/>
  <c r="N25" i="14"/>
  <c r="M34" i="14"/>
  <c r="N21" i="14"/>
  <c r="M30" i="14"/>
  <c r="N26" i="14"/>
  <c r="M35" i="14"/>
  <c r="N17" i="12"/>
  <c r="M23" i="12"/>
  <c r="L24" i="12"/>
  <c r="N20" i="15"/>
  <c r="M27" i="15"/>
  <c r="N15" i="12"/>
  <c r="M21" i="12"/>
  <c r="N14" i="12"/>
  <c r="M20" i="12"/>
  <c r="N23" i="15"/>
  <c r="M30" i="15"/>
  <c r="P12" i="33"/>
  <c r="K27" i="12"/>
  <c r="N27" i="14"/>
  <c r="M36" i="14"/>
  <c r="N16" i="12"/>
  <c r="M22" i="12"/>
  <c r="N19" i="15"/>
  <c r="M26" i="15"/>
  <c r="N22" i="15"/>
  <c r="M29" i="15"/>
  <c r="N23" i="14"/>
  <c r="M32" i="14"/>
  <c r="L37" i="14"/>
  <c r="L40" i="14" s="1"/>
  <c r="M33" i="32"/>
  <c r="M37" i="32" s="1"/>
  <c r="N33" i="32"/>
  <c r="N37" i="32" s="1"/>
  <c r="Q33" i="32"/>
  <c r="Q37" i="32" s="1"/>
  <c r="I33" i="32"/>
  <c r="I37" i="32" s="1"/>
  <c r="R33" i="32"/>
  <c r="R37" i="32" s="1"/>
  <c r="J33" i="32"/>
  <c r="J37" i="32" s="1"/>
  <c r="K34" i="15"/>
  <c r="Q13" i="33"/>
  <c r="O16" i="33"/>
  <c r="M31" i="15" l="1"/>
  <c r="R14" i="33" s="1"/>
  <c r="O22" i="15"/>
  <c r="O29" i="15" s="1"/>
  <c r="N29" i="15"/>
  <c r="O16" i="12"/>
  <c r="O22" i="12" s="1"/>
  <c r="N22" i="12"/>
  <c r="O14" i="12"/>
  <c r="O20" i="12" s="1"/>
  <c r="N20" i="12"/>
  <c r="O20" i="15"/>
  <c r="O27" i="15" s="1"/>
  <c r="N27" i="15"/>
  <c r="L27" i="12"/>
  <c r="Q12" i="33"/>
  <c r="O26" i="14"/>
  <c r="O35" i="14" s="1"/>
  <c r="N35" i="14"/>
  <c r="O25" i="14"/>
  <c r="O34" i="14" s="1"/>
  <c r="N34" i="14"/>
  <c r="O23" i="14"/>
  <c r="O32" i="14" s="1"/>
  <c r="N32" i="14"/>
  <c r="O19" i="15"/>
  <c r="O26" i="15" s="1"/>
  <c r="N26" i="15"/>
  <c r="O27" i="14"/>
  <c r="O36" i="14" s="1"/>
  <c r="N36" i="14"/>
  <c r="O23" i="15"/>
  <c r="O30" i="15" s="1"/>
  <c r="N30" i="15"/>
  <c r="O15" i="12"/>
  <c r="O21" i="12" s="1"/>
  <c r="N21" i="12"/>
  <c r="M37" i="14"/>
  <c r="M40" i="14" s="1"/>
  <c r="M24" i="12"/>
  <c r="O17" i="12"/>
  <c r="O23" i="12" s="1"/>
  <c r="N23" i="12"/>
  <c r="O21" i="14"/>
  <c r="O30" i="14" s="1"/>
  <c r="N30" i="14"/>
  <c r="L34" i="15"/>
  <c r="P16" i="33"/>
  <c r="C31" i="14"/>
  <c r="O37" i="14" l="1"/>
  <c r="T13" i="33" s="1"/>
  <c r="C34" i="14"/>
  <c r="C35" i="14"/>
  <c r="R13" i="33"/>
  <c r="C36" i="14"/>
  <c r="C32" i="14"/>
  <c r="N31" i="15"/>
  <c r="S14" i="33" s="1"/>
  <c r="C22" i="12"/>
  <c r="O31" i="15"/>
  <c r="T14" i="33" s="1"/>
  <c r="O24" i="12"/>
  <c r="C20" i="12"/>
  <c r="C23" i="12"/>
  <c r="C21" i="12"/>
  <c r="N37" i="14"/>
  <c r="N40" i="14" s="1"/>
  <c r="C30" i="14"/>
  <c r="M27" i="12"/>
  <c r="R12" i="33"/>
  <c r="N24" i="12"/>
  <c r="H33" i="32"/>
  <c r="H37" i="32" s="1"/>
  <c r="F8" i="32"/>
  <c r="M34" i="15"/>
  <c r="Q16" i="33"/>
  <c r="C26" i="15"/>
  <c r="C29" i="15"/>
  <c r="C30" i="15"/>
  <c r="C28" i="15"/>
  <c r="O40" i="14" l="1"/>
  <c r="C37" i="14"/>
  <c r="S13" i="33"/>
  <c r="H13" i="33" s="1"/>
  <c r="N27" i="12"/>
  <c r="S12" i="33"/>
  <c r="C24" i="12"/>
  <c r="T12" i="33"/>
  <c r="O27" i="12"/>
  <c r="D8" i="32"/>
  <c r="R16" i="33"/>
  <c r="N34" i="15"/>
  <c r="C27" i="15"/>
  <c r="C31" i="15" s="1"/>
  <c r="H12" i="33" l="1"/>
  <c r="S16" i="33"/>
  <c r="O34" i="15"/>
  <c r="H14" i="33" l="1"/>
  <c r="T16" i="33"/>
  <c r="H16" i="33" l="1"/>
  <c r="F29" i="33" l="1"/>
  <c r="D29" i="33" s="1"/>
  <c r="D60" i="23" l="1"/>
  <c r="D56" i="23"/>
  <c r="D57" i="23"/>
  <c r="D59" i="23"/>
  <c r="D58" i="23"/>
  <c r="C41" i="23" l="1"/>
  <c r="G23" i="32" s="1"/>
  <c r="F23" i="32" s="1"/>
  <c r="D23" i="32" s="1"/>
  <c r="D61" i="23"/>
  <c r="D62" i="23" s="1"/>
  <c r="D26" i="12"/>
  <c r="G56" i="23"/>
  <c r="G59" i="23"/>
  <c r="G33" i="19" s="1"/>
  <c r="G35" i="19" s="1"/>
  <c r="G58" i="23"/>
  <c r="G33" i="15" s="1"/>
  <c r="G35" i="15" s="1"/>
  <c r="G57" i="23"/>
  <c r="G39" i="14" s="1"/>
  <c r="G41" i="14" s="1"/>
  <c r="G60" i="23"/>
  <c r="G21" i="28" s="1"/>
  <c r="G23" i="28" s="1"/>
  <c r="H59" i="23"/>
  <c r="H33" i="19" s="1"/>
  <c r="H35" i="19" s="1"/>
  <c r="H60" i="23"/>
  <c r="H21" i="28" s="1"/>
  <c r="H23" i="28" s="1"/>
  <c r="H56" i="23"/>
  <c r="H58" i="23"/>
  <c r="H33" i="15" s="1"/>
  <c r="H35" i="15" s="1"/>
  <c r="H57" i="23"/>
  <c r="H39" i="14" s="1"/>
  <c r="H41" i="14" s="1"/>
  <c r="O59" i="23"/>
  <c r="O33" i="19" s="1"/>
  <c r="O35" i="19" s="1"/>
  <c r="O58" i="23"/>
  <c r="O33" i="15" s="1"/>
  <c r="O35" i="15" s="1"/>
  <c r="O57" i="23"/>
  <c r="O39" i="14" s="1"/>
  <c r="O41" i="14" s="1"/>
  <c r="O56" i="23"/>
  <c r="O60" i="23"/>
  <c r="O21" i="28" s="1"/>
  <c r="O23" i="28" s="1"/>
  <c r="E56" i="23"/>
  <c r="E58" i="23"/>
  <c r="E33" i="15" s="1"/>
  <c r="E35" i="15" s="1"/>
  <c r="E57" i="23"/>
  <c r="E39" i="14" s="1"/>
  <c r="E41" i="14" s="1"/>
  <c r="E60" i="23"/>
  <c r="E21" i="28" s="1"/>
  <c r="E23" i="28" s="1"/>
  <c r="E59" i="23"/>
  <c r="E33" i="19" s="1"/>
  <c r="E35" i="19" s="1"/>
  <c r="D33" i="15"/>
  <c r="D21" i="28"/>
  <c r="D33" i="19"/>
  <c r="L56" i="23"/>
  <c r="L60" i="23"/>
  <c r="L21" i="28" s="1"/>
  <c r="L23" i="28" s="1"/>
  <c r="L58" i="23"/>
  <c r="L33" i="15" s="1"/>
  <c r="L35" i="15" s="1"/>
  <c r="L59" i="23"/>
  <c r="L33" i="19" s="1"/>
  <c r="L35" i="19" s="1"/>
  <c r="L57" i="23"/>
  <c r="L39" i="14" s="1"/>
  <c r="L41" i="14" s="1"/>
  <c r="N56" i="23"/>
  <c r="N58" i="23"/>
  <c r="N33" i="15" s="1"/>
  <c r="N35" i="15" s="1"/>
  <c r="N59" i="23"/>
  <c r="N33" i="19" s="1"/>
  <c r="N35" i="19" s="1"/>
  <c r="N57" i="23"/>
  <c r="N39" i="14" s="1"/>
  <c r="N41" i="14" s="1"/>
  <c r="N60" i="23"/>
  <c r="N21" i="28" s="1"/>
  <c r="N23" i="28" s="1"/>
  <c r="I60" i="23"/>
  <c r="I21" i="28" s="1"/>
  <c r="I23" i="28" s="1"/>
  <c r="I57" i="23"/>
  <c r="I39" i="14" s="1"/>
  <c r="I41" i="14" s="1"/>
  <c r="I56" i="23"/>
  <c r="I59" i="23"/>
  <c r="I33" i="19" s="1"/>
  <c r="I35" i="19" s="1"/>
  <c r="I58" i="23"/>
  <c r="I33" i="15" s="1"/>
  <c r="I35" i="15" s="1"/>
  <c r="K59" i="23"/>
  <c r="K33" i="19" s="1"/>
  <c r="K35" i="19" s="1"/>
  <c r="K58" i="23"/>
  <c r="K33" i="15" s="1"/>
  <c r="K35" i="15" s="1"/>
  <c r="K57" i="23"/>
  <c r="K39" i="14" s="1"/>
  <c r="K41" i="14" s="1"/>
  <c r="K56" i="23"/>
  <c r="K60" i="23"/>
  <c r="K21" i="28" s="1"/>
  <c r="K23" i="28" s="1"/>
  <c r="M60" i="23"/>
  <c r="M21" i="28" s="1"/>
  <c r="M23" i="28" s="1"/>
  <c r="M57" i="23"/>
  <c r="M39" i="14" s="1"/>
  <c r="M41" i="14" s="1"/>
  <c r="M56" i="23"/>
  <c r="M58" i="23"/>
  <c r="M33" i="15" s="1"/>
  <c r="M35" i="15" s="1"/>
  <c r="M59" i="23"/>
  <c r="M33" i="19" s="1"/>
  <c r="M35" i="19" s="1"/>
  <c r="F60" i="23"/>
  <c r="F21" i="28" s="1"/>
  <c r="F23" i="28" s="1"/>
  <c r="F56" i="23"/>
  <c r="F57" i="23"/>
  <c r="F39" i="14" s="1"/>
  <c r="F41" i="14" s="1"/>
  <c r="F59" i="23"/>
  <c r="F33" i="19" s="1"/>
  <c r="F35" i="19" s="1"/>
  <c r="F58" i="23"/>
  <c r="F33" i="15" s="1"/>
  <c r="F35" i="15" s="1"/>
  <c r="J56" i="23"/>
  <c r="J57" i="23"/>
  <c r="J39" i="14" s="1"/>
  <c r="J41" i="14" s="1"/>
  <c r="J58" i="23"/>
  <c r="J33" i="15" s="1"/>
  <c r="J35" i="15" s="1"/>
  <c r="J60" i="23"/>
  <c r="J21" i="28" s="1"/>
  <c r="J23" i="28" s="1"/>
  <c r="J59" i="23"/>
  <c r="J33" i="19" s="1"/>
  <c r="J35" i="19" s="1"/>
  <c r="D39" i="14"/>
  <c r="C56" i="23" l="1"/>
  <c r="K61" i="23"/>
  <c r="K62" i="23" s="1"/>
  <c r="K26" i="12"/>
  <c r="K28" i="12" s="1"/>
  <c r="I26" i="12"/>
  <c r="I28" i="12" s="1"/>
  <c r="I61" i="23"/>
  <c r="I62" i="23" s="1"/>
  <c r="N26" i="12"/>
  <c r="N28" i="12" s="1"/>
  <c r="N61" i="23"/>
  <c r="N62" i="23" s="1"/>
  <c r="C33" i="19"/>
  <c r="G18" i="32" s="1"/>
  <c r="D35" i="19"/>
  <c r="C35" i="19" s="1"/>
  <c r="G18" i="33" s="1"/>
  <c r="C33" i="15"/>
  <c r="G14" i="32" s="1"/>
  <c r="F14" i="32" s="1"/>
  <c r="D14" i="32" s="1"/>
  <c r="D35" i="15"/>
  <c r="C35" i="15" s="1"/>
  <c r="G14" i="33" s="1"/>
  <c r="F14" i="33" s="1"/>
  <c r="D14" i="33" s="1"/>
  <c r="O61" i="23"/>
  <c r="O62" i="23" s="1"/>
  <c r="O26" i="12"/>
  <c r="O28" i="12" s="1"/>
  <c r="C57" i="23"/>
  <c r="J26" i="12"/>
  <c r="J28" i="12" s="1"/>
  <c r="J61" i="23"/>
  <c r="J62" i="23" s="1"/>
  <c r="C60" i="23"/>
  <c r="D28" i="12"/>
  <c r="C39" i="14"/>
  <c r="G13" i="32" s="1"/>
  <c r="F13" i="32" s="1"/>
  <c r="D13" i="32" s="1"/>
  <c r="D41" i="14"/>
  <c r="C41" i="14" s="1"/>
  <c r="G13" i="33" s="1"/>
  <c r="F13" i="33" s="1"/>
  <c r="D13" i="33" s="1"/>
  <c r="F61" i="23"/>
  <c r="F62" i="23" s="1"/>
  <c r="F26" i="12"/>
  <c r="F28" i="12" s="1"/>
  <c r="L26" i="12"/>
  <c r="L28" i="12" s="1"/>
  <c r="L61" i="23"/>
  <c r="L62" i="23" s="1"/>
  <c r="C21" i="28"/>
  <c r="G31" i="32" s="1"/>
  <c r="F31" i="32" s="1"/>
  <c r="D31" i="32" s="1"/>
  <c r="D23" i="28"/>
  <c r="C23" i="28" s="1"/>
  <c r="G31" i="33" s="1"/>
  <c r="F31" i="33" s="1"/>
  <c r="D31" i="33" s="1"/>
  <c r="E26" i="12"/>
  <c r="E28" i="12" s="1"/>
  <c r="E61" i="23"/>
  <c r="E62" i="23" s="1"/>
  <c r="M26" i="12"/>
  <c r="M28" i="12" s="1"/>
  <c r="M61" i="23"/>
  <c r="M62" i="23" s="1"/>
  <c r="C59" i="23"/>
  <c r="C58" i="23"/>
  <c r="H61" i="23"/>
  <c r="H62" i="23" s="1"/>
  <c r="H26" i="12"/>
  <c r="H28" i="12" s="1"/>
  <c r="G26" i="12"/>
  <c r="G28" i="12" s="1"/>
  <c r="G61" i="23"/>
  <c r="G62" i="23" s="1"/>
  <c r="C61" i="23" l="1"/>
  <c r="C28" i="12"/>
  <c r="G12" i="33" s="1"/>
  <c r="C26" i="12"/>
  <c r="G12" i="32" s="1"/>
  <c r="F18" i="33"/>
  <c r="G21" i="33"/>
  <c r="F18" i="32"/>
  <c r="G21" i="32"/>
  <c r="G16" i="32" l="1"/>
  <c r="G33" i="32" s="1"/>
  <c r="G37" i="32" s="1"/>
  <c r="F12" i="32"/>
  <c r="F12" i="33"/>
  <c r="G16" i="33"/>
  <c r="D18" i="32"/>
  <c r="F21" i="32"/>
  <c r="D18" i="33"/>
  <c r="F21" i="33"/>
  <c r="D21" i="33" l="1"/>
  <c r="D12" i="33"/>
  <c r="F16" i="33"/>
  <c r="D21" i="32"/>
  <c r="F16" i="32"/>
  <c r="F33" i="32" s="1"/>
  <c r="F37" i="32" s="1"/>
  <c r="D12" i="32"/>
  <c r="D16" i="32" l="1"/>
  <c r="D33" i="32" s="1"/>
  <c r="D37" i="32" s="1"/>
  <c r="D16" i="33"/>
  <c r="E25" i="23" l="1"/>
  <c r="F25" i="23" s="1"/>
  <c r="G25" i="23" s="1"/>
  <c r="H25" i="23" s="1"/>
  <c r="I25" i="23" s="1"/>
  <c r="J25" i="23" s="1"/>
  <c r="K25" i="23" s="1"/>
  <c r="L25" i="23" s="1"/>
  <c r="M25" i="23" s="1"/>
  <c r="N25" i="23" s="1"/>
  <c r="O25" i="23" s="1"/>
  <c r="E31" i="23"/>
  <c r="F31" i="23" s="1"/>
  <c r="G31" i="23" s="1"/>
  <c r="H31" i="23" s="1"/>
  <c r="I31" i="23" s="1"/>
  <c r="J31" i="23" s="1"/>
  <c r="K31" i="23" s="1"/>
  <c r="L31" i="23" s="1"/>
  <c r="M31" i="23" s="1"/>
  <c r="N31" i="23" s="1"/>
  <c r="O31" i="23" s="1"/>
  <c r="E27" i="23"/>
  <c r="F27" i="23" s="1"/>
  <c r="G27" i="23" s="1"/>
  <c r="H27" i="23" s="1"/>
  <c r="I27" i="23" s="1"/>
  <c r="J27" i="23" s="1"/>
  <c r="K27" i="23" s="1"/>
  <c r="L27" i="23" s="1"/>
  <c r="M27" i="23" s="1"/>
  <c r="N27" i="23" s="1"/>
  <c r="O27" i="23" s="1"/>
  <c r="E23" i="23" l="1"/>
  <c r="E29" i="23"/>
  <c r="F29" i="23" s="1"/>
  <c r="G29" i="23" s="1"/>
  <c r="H29" i="23" s="1"/>
  <c r="I29" i="23" s="1"/>
  <c r="J29" i="23" s="1"/>
  <c r="K29" i="23" s="1"/>
  <c r="L29" i="23" s="1"/>
  <c r="M29" i="23" s="1"/>
  <c r="N29" i="23" s="1"/>
  <c r="O29" i="23" s="1"/>
  <c r="E24" i="23"/>
  <c r="F24" i="23" s="1"/>
  <c r="G24" i="23" s="1"/>
  <c r="H24" i="23" s="1"/>
  <c r="I24" i="23" s="1"/>
  <c r="J24" i="23" s="1"/>
  <c r="K24" i="23" s="1"/>
  <c r="L24" i="23" s="1"/>
  <c r="M24" i="23" s="1"/>
  <c r="N24" i="23" s="1"/>
  <c r="O24" i="23" s="1"/>
  <c r="E34" i="23" l="1"/>
  <c r="F23" i="23"/>
  <c r="E26" i="23"/>
  <c r="D35" i="23"/>
  <c r="E30" i="23"/>
  <c r="D37" i="23"/>
  <c r="D36" i="23"/>
  <c r="E28" i="23"/>
  <c r="D34" i="23"/>
  <c r="E36" i="23" l="1"/>
  <c r="F28" i="23"/>
  <c r="E35" i="23"/>
  <c r="F26" i="23"/>
  <c r="D39" i="23"/>
  <c r="G23" i="23"/>
  <c r="F34" i="23"/>
  <c r="F30" i="23"/>
  <c r="E37" i="23"/>
  <c r="G34" i="23" l="1"/>
  <c r="H23" i="23"/>
  <c r="E39" i="23"/>
  <c r="F37" i="23"/>
  <c r="G30" i="23"/>
  <c r="I23" i="33"/>
  <c r="D42" i="23"/>
  <c r="D43" i="23" s="1"/>
  <c r="G28" i="23"/>
  <c r="F36" i="23"/>
  <c r="G26" i="23"/>
  <c r="F35" i="23"/>
  <c r="F39" i="23" l="1"/>
  <c r="F42" i="23" s="1"/>
  <c r="F43" i="23" s="1"/>
  <c r="J23" i="33"/>
  <c r="J33" i="33" s="1"/>
  <c r="J37" i="33" s="1"/>
  <c r="E42" i="23"/>
  <c r="E43" i="23" s="1"/>
  <c r="G36" i="23"/>
  <c r="H28" i="23"/>
  <c r="G37" i="23"/>
  <c r="H30" i="23"/>
  <c r="I33" i="33"/>
  <c r="I37" i="33" s="1"/>
  <c r="I23" i="23"/>
  <c r="H34" i="23"/>
  <c r="G35" i="23"/>
  <c r="H26" i="23"/>
  <c r="K23" i="33" l="1"/>
  <c r="K33" i="33" s="1"/>
  <c r="K37" i="33" s="1"/>
  <c r="H36" i="23"/>
  <c r="I28" i="23"/>
  <c r="J23" i="23"/>
  <c r="I34" i="23"/>
  <c r="G39" i="23"/>
  <c r="I26" i="23"/>
  <c r="H35" i="23"/>
  <c r="H37" i="23"/>
  <c r="I30" i="23"/>
  <c r="H39" i="23" l="1"/>
  <c r="M23" i="33" s="1"/>
  <c r="M33" i="33" s="1"/>
  <c r="M37" i="33" s="1"/>
  <c r="G42" i="23"/>
  <c r="G43" i="23" s="1"/>
  <c r="L23" i="33"/>
  <c r="J34" i="23"/>
  <c r="K23" i="23"/>
  <c r="I37" i="23"/>
  <c r="J30" i="23"/>
  <c r="J26" i="23"/>
  <c r="I35" i="23"/>
  <c r="J28" i="23"/>
  <c r="I36" i="23"/>
  <c r="H42" i="23" l="1"/>
  <c r="H43" i="23" s="1"/>
  <c r="J35" i="23"/>
  <c r="K26" i="23"/>
  <c r="K30" i="23"/>
  <c r="J37" i="23"/>
  <c r="L33" i="33"/>
  <c r="L37" i="33" s="1"/>
  <c r="J36" i="23"/>
  <c r="K28" i="23"/>
  <c r="I39" i="23"/>
  <c r="K34" i="23"/>
  <c r="L23" i="23"/>
  <c r="J39" i="23" l="1"/>
  <c r="J42" i="23" s="1"/>
  <c r="J43" i="23" s="1"/>
  <c r="I42" i="23"/>
  <c r="I43" i="23" s="1"/>
  <c r="N23" i="33"/>
  <c r="L34" i="23"/>
  <c r="M23" i="23"/>
  <c r="L30" i="23"/>
  <c r="K37" i="23"/>
  <c r="L26" i="23"/>
  <c r="K35" i="23"/>
  <c r="L28" i="23"/>
  <c r="K36" i="23"/>
  <c r="O23" i="33" l="1"/>
  <c r="O33" i="33" s="1"/>
  <c r="O37" i="33" s="1"/>
  <c r="K39" i="23"/>
  <c r="K42" i="23" s="1"/>
  <c r="K43" i="23" s="1"/>
  <c r="M28" i="23"/>
  <c r="L36" i="23"/>
  <c r="N33" i="33"/>
  <c r="N37" i="33" s="1"/>
  <c r="M30" i="23"/>
  <c r="L37" i="23"/>
  <c r="L35" i="23"/>
  <c r="M26" i="23"/>
  <c r="M34" i="23"/>
  <c r="N23" i="23"/>
  <c r="P23" i="33" l="1"/>
  <c r="P33" i="33" s="1"/>
  <c r="P37" i="33" s="1"/>
  <c r="L39" i="23"/>
  <c r="Q23" i="33" s="1"/>
  <c r="O23" i="23"/>
  <c r="O34" i="23" s="1"/>
  <c r="N34" i="23"/>
  <c r="M37" i="23"/>
  <c r="N30" i="23"/>
  <c r="N28" i="23"/>
  <c r="M36" i="23"/>
  <c r="M35" i="23"/>
  <c r="N26" i="23"/>
  <c r="L42" i="23" l="1"/>
  <c r="L43" i="23" s="1"/>
  <c r="M39" i="23"/>
  <c r="M42" i="23" s="1"/>
  <c r="M43" i="23" s="1"/>
  <c r="N36" i="23"/>
  <c r="O28" i="23"/>
  <c r="O36" i="23" s="1"/>
  <c r="N35" i="23"/>
  <c r="O26" i="23"/>
  <c r="O35" i="23" s="1"/>
  <c r="Q33" i="33"/>
  <c r="Q37" i="33" s="1"/>
  <c r="O30" i="23"/>
  <c r="O37" i="23" s="1"/>
  <c r="N37" i="23"/>
  <c r="C34" i="23"/>
  <c r="C35" i="23" l="1"/>
  <c r="R23" i="33"/>
  <c r="R33" i="33" s="1"/>
  <c r="R37" i="33" s="1"/>
  <c r="C36" i="23"/>
  <c r="O39" i="23"/>
  <c r="O42" i="23" s="1"/>
  <c r="O43" i="23" s="1"/>
  <c r="C37" i="23"/>
  <c r="N39" i="23"/>
  <c r="S23" i="33" s="1"/>
  <c r="S33" i="33" s="1"/>
  <c r="S37" i="33" s="1"/>
  <c r="T23" i="33" l="1"/>
  <c r="H23" i="33" s="1"/>
  <c r="H33" i="33" s="1"/>
  <c r="H37" i="33" s="1"/>
  <c r="C39" i="23"/>
  <c r="N42" i="23"/>
  <c r="N43" i="23" s="1"/>
  <c r="C43" i="23" s="1"/>
  <c r="G23" i="33" s="1"/>
  <c r="G33" i="33" s="1"/>
  <c r="G37" i="33" s="1"/>
  <c r="T33" i="33" l="1"/>
  <c r="T37" i="33" s="1"/>
  <c r="F23" i="33"/>
  <c r="D23" i="33" l="1"/>
  <c r="F33" i="33"/>
  <c r="F37" i="33" s="1"/>
  <c r="D33" i="33" l="1"/>
  <c r="D37" i="33" s="1"/>
</calcChain>
</file>

<file path=xl/sharedStrings.xml><?xml version="1.0" encoding="utf-8"?>
<sst xmlns="http://schemas.openxmlformats.org/spreadsheetml/2006/main" count="343" uniqueCount="166">
  <si>
    <t>Tariff</t>
  </si>
  <si>
    <t>Firm Resale</t>
  </si>
  <si>
    <t>7A</t>
  </si>
  <si>
    <t>Puget Sound Energy</t>
  </si>
  <si>
    <t>Line No.</t>
  </si>
  <si>
    <t>Description</t>
  </si>
  <si>
    <t>Check</t>
  </si>
  <si>
    <t>SAP</t>
  </si>
  <si>
    <t>Summary less Sch 129</t>
  </si>
  <si>
    <t>Summary</t>
  </si>
  <si>
    <t>Base</t>
  </si>
  <si>
    <t>Sch 129</t>
  </si>
  <si>
    <t>Sch 140</t>
  </si>
  <si>
    <t>Sch 141</t>
  </si>
  <si>
    <t>Sch 142</t>
  </si>
  <si>
    <t>Total Basic Charge Count</t>
  </si>
  <si>
    <t>Total kWh</t>
  </si>
  <si>
    <t>Estimated Proforma Base Revenue</t>
  </si>
  <si>
    <t>Basic Charge Revenue - 1 Phase</t>
  </si>
  <si>
    <t>Basic Charge Revenue - 3 Phase</t>
  </si>
  <si>
    <t>Change in Unbilled kWh</t>
  </si>
  <si>
    <t>$ / kwh</t>
  </si>
  <si>
    <t>Change in Unbilled Rev</t>
  </si>
  <si>
    <t>Residential</t>
  </si>
  <si>
    <t>Total Secondary Voltage</t>
  </si>
  <si>
    <t>Total Primary Voltage</t>
  </si>
  <si>
    <t>Total High Voltage</t>
  </si>
  <si>
    <t>50-59</t>
  </si>
  <si>
    <t>Rate Schedule</t>
  </si>
  <si>
    <t>Basic Charge Count - 1 Phase Eff 5-1-18</t>
  </si>
  <si>
    <t>Basic Charge Count - 3 Phase Eff 5-1-18</t>
  </si>
  <si>
    <t>kWh - Summer (Apr-Sep) kWh Eff 5-1-18</t>
  </si>
  <si>
    <t>Basic Charge - 1 Phase Eff 5-1-18</t>
  </si>
  <si>
    <t>Basic Charge - 3 Phase Eff 5-1-18</t>
  </si>
  <si>
    <t>kWh Charge - Summer (Apr-Sep) kWh Eff 5-1-18</t>
  </si>
  <si>
    <t>Energy Revenue - Winter kWh</t>
  </si>
  <si>
    <t>Energy Revenue - Summer kWh</t>
  </si>
  <si>
    <t>Total Sch 24 Estimated Proformed Revenue</t>
  </si>
  <si>
    <t>Winter</t>
  </si>
  <si>
    <t>kWh Charge - Winter (Oct-Mar) kWh Eff 5-1-18</t>
  </si>
  <si>
    <t>kWh - Winter (Oct-Mar) kWh Eff 5-1-18</t>
  </si>
  <si>
    <t>Total Basic Charge Count Eff 5-1-18</t>
  </si>
  <si>
    <t>kWh - Summer (Apr-Sep) First 20,000 kWh Eff 5-1-18</t>
  </si>
  <si>
    <t>kWh - All over 20,000 kWh Eff 7-1-13</t>
  </si>
  <si>
    <t>kW - Summer (Apr-Sep) Over 50 kW Eff 5-1-18</t>
  </si>
  <si>
    <t>Total kW</t>
  </si>
  <si>
    <t>Total kVarh Eff 5-1-18</t>
  </si>
  <si>
    <t>Total kVarh</t>
  </si>
  <si>
    <t>Basic Charge Eff 5-1-18</t>
  </si>
  <si>
    <t>Energy- Summer (Apr-Sep) First 20,000 kWh Eff 5-1-18</t>
  </si>
  <si>
    <t>Energy- All Over 20,000 kWh Eff 7-1-13</t>
  </si>
  <si>
    <t>Demand - Summer over 50 kW Eff 5-1-18</t>
  </si>
  <si>
    <t>Reactive Power Eff 5-1-18</t>
  </si>
  <si>
    <t xml:space="preserve">Basic Charge Revenue </t>
  </si>
  <si>
    <t>Energy Revenue - Winter First 20,000 kWh</t>
  </si>
  <si>
    <t>Energy Revenue - Summer First 20,000 kWh</t>
  </si>
  <si>
    <t>Energy Revenue -All Over 20,000 kWh</t>
  </si>
  <si>
    <t>Demand Revenue - Winter over 50 kW</t>
  </si>
  <si>
    <t>Demand Revenue - Summer over 50 kW</t>
  </si>
  <si>
    <t>Reactive Power Revenue</t>
  </si>
  <si>
    <t>Demand - Winter over 50 kW Eff 5-1-18</t>
  </si>
  <si>
    <t>kWh - Winter (Oct-Mar) First 20,000 kWh Eff 5-1-18</t>
  </si>
  <si>
    <t>kW - Winter (Oct-Mar) Over 50 kW Eff 5-1-18</t>
  </si>
  <si>
    <t>Energy - Winter (Oct-Mar) First 20,000 kWh Eff 5-1-18</t>
  </si>
  <si>
    <t>Total Sch 25 Estimated Proformed Revenue</t>
  </si>
  <si>
    <t>kWh Eff 5-1-18</t>
  </si>
  <si>
    <t>kWh - Secondary Service</t>
  </si>
  <si>
    <t>kW - Summer (Apr-Sep) - Secondary Eff 5-1-18</t>
  </si>
  <si>
    <t>Energy Eff 5-1-18</t>
  </si>
  <si>
    <t>Demand - Summer Eff 5-1-18</t>
  </si>
  <si>
    <t>Basic Charge Revenue  - Secondary Voltage</t>
  </si>
  <si>
    <t>Energy Revenue - Secondary Voltage</t>
  </si>
  <si>
    <t>Demand Revenue - Winter  - Secondary Voltage</t>
  </si>
  <si>
    <t>Demand Revenue - Summer - Secondary Voltage</t>
  </si>
  <si>
    <t>Total Sch 26 Estimated Proformed Revenue</t>
  </si>
  <si>
    <t>Prim Adj</t>
  </si>
  <si>
    <t>Basic Charge Revenue  - Primary Voltage</t>
  </si>
  <si>
    <t>Energy Revenue - Primary Voltage</t>
  </si>
  <si>
    <t>Demand Revenue - Winter  - Primary Voltage</t>
  </si>
  <si>
    <t>Demand Revenue - Summer - Primary Voltage</t>
  </si>
  <si>
    <t>Demand - Winter Eff 5-1-18</t>
  </si>
  <si>
    <t>kW - Winter (Oct-Mar) - Secondary Eff 5-1-18</t>
  </si>
  <si>
    <t>kWh - Primary Service</t>
  </si>
  <si>
    <t>kW - Summer (Apr-Sep) - Primary Eff 5-1-18</t>
  </si>
  <si>
    <t>Total Sch 31 Estimated Proformed Revenue</t>
  </si>
  <si>
    <t>kW - Winter (Oct-Mar) - Primary Eff 5-1-18</t>
  </si>
  <si>
    <t xml:space="preserve">Basic Charge Revenue  </t>
  </si>
  <si>
    <t xml:space="preserve">Energy Revenue </t>
  </si>
  <si>
    <t>Basic Charge Count - SV &lt; 350 kW Eff 5-1-18</t>
  </si>
  <si>
    <t>Basic Charge Count - SV &gt; 350 kW Eff 5-1-18</t>
  </si>
  <si>
    <t>Basic Charge Count - PV Eff 5-1-18</t>
  </si>
  <si>
    <t>Secondary kWh Eff 5-1-18</t>
  </si>
  <si>
    <t>Primary kWh Eff 5-1-18</t>
  </si>
  <si>
    <t>kW - Sec Voltage 12-19-17</t>
  </si>
  <si>
    <t>kW - Pri Voltage 12-1-17</t>
  </si>
  <si>
    <t>Secondary kVarh Eff 5-1-18</t>
  </si>
  <si>
    <t>Primary kVarh Eff 5-1-18</t>
  </si>
  <si>
    <t>Basic Charge - SV - kW &lt; 350 Eff 5-1-18</t>
  </si>
  <si>
    <t>Basic Charge - SV - kW &gt; 350 Eff 5-1-18</t>
  </si>
  <si>
    <t>Basic Charge - PV Eff 5-1-18</t>
  </si>
  <si>
    <t>Energy Charge - Sec Voltage Eff 5-1-18</t>
  </si>
  <si>
    <t>Energy Charge - Pri Voltage Eff 5-1-18</t>
  </si>
  <si>
    <t>Demand - SV Eff 12-19-17</t>
  </si>
  <si>
    <t>Demand - PV Eff 12-19-17</t>
  </si>
  <si>
    <t>Reactive Power - SV Eff 5-1-18</t>
  </si>
  <si>
    <t>Reactive Power - PV Eff 5-1-18</t>
  </si>
  <si>
    <t xml:space="preserve">Demand Revenue </t>
  </si>
  <si>
    <t>Distribution Revenue</t>
  </si>
  <si>
    <t>Total Sch 40 Estimated Proformed Revenue</t>
  </si>
  <si>
    <t>Campus</t>
  </si>
  <si>
    <t>Schedule 40</t>
  </si>
  <si>
    <t>Basic Charge Revenue</t>
  </si>
  <si>
    <t>OATT Revenue</t>
  </si>
  <si>
    <t>8 &amp; 24</t>
  </si>
  <si>
    <t>11 &amp; 25</t>
  </si>
  <si>
    <t>12, 26 &amp; 26P</t>
  </si>
  <si>
    <t>10 &amp; 31</t>
  </si>
  <si>
    <t>Total</t>
  </si>
  <si>
    <t>Estimated Proforma kWh</t>
  </si>
  <si>
    <t>Total Weather Adjusted Delivered Load</t>
  </si>
  <si>
    <t>Temperature Adjustment</t>
  </si>
  <si>
    <t>Annual Total</t>
  </si>
  <si>
    <t>Change in Unbilled</t>
  </si>
  <si>
    <t>Residential - Master Meter</t>
  </si>
  <si>
    <t>Base Tariff Rates</t>
  </si>
  <si>
    <t>Total Weather Adjusted Delivered Sales</t>
  </si>
  <si>
    <t>Total Delivered Sales</t>
  </si>
  <si>
    <t>Change in Unbilled Revenue</t>
  </si>
  <si>
    <t>PUGET SOUND ENERGY-ELECTRIC SYSTEM</t>
  </si>
  <si>
    <t xml:space="preserve">TEMPERATURE NORMALIZATION </t>
  </si>
  <si>
    <t>Revenue Adj</t>
  </si>
  <si>
    <t>Schedule 7</t>
  </si>
  <si>
    <t>Schedule 8, 24</t>
  </si>
  <si>
    <t>Schedule 7A, 11, 25</t>
  </si>
  <si>
    <t>Schedule 12, 26</t>
  </si>
  <si>
    <t>Schedule 29</t>
  </si>
  <si>
    <t>Schedule 10, 31</t>
  </si>
  <si>
    <t>Schedule 43</t>
  </si>
  <si>
    <t>Total Temp Adj</t>
  </si>
  <si>
    <t>kWh - Commission Basis</t>
  </si>
  <si>
    <t>Actual Rates in Effect</t>
  </si>
  <si>
    <t>End Step Base Rates</t>
  </si>
  <si>
    <t>FOR THE TWELVE MONTHS ENDED DECEMBER 2018</t>
  </si>
  <si>
    <t>Twelve Months ended December 2018</t>
  </si>
  <si>
    <t>Estimated Annualized Revenue</t>
  </si>
  <si>
    <t>449-459-MS-SC</t>
  </si>
  <si>
    <t>Schedule 40 Migration</t>
  </si>
  <si>
    <t>Tariff 24</t>
  </si>
  <si>
    <t>Tariff 25</t>
  </si>
  <si>
    <t>Tariff 26</t>
  </si>
  <si>
    <t>Tariff 40</t>
  </si>
  <si>
    <t>Tariff 31</t>
  </si>
  <si>
    <t>Tariff MS Special Contract</t>
  </si>
  <si>
    <t>Unbilled kWh Allocation</t>
  </si>
  <si>
    <t>Migration kWh</t>
  </si>
  <si>
    <t>Schedule 24</t>
  </si>
  <si>
    <t>Schedule 25</t>
  </si>
  <si>
    <t>Schedule 26</t>
  </si>
  <si>
    <t>Schedule 31</t>
  </si>
  <si>
    <t>Schedule MSSC</t>
  </si>
  <si>
    <t>Total MS Special Contract Estimated Proformed Revenue</t>
  </si>
  <si>
    <t>Total Distribution kW</t>
  </si>
  <si>
    <t>449-459-SC</t>
  </si>
  <si>
    <t>Temperature Allocation</t>
  </si>
  <si>
    <t>MS Spec Contract</t>
  </si>
  <si>
    <t>Base Rates Eff 6-1-2018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</si>
</sst>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65" fontId="0" fillId="0" borderId="0" xfId="0" applyNumberFormat="1"/>
    <xf numFmtId="165" fontId="0" fillId="0" borderId="0" xfId="0" applyNumberFormat="1" applyFont="1"/>
    <xf numFmtId="0" fontId="0" fillId="0" borderId="0" xfId="0" quotePrefix="1" applyAlignment="1">
      <alignment horizontal="left" indent="1"/>
    </xf>
    <xf numFmtId="164" fontId="0" fillId="3" borderId="0" xfId="0" applyNumberFormat="1" applyFont="1" applyFill="1"/>
    <xf numFmtId="164" fontId="0" fillId="0" borderId="0" xfId="0" applyNumberFormat="1" applyFont="1"/>
    <xf numFmtId="166" fontId="0" fillId="0" borderId="0" xfId="0" applyNumberFormat="1" applyFont="1"/>
    <xf numFmtId="0" fontId="2" fillId="0" borderId="0" xfId="0" applyFont="1" applyAlignment="1">
      <alignment horizontal="left" indent="2"/>
    </xf>
    <xf numFmtId="41" fontId="0" fillId="0" borderId="0" xfId="0" applyNumberFormat="1"/>
    <xf numFmtId="165" fontId="0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165" fontId="0" fillId="2" borderId="0" xfId="0" applyNumberFormat="1" applyFill="1"/>
    <xf numFmtId="44" fontId="0" fillId="0" borderId="0" xfId="0" applyNumberFormat="1"/>
    <xf numFmtId="14" fontId="0" fillId="5" borderId="0" xfId="0" applyNumberFormat="1" applyFill="1"/>
    <xf numFmtId="164" fontId="0" fillId="7" borderId="0" xfId="0" applyNumberFormat="1" applyFont="1" applyFill="1"/>
    <xf numFmtId="0" fontId="0" fillId="2" borderId="0" xfId="0" applyFill="1"/>
    <xf numFmtId="165" fontId="0" fillId="2" borderId="0" xfId="0" applyNumberFormat="1" applyFont="1" applyFill="1"/>
    <xf numFmtId="166" fontId="0" fillId="2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/>
    <xf numFmtId="0" fontId="0" fillId="0" borderId="0" xfId="0" quotePrefix="1" applyAlignment="1">
      <alignment horizontal="left" indent="2"/>
    </xf>
    <xf numFmtId="0" fontId="0" fillId="2" borderId="0" xfId="0" applyNumberFormat="1" applyFont="1" applyFill="1"/>
    <xf numFmtId="166" fontId="0" fillId="3" borderId="0" xfId="0" applyNumberFormat="1" applyFont="1" applyFill="1"/>
    <xf numFmtId="0" fontId="1" fillId="2" borderId="0" xfId="1"/>
    <xf numFmtId="0" fontId="3" fillId="2" borderId="0" xfId="1" quotePrefix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165" fontId="0" fillId="2" borderId="0" xfId="1" applyNumberFormat="1" applyFont="1" applyFill="1"/>
    <xf numFmtId="166" fontId="0" fillId="2" borderId="0" xfId="1" applyNumberFormat="1" applyFont="1" applyFill="1"/>
    <xf numFmtId="166" fontId="1" fillId="2" borderId="0" xfId="1" applyNumberFormat="1"/>
    <xf numFmtId="0" fontId="3" fillId="2" borderId="0" xfId="1" quotePrefix="1" applyFont="1" applyFill="1" applyAlignment="1">
      <alignment horizontal="left"/>
    </xf>
    <xf numFmtId="17" fontId="1" fillId="2" borderId="2" xfId="1" applyNumberFormat="1" applyBorder="1" applyAlignment="1">
      <alignment horizontal="center" wrapText="1"/>
    </xf>
    <xf numFmtId="165" fontId="3" fillId="2" borderId="0" xfId="1" applyNumberFormat="1" applyFont="1" applyFill="1"/>
    <xf numFmtId="165" fontId="1" fillId="2" borderId="0" xfId="1" applyNumberFormat="1"/>
    <xf numFmtId="0" fontId="3" fillId="2" borderId="0" xfId="1" applyFont="1" applyFill="1" applyAlignment="1">
      <alignment horizontal="center" wrapText="1"/>
    </xf>
    <xf numFmtId="0" fontId="1" fillId="2" borderId="0" xfId="1" applyAlignment="1">
      <alignment horizontal="centerContinuous"/>
    </xf>
    <xf numFmtId="165" fontId="3" fillId="2" borderId="0" xfId="1" applyNumberFormat="1" applyFont="1" applyFill="1" applyAlignment="1">
      <alignment horizontal="centerContinuous"/>
    </xf>
    <xf numFmtId="0" fontId="1" fillId="2" borderId="0" xfId="1" applyAlignment="1">
      <alignment horizontal="right"/>
    </xf>
    <xf numFmtId="0" fontId="1" fillId="2" borderId="0" xfId="1" applyFill="1" applyBorder="1" applyAlignment="1">
      <alignment horizontal="center" wrapText="1"/>
    </xf>
    <xf numFmtId="165" fontId="1" fillId="2" borderId="0" xfId="1" applyNumberFormat="1" applyFill="1" applyBorder="1"/>
    <xf numFmtId="166" fontId="3" fillId="2" borderId="0" xfId="1" applyNumberFormat="1" applyFont="1" applyFill="1" applyBorder="1"/>
    <xf numFmtId="0" fontId="1" fillId="2" borderId="4" xfId="1" applyFill="1" applyBorder="1" applyAlignment="1">
      <alignment horizontal="center" wrapText="1"/>
    </xf>
    <xf numFmtId="0" fontId="1" fillId="2" borderId="5" xfId="1" quotePrefix="1" applyFill="1" applyBorder="1" applyAlignment="1">
      <alignment horizontal="center" wrapText="1"/>
    </xf>
    <xf numFmtId="17" fontId="1" fillId="2" borderId="6" xfId="1" applyNumberFormat="1" applyFill="1" applyBorder="1" applyAlignment="1">
      <alignment horizontal="center" wrapText="1"/>
    </xf>
    <xf numFmtId="0" fontId="1" fillId="2" borderId="1" xfId="1" quotePrefix="1" applyFill="1" applyBorder="1" applyAlignment="1">
      <alignment horizontal="left"/>
    </xf>
    <xf numFmtId="165" fontId="1" fillId="2" borderId="7" xfId="1" applyNumberFormat="1" applyFill="1" applyBorder="1"/>
    <xf numFmtId="0" fontId="1" fillId="2" borderId="1" xfId="1" quotePrefix="1" applyFill="1" applyBorder="1" applyAlignment="1">
      <alignment horizontal="left" indent="2"/>
    </xf>
    <xf numFmtId="165" fontId="3" fillId="2" borderId="0" xfId="1" applyNumberFormat="1" applyFont="1" applyFill="1" applyBorder="1"/>
    <xf numFmtId="165" fontId="3" fillId="3" borderId="0" xfId="1" applyNumberFormat="1" applyFont="1" applyFill="1" applyBorder="1"/>
    <xf numFmtId="165" fontId="3" fillId="3" borderId="7" xfId="1" applyNumberFormat="1" applyFont="1" applyFill="1" applyBorder="1"/>
    <xf numFmtId="0" fontId="3" fillId="2" borderId="1" xfId="1" applyFont="1" applyFill="1" applyBorder="1" applyAlignment="1">
      <alignment horizontal="left" indent="2"/>
    </xf>
    <xf numFmtId="0" fontId="1" fillId="2" borderId="1" xfId="1" applyFill="1" applyBorder="1" applyAlignment="1">
      <alignment horizontal="left" indent="2"/>
    </xf>
    <xf numFmtId="0" fontId="1" fillId="2" borderId="1" xfId="1" applyFill="1" applyBorder="1"/>
    <xf numFmtId="0" fontId="1" fillId="2" borderId="0" xfId="1" applyFill="1" applyBorder="1"/>
    <xf numFmtId="0" fontId="1" fillId="2" borderId="8" xfId="1" applyFill="1" applyBorder="1"/>
    <xf numFmtId="0" fontId="1" fillId="2" borderId="9" xfId="1" applyFill="1" applyBorder="1" applyAlignment="1">
      <alignment horizontal="center" wrapText="1"/>
    </xf>
    <xf numFmtId="0" fontId="1" fillId="2" borderId="3" xfId="1" quotePrefix="1" applyFill="1" applyBorder="1" applyAlignment="1">
      <alignment horizontal="center" wrapText="1"/>
    </xf>
    <xf numFmtId="17" fontId="1" fillId="2" borderId="3" xfId="1" applyNumberFormat="1" applyFill="1" applyBorder="1" applyAlignment="1">
      <alignment horizontal="center" wrapText="1"/>
    </xf>
    <xf numFmtId="17" fontId="1" fillId="2" borderId="10" xfId="1" applyNumberFormat="1" applyFill="1" applyBorder="1" applyAlignment="1">
      <alignment horizontal="center" wrapText="1"/>
    </xf>
    <xf numFmtId="0" fontId="3" fillId="2" borderId="4" xfId="1" quotePrefix="1" applyFont="1" applyFill="1" applyBorder="1" applyAlignment="1">
      <alignment horizontal="left" wrapText="1"/>
    </xf>
    <xf numFmtId="164" fontId="0" fillId="4" borderId="0" xfId="1" applyNumberFormat="1" applyFont="1" applyFill="1" applyBorder="1"/>
    <xf numFmtId="164" fontId="0" fillId="8" borderId="0" xfId="1" applyNumberFormat="1" applyFont="1" applyFill="1" applyBorder="1"/>
    <xf numFmtId="164" fontId="0" fillId="8" borderId="7" xfId="1" applyNumberFormat="1" applyFont="1" applyFill="1" applyBorder="1"/>
    <xf numFmtId="164" fontId="0" fillId="6" borderId="0" xfId="1" applyNumberFormat="1" applyFont="1" applyFill="1" applyBorder="1"/>
    <xf numFmtId="0" fontId="3" fillId="2" borderId="0" xfId="1" quotePrefix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1" quotePrefix="1" applyFont="1" applyFill="1" applyAlignment="1">
      <alignment horizontal="center"/>
    </xf>
    <xf numFmtId="0" fontId="3" fillId="2" borderId="0" xfId="1" quotePrefix="1" applyFont="1" applyFill="1" applyAlignment="1"/>
    <xf numFmtId="0" fontId="0" fillId="0" borderId="0" xfId="0" quotePrefix="1" applyFill="1" applyAlignment="1">
      <alignment horizontal="left"/>
    </xf>
    <xf numFmtId="165" fontId="1" fillId="2" borderId="0" xfId="4" applyNumberFormat="1" applyFill="1"/>
    <xf numFmtId="165" fontId="0" fillId="0" borderId="0" xfId="4" applyNumberFormat="1" applyFont="1"/>
    <xf numFmtId="0" fontId="0" fillId="0" borderId="0" xfId="0" applyAlignment="1">
      <alignment horizontal="center"/>
    </xf>
    <xf numFmtId="17" fontId="1" fillId="2" borderId="0" xfId="1" applyNumberFormat="1" applyBorder="1" applyAlignment="1">
      <alignment horizontal="center" wrapText="1"/>
    </xf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  <xf numFmtId="166" fontId="3" fillId="2" borderId="7" xfId="1" applyNumberFormat="1" applyFont="1" applyFill="1" applyBorder="1"/>
    <xf numFmtId="0" fontId="1" fillId="2" borderId="11" xfId="1" applyFill="1" applyBorder="1" applyAlignment="1">
      <alignment horizontal="left" indent="2"/>
    </xf>
    <xf numFmtId="165" fontId="3" fillId="2" borderId="12" xfId="1" applyNumberFormat="1" applyFont="1" applyFill="1" applyBorder="1"/>
    <xf numFmtId="164" fontId="0" fillId="6" borderId="12" xfId="1" applyNumberFormat="1" applyFont="1" applyFill="1" applyBorder="1"/>
    <xf numFmtId="164" fontId="0" fillId="8" borderId="12" xfId="1" applyNumberFormat="1" applyFont="1" applyFill="1" applyBorder="1"/>
    <xf numFmtId="164" fontId="0" fillId="8" borderId="13" xfId="1" applyNumberFormat="1" applyFont="1" applyFill="1" applyBorder="1"/>
    <xf numFmtId="0" fontId="3" fillId="2" borderId="0" xfId="1" applyFont="1" applyFill="1" applyAlignment="1">
      <alignment horizontal="center"/>
    </xf>
    <xf numFmtId="0" fontId="3" fillId="2" borderId="0" xfId="1" quotePrefix="1" applyFont="1" applyFill="1" applyAlignment="1">
      <alignment horizontal="center"/>
    </xf>
    <xf numFmtId="0" fontId="1" fillId="2" borderId="11" xfId="1" quotePrefix="1" applyFill="1" applyBorder="1" applyAlignment="1">
      <alignment horizontal="left"/>
    </xf>
    <xf numFmtId="0" fontId="1" fillId="2" borderId="12" xfId="1" quotePrefix="1" applyFill="1" applyBorder="1" applyAlignment="1">
      <alignment horizontal="left"/>
    </xf>
    <xf numFmtId="0" fontId="1" fillId="2" borderId="13" xfId="1" quotePrefix="1" applyFill="1" applyBorder="1" applyAlignment="1">
      <alignment horizontal="left"/>
    </xf>
    <xf numFmtId="0" fontId="2" fillId="2" borderId="4" xfId="1" quotePrefix="1" applyFont="1" applyFill="1" applyBorder="1" applyAlignment="1">
      <alignment horizontal="center" vertical="center" wrapText="1"/>
    </xf>
    <xf numFmtId="0" fontId="2" fillId="2" borderId="5" xfId="1" quotePrefix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5">
    <cellStyle name="Comma" xfId="4" builtinId="3"/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323292.66937266284</v>
          </cell>
          <cell r="D28">
            <v>-195910.88666604593</v>
          </cell>
          <cell r="E28">
            <v>-17161.015193317213</v>
          </cell>
          <cell r="F28">
            <v>34788.129201732998</v>
          </cell>
          <cell r="G28">
            <v>681.77386271700243</v>
          </cell>
          <cell r="H28">
            <v>-98430.767731719243</v>
          </cell>
          <cell r="I28">
            <v>-1079249.845643267</v>
          </cell>
          <cell r="J28">
            <v>-564902.90883828513</v>
          </cell>
          <cell r="K28">
            <v>36566.553298201485</v>
          </cell>
          <cell r="L28">
            <v>67226.783371692174</v>
          </cell>
          <cell r="M28">
            <v>358852.25702775602</v>
          </cell>
          <cell r="N28">
            <v>311013.27212499623</v>
          </cell>
        </row>
      </sheetData>
      <sheetData sheetId="7">
        <row r="5">
          <cell r="C5" t="str">
            <v>Total
January 2018 to
December 2018</v>
          </cell>
          <cell r="D5">
            <v>43101</v>
          </cell>
          <cell r="E5">
            <v>43132</v>
          </cell>
          <cell r="F5">
            <v>43160</v>
          </cell>
          <cell r="G5">
            <v>43191</v>
          </cell>
          <cell r="H5">
            <v>43221</v>
          </cell>
          <cell r="I5">
            <v>43252</v>
          </cell>
          <cell r="J5">
            <v>43282</v>
          </cell>
          <cell r="K5">
            <v>43313</v>
          </cell>
          <cell r="L5">
            <v>43344</v>
          </cell>
          <cell r="M5">
            <v>43374</v>
          </cell>
          <cell r="N5">
            <v>43405</v>
          </cell>
          <cell r="O5">
            <v>43435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26</v>
          </cell>
          <cell r="E7">
            <v>31</v>
          </cell>
          <cell r="F7">
            <v>38</v>
          </cell>
          <cell r="G7">
            <v>32</v>
          </cell>
          <cell r="H7">
            <v>21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15</v>
          </cell>
          <cell r="I8">
            <v>33</v>
          </cell>
          <cell r="J8">
            <v>38</v>
          </cell>
          <cell r="K8">
            <v>35</v>
          </cell>
          <cell r="L8">
            <v>38</v>
          </cell>
          <cell r="M8">
            <v>36</v>
          </cell>
          <cell r="N8">
            <v>36</v>
          </cell>
          <cell r="O8">
            <v>39</v>
          </cell>
        </row>
        <row r="9">
          <cell r="D9">
            <v>11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D10">
            <v>48</v>
          </cell>
          <cell r="E10">
            <v>63</v>
          </cell>
          <cell r="F10">
            <v>77</v>
          </cell>
          <cell r="G10">
            <v>72</v>
          </cell>
          <cell r="H10">
            <v>50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17</v>
          </cell>
          <cell r="I11">
            <v>60</v>
          </cell>
          <cell r="J11">
            <v>72</v>
          </cell>
          <cell r="K11">
            <v>65</v>
          </cell>
          <cell r="L11">
            <v>70</v>
          </cell>
          <cell r="M11">
            <v>68</v>
          </cell>
          <cell r="N11">
            <v>67</v>
          </cell>
          <cell r="O11">
            <v>71</v>
          </cell>
        </row>
        <row r="12">
          <cell r="D12">
            <v>11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24</v>
          </cell>
          <cell r="E13">
            <v>32</v>
          </cell>
          <cell r="F13">
            <v>31</v>
          </cell>
          <cell r="G13">
            <v>30</v>
          </cell>
          <cell r="H13">
            <v>23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10</v>
          </cell>
          <cell r="I14">
            <v>29</v>
          </cell>
          <cell r="J14">
            <v>31</v>
          </cell>
          <cell r="K14">
            <v>32</v>
          </cell>
          <cell r="L14">
            <v>31</v>
          </cell>
          <cell r="M14">
            <v>26</v>
          </cell>
          <cell r="N14">
            <v>37</v>
          </cell>
          <cell r="O14">
            <v>31</v>
          </cell>
        </row>
        <row r="17">
          <cell r="D17">
            <v>4658776</v>
          </cell>
          <cell r="E17">
            <v>0</v>
          </cell>
          <cell r="F17">
            <v>106374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15727951</v>
          </cell>
          <cell r="E18">
            <v>17488230</v>
          </cell>
          <cell r="F18">
            <v>21271183</v>
          </cell>
          <cell r="G18">
            <v>19597357</v>
          </cell>
          <cell r="H18">
            <v>12389865</v>
          </cell>
          <cell r="I18">
            <v>226320</v>
          </cell>
          <cell r="J18">
            <v>34210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4537216</v>
          </cell>
          <cell r="I19">
            <v>14787662</v>
          </cell>
          <cell r="J19">
            <v>20536116</v>
          </cell>
          <cell r="K19">
            <v>19046509</v>
          </cell>
          <cell r="L19">
            <v>20227371</v>
          </cell>
          <cell r="M19">
            <v>16459937</v>
          </cell>
          <cell r="N19">
            <v>17971188</v>
          </cell>
          <cell r="O19">
            <v>19215860</v>
          </cell>
        </row>
        <row r="20">
          <cell r="D20">
            <v>4761207</v>
          </cell>
          <cell r="E20">
            <v>52109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20597796</v>
          </cell>
          <cell r="E21">
            <v>26389492</v>
          </cell>
          <cell r="F21">
            <v>23125709</v>
          </cell>
          <cell r="G21">
            <v>22953693</v>
          </cell>
          <cell r="H21">
            <v>16946040</v>
          </cell>
          <cell r="I21">
            <v>226349</v>
          </cell>
          <cell r="J21">
            <v>0</v>
          </cell>
          <cell r="K21">
            <v>0</v>
          </cell>
          <cell r="L21">
            <v>0</v>
          </cell>
          <cell r="M21">
            <v>-612910</v>
          </cell>
          <cell r="N21">
            <v>612910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8224898</v>
          </cell>
          <cell r="I22">
            <v>21214063</v>
          </cell>
          <cell r="J22">
            <v>28147049</v>
          </cell>
          <cell r="K22">
            <v>27649644</v>
          </cell>
          <cell r="L22">
            <v>23152025</v>
          </cell>
          <cell r="M22">
            <v>19199061</v>
          </cell>
          <cell r="N22">
            <v>28572256</v>
          </cell>
          <cell r="O22">
            <v>23051933</v>
          </cell>
        </row>
        <row r="25">
          <cell r="D25">
            <v>-1726</v>
          </cell>
          <cell r="E25">
            <v>0</v>
          </cell>
          <cell r="F25">
            <v>11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88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33687</v>
          </cell>
          <cell r="E27">
            <v>40345</v>
          </cell>
          <cell r="F27">
            <v>49131</v>
          </cell>
          <cell r="G27">
            <v>44695</v>
          </cell>
          <cell r="H27">
            <v>41930</v>
          </cell>
          <cell r="I27">
            <v>36289</v>
          </cell>
          <cell r="J27">
            <v>47527</v>
          </cell>
          <cell r="K27">
            <v>43733</v>
          </cell>
          <cell r="L27">
            <v>47323</v>
          </cell>
          <cell r="M27">
            <v>40349</v>
          </cell>
          <cell r="N27">
            <v>42199</v>
          </cell>
          <cell r="O27">
            <v>46209</v>
          </cell>
        </row>
        <row r="28">
          <cell r="D28">
            <v>5940</v>
          </cell>
          <cell r="E28">
            <v>160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3214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37575</v>
          </cell>
          <cell r="E30">
            <v>51716</v>
          </cell>
          <cell r="F30">
            <v>38771</v>
          </cell>
          <cell r="G30">
            <v>46355</v>
          </cell>
          <cell r="H30">
            <v>55645</v>
          </cell>
          <cell r="I30">
            <v>49201</v>
          </cell>
          <cell r="J30">
            <v>56866</v>
          </cell>
          <cell r="K30">
            <v>63647</v>
          </cell>
          <cell r="L30">
            <v>46951</v>
          </cell>
          <cell r="M30">
            <v>41174</v>
          </cell>
          <cell r="N30">
            <v>58450</v>
          </cell>
          <cell r="O30">
            <v>47357</v>
          </cell>
        </row>
        <row r="33">
          <cell r="D33">
            <v>1009772</v>
          </cell>
          <cell r="E33">
            <v>0</v>
          </cell>
          <cell r="F33">
            <v>1024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3107093</v>
          </cell>
          <cell r="E34">
            <v>3675899</v>
          </cell>
          <cell r="F34">
            <v>3986427</v>
          </cell>
          <cell r="G34">
            <v>4017830</v>
          </cell>
          <cell r="H34">
            <v>2777039</v>
          </cell>
          <cell r="I34">
            <v>50403</v>
          </cell>
          <cell r="J34">
            <v>853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1168397</v>
          </cell>
          <cell r="I35">
            <v>3916087</v>
          </cell>
          <cell r="J35">
            <v>4543928</v>
          </cell>
          <cell r="K35">
            <v>4874865</v>
          </cell>
          <cell r="L35">
            <v>5006730</v>
          </cell>
          <cell r="M35">
            <v>4303563</v>
          </cell>
          <cell r="N35">
            <v>3912135</v>
          </cell>
          <cell r="O35">
            <v>3983270</v>
          </cell>
        </row>
        <row r="36">
          <cell r="D36">
            <v>773203</v>
          </cell>
          <cell r="E36">
            <v>4583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5612554</v>
          </cell>
          <cell r="E37">
            <v>6066882</v>
          </cell>
          <cell r="F37">
            <v>6155409</v>
          </cell>
          <cell r="G37">
            <v>6108873</v>
          </cell>
          <cell r="H37">
            <v>3508245</v>
          </cell>
          <cell r="I37">
            <v>1127</v>
          </cell>
          <cell r="J37">
            <v>0</v>
          </cell>
          <cell r="K37">
            <v>0</v>
          </cell>
          <cell r="L37">
            <v>0</v>
          </cell>
          <cell r="M37">
            <v>-12745</v>
          </cell>
          <cell r="N37">
            <v>12745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3364599</v>
          </cell>
          <cell r="I38">
            <v>4753119</v>
          </cell>
          <cell r="J38">
            <v>10244252</v>
          </cell>
          <cell r="K38">
            <v>8064075</v>
          </cell>
          <cell r="L38">
            <v>4382655</v>
          </cell>
          <cell r="M38">
            <v>7205524</v>
          </cell>
          <cell r="N38">
            <v>6606570</v>
          </cell>
          <cell r="O38">
            <v>5803813</v>
          </cell>
        </row>
        <row r="77">
          <cell r="D77">
            <v>-2647329.3317060322</v>
          </cell>
          <cell r="E77">
            <v>-3963059.3000909127</v>
          </cell>
          <cell r="F77">
            <v>-3795085.7180909067</v>
          </cell>
          <cell r="G77">
            <v>2226916.5209999997</v>
          </cell>
          <cell r="H77">
            <v>-792999.13918181881</v>
          </cell>
          <cell r="I77">
            <v>1713397.8181818184</v>
          </cell>
          <cell r="J77">
            <v>-465821</v>
          </cell>
          <cell r="K77">
            <v>-4695941</v>
          </cell>
          <cell r="L77">
            <v>-2177486</v>
          </cell>
          <cell r="M77">
            <v>5823482</v>
          </cell>
          <cell r="N77">
            <v>-10601011.454545453</v>
          </cell>
          <cell r="O77">
            <v>463866.5454545496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4">
          <cell r="D64">
            <v>255837.7</v>
          </cell>
          <cell r="E64">
            <v>281548.33</v>
          </cell>
          <cell r="F64">
            <v>302459.52999999997</v>
          </cell>
          <cell r="G64">
            <v>296000.73000000004</v>
          </cell>
          <cell r="H64">
            <v>322273.39999999997</v>
          </cell>
          <cell r="I64">
            <v>290121.5</v>
          </cell>
          <cell r="J64">
            <v>325309.97000000003</v>
          </cell>
          <cell r="K64">
            <v>347967.48000000004</v>
          </cell>
          <cell r="L64">
            <v>322109.61000000004</v>
          </cell>
          <cell r="M64">
            <v>257033.95</v>
          </cell>
          <cell r="N64">
            <v>334819.08999999997</v>
          </cell>
          <cell r="O64">
            <v>306433.77999999997</v>
          </cell>
        </row>
        <row r="68">
          <cell r="D68">
            <v>238914</v>
          </cell>
          <cell r="E68">
            <v>236325</v>
          </cell>
          <cell r="F68">
            <v>275412</v>
          </cell>
          <cell r="G68">
            <v>258245</v>
          </cell>
          <cell r="H68">
            <v>282320</v>
          </cell>
          <cell r="I68">
            <v>263190</v>
          </cell>
          <cell r="J68">
            <v>266791</v>
          </cell>
          <cell r="K68">
            <v>304176</v>
          </cell>
          <cell r="L68">
            <v>281320</v>
          </cell>
          <cell r="M68">
            <v>204606</v>
          </cell>
          <cell r="N68">
            <v>308300</v>
          </cell>
          <cell r="O68">
            <v>268424</v>
          </cell>
        </row>
      </sheetData>
      <sheetData sheetId="41">
        <row r="6">
          <cell r="C6">
            <v>8</v>
          </cell>
          <cell r="D6">
            <v>8</v>
          </cell>
          <cell r="E6">
            <v>8</v>
          </cell>
          <cell r="F6">
            <v>8</v>
          </cell>
          <cell r="G6">
            <v>8</v>
          </cell>
          <cell r="H6">
            <v>8</v>
          </cell>
          <cell r="I6">
            <v>8</v>
          </cell>
          <cell r="J6">
            <v>8</v>
          </cell>
          <cell r="K6">
            <v>8</v>
          </cell>
          <cell r="L6">
            <v>8</v>
          </cell>
          <cell r="M6">
            <v>8</v>
          </cell>
          <cell r="N6">
            <v>8</v>
          </cell>
        </row>
        <row r="7">
          <cell r="C7">
            <v>81070</v>
          </cell>
          <cell r="D7">
            <v>78770</v>
          </cell>
          <cell r="E7">
            <v>74240</v>
          </cell>
          <cell r="F7">
            <v>69920</v>
          </cell>
          <cell r="G7">
            <v>70670</v>
          </cell>
          <cell r="H7">
            <v>65940</v>
          </cell>
          <cell r="I7">
            <v>75103</v>
          </cell>
          <cell r="J7">
            <v>74291</v>
          </cell>
          <cell r="K7">
            <v>68291</v>
          </cell>
          <cell r="L7">
            <v>67306</v>
          </cell>
          <cell r="M7">
            <v>80440</v>
          </cell>
          <cell r="N7">
            <v>79411</v>
          </cell>
        </row>
        <row r="9">
          <cell r="C9">
            <v>12</v>
          </cell>
          <cell r="D9">
            <v>12</v>
          </cell>
          <cell r="E9">
            <v>13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12</v>
          </cell>
          <cell r="M9">
            <v>12</v>
          </cell>
          <cell r="N9">
            <v>12</v>
          </cell>
        </row>
        <row r="10">
          <cell r="C10">
            <v>661629</v>
          </cell>
          <cell r="D10">
            <v>618970</v>
          </cell>
          <cell r="E10">
            <v>653150</v>
          </cell>
          <cell r="F10">
            <v>565765</v>
          </cell>
          <cell r="G10">
            <v>569485</v>
          </cell>
          <cell r="H10">
            <v>556980</v>
          </cell>
          <cell r="I10">
            <v>568080</v>
          </cell>
          <cell r="J10">
            <v>629730</v>
          </cell>
          <cell r="K10">
            <v>597670</v>
          </cell>
          <cell r="L10">
            <v>565630</v>
          </cell>
          <cell r="M10">
            <v>493120</v>
          </cell>
          <cell r="N10">
            <v>539490</v>
          </cell>
        </row>
        <row r="11">
          <cell r="C11">
            <v>1330</v>
          </cell>
          <cell r="D11">
            <v>1361</v>
          </cell>
          <cell r="E11">
            <v>1465</v>
          </cell>
          <cell r="F11">
            <v>1330</v>
          </cell>
          <cell r="G11">
            <v>1329</v>
          </cell>
          <cell r="H11">
            <v>1348</v>
          </cell>
          <cell r="I11">
            <v>1438</v>
          </cell>
          <cell r="J11">
            <v>1472</v>
          </cell>
          <cell r="K11">
            <v>1437</v>
          </cell>
          <cell r="L11">
            <v>1378</v>
          </cell>
          <cell r="M11">
            <v>1305</v>
          </cell>
          <cell r="N11">
            <v>1215</v>
          </cell>
        </row>
        <row r="12">
          <cell r="C12">
            <v>148057</v>
          </cell>
          <cell r="D12">
            <v>142568</v>
          </cell>
          <cell r="E12">
            <v>148861</v>
          </cell>
          <cell r="F12">
            <v>122744</v>
          </cell>
          <cell r="G12">
            <v>129565</v>
          </cell>
          <cell r="H12">
            <v>148118</v>
          </cell>
          <cell r="I12">
            <v>161619</v>
          </cell>
          <cell r="J12">
            <v>192518</v>
          </cell>
          <cell r="K12">
            <v>175589</v>
          </cell>
          <cell r="L12">
            <v>150548</v>
          </cell>
          <cell r="M12">
            <v>127247</v>
          </cell>
          <cell r="N12">
            <v>133658</v>
          </cell>
        </row>
        <row r="13">
          <cell r="C13">
            <v>11</v>
          </cell>
          <cell r="D13">
            <v>10</v>
          </cell>
          <cell r="E13">
            <v>12</v>
          </cell>
          <cell r="F13">
            <v>11</v>
          </cell>
          <cell r="G13">
            <v>11</v>
          </cell>
          <cell r="H13">
            <v>8</v>
          </cell>
          <cell r="I13">
            <v>14</v>
          </cell>
          <cell r="J13">
            <v>11</v>
          </cell>
          <cell r="K13">
            <v>11</v>
          </cell>
          <cell r="L13">
            <v>11</v>
          </cell>
          <cell r="M13">
            <v>10</v>
          </cell>
          <cell r="N13">
            <v>12</v>
          </cell>
        </row>
        <row r="14">
          <cell r="C14">
            <v>3822900</v>
          </cell>
          <cell r="D14">
            <v>3436860</v>
          </cell>
          <cell r="E14">
            <v>3975840</v>
          </cell>
          <cell r="F14">
            <v>3499620</v>
          </cell>
          <cell r="G14">
            <v>3722975</v>
          </cell>
          <cell r="H14">
            <v>2550445</v>
          </cell>
          <cell r="I14">
            <v>5056860</v>
          </cell>
          <cell r="J14">
            <v>4361040</v>
          </cell>
          <cell r="K14">
            <v>4130460</v>
          </cell>
          <cell r="L14">
            <v>3677160</v>
          </cell>
          <cell r="M14">
            <v>3361260</v>
          </cell>
          <cell r="N14">
            <v>4037880</v>
          </cell>
        </row>
        <row r="15">
          <cell r="C15">
            <v>-4585</v>
          </cell>
          <cell r="D15">
            <v>6215</v>
          </cell>
          <cell r="E15">
            <v>7260</v>
          </cell>
          <cell r="F15">
            <v>6821</v>
          </cell>
          <cell r="G15">
            <v>7476</v>
          </cell>
          <cell r="H15">
            <v>5314</v>
          </cell>
          <cell r="I15">
            <v>10624</v>
          </cell>
          <cell r="J15">
            <v>8575</v>
          </cell>
          <cell r="K15">
            <v>8421</v>
          </cell>
          <cell r="L15">
            <v>7304</v>
          </cell>
          <cell r="M15">
            <v>6123</v>
          </cell>
          <cell r="N15">
            <v>7253</v>
          </cell>
        </row>
        <row r="16">
          <cell r="C16">
            <v>1110101</v>
          </cell>
          <cell r="D16">
            <v>1025449</v>
          </cell>
          <cell r="E16">
            <v>1245596</v>
          </cell>
          <cell r="F16">
            <v>1148349</v>
          </cell>
          <cell r="G16">
            <v>1307370</v>
          </cell>
          <cell r="H16">
            <v>1134714</v>
          </cell>
          <cell r="I16">
            <v>1947459</v>
          </cell>
          <cell r="J16">
            <v>1943526</v>
          </cell>
          <cell r="K16">
            <v>1775706</v>
          </cell>
          <cell r="L16">
            <v>1458793</v>
          </cell>
          <cell r="M16">
            <v>1141611</v>
          </cell>
          <cell r="N16">
            <v>1340096</v>
          </cell>
        </row>
        <row r="17">
          <cell r="C17">
            <v>5</v>
          </cell>
          <cell r="D17">
            <v>6</v>
          </cell>
          <cell r="E17">
            <v>4</v>
          </cell>
          <cell r="F17">
            <v>5</v>
          </cell>
          <cell r="G17">
            <v>5</v>
          </cell>
          <cell r="H17">
            <v>3</v>
          </cell>
          <cell r="I17">
            <v>7</v>
          </cell>
          <cell r="J17">
            <v>5</v>
          </cell>
          <cell r="K17">
            <v>4</v>
          </cell>
          <cell r="L17">
            <v>7</v>
          </cell>
          <cell r="M17">
            <v>4</v>
          </cell>
          <cell r="N17">
            <v>5</v>
          </cell>
        </row>
        <row r="18">
          <cell r="C18">
            <v>9168000</v>
          </cell>
          <cell r="D18">
            <v>11556000</v>
          </cell>
          <cell r="E18">
            <v>7070400</v>
          </cell>
          <cell r="F18">
            <v>8762400</v>
          </cell>
          <cell r="G18">
            <v>9108000</v>
          </cell>
          <cell r="H18">
            <v>5971200</v>
          </cell>
          <cell r="I18">
            <v>13627200</v>
          </cell>
          <cell r="J18">
            <v>10075200</v>
          </cell>
          <cell r="K18">
            <v>8582400</v>
          </cell>
          <cell r="L18">
            <v>13231200</v>
          </cell>
          <cell r="M18">
            <v>7255200</v>
          </cell>
          <cell r="N18">
            <v>9206400</v>
          </cell>
        </row>
        <row r="19">
          <cell r="C19">
            <v>17078</v>
          </cell>
          <cell r="D19">
            <v>20670</v>
          </cell>
          <cell r="E19">
            <v>13212</v>
          </cell>
          <cell r="F19">
            <v>17785</v>
          </cell>
          <cell r="G19">
            <v>18519</v>
          </cell>
          <cell r="H19">
            <v>12214</v>
          </cell>
          <cell r="I19">
            <v>27235</v>
          </cell>
          <cell r="J19">
            <v>19651</v>
          </cell>
          <cell r="K19">
            <v>16008</v>
          </cell>
          <cell r="L19">
            <v>25783</v>
          </cell>
          <cell r="M19">
            <v>13949</v>
          </cell>
          <cell r="N19">
            <v>17973</v>
          </cell>
        </row>
        <row r="20">
          <cell r="C20">
            <v>3316795</v>
          </cell>
          <cell r="D20">
            <v>3441600</v>
          </cell>
          <cell r="E20">
            <v>3338400</v>
          </cell>
          <cell r="F20">
            <v>3249600</v>
          </cell>
          <cell r="G20">
            <v>3403203</v>
          </cell>
          <cell r="H20">
            <v>1173604</v>
          </cell>
          <cell r="I20">
            <v>6297600</v>
          </cell>
          <cell r="J20">
            <v>3895200</v>
          </cell>
          <cell r="K20">
            <v>2330400</v>
          </cell>
          <cell r="L20">
            <v>5258383</v>
          </cell>
          <cell r="M20">
            <v>3530402</v>
          </cell>
          <cell r="N20">
            <v>3266392</v>
          </cell>
        </row>
        <row r="21">
          <cell r="C21">
            <v>92</v>
          </cell>
          <cell r="D21">
            <v>89</v>
          </cell>
          <cell r="E21">
            <v>105</v>
          </cell>
          <cell r="F21">
            <v>98</v>
          </cell>
          <cell r="G21">
            <v>98</v>
          </cell>
          <cell r="H21">
            <v>91</v>
          </cell>
          <cell r="I21">
            <v>100</v>
          </cell>
          <cell r="J21">
            <v>96</v>
          </cell>
          <cell r="K21">
            <v>105</v>
          </cell>
          <cell r="L21">
            <v>97</v>
          </cell>
          <cell r="M21">
            <v>105</v>
          </cell>
          <cell r="N21">
            <v>104</v>
          </cell>
        </row>
        <row r="22">
          <cell r="C22">
            <v>32012128</v>
          </cell>
          <cell r="D22">
            <v>28239230</v>
          </cell>
          <cell r="E22">
            <v>32729638</v>
          </cell>
          <cell r="F22">
            <v>29653347</v>
          </cell>
          <cell r="G22">
            <v>28626892</v>
          </cell>
          <cell r="H22">
            <v>27309827</v>
          </cell>
          <cell r="I22">
            <v>29390128</v>
          </cell>
          <cell r="J22">
            <v>31555888</v>
          </cell>
          <cell r="K22">
            <v>30000577</v>
          </cell>
          <cell r="L22">
            <v>17504791</v>
          </cell>
          <cell r="M22">
            <v>35966337</v>
          </cell>
          <cell r="N22">
            <v>28404613</v>
          </cell>
        </row>
        <row r="23">
          <cell r="C23">
            <v>64766</v>
          </cell>
          <cell r="D23">
            <v>63778</v>
          </cell>
          <cell r="E23">
            <v>65793</v>
          </cell>
          <cell r="F23">
            <v>64914</v>
          </cell>
          <cell r="G23">
            <v>70062</v>
          </cell>
          <cell r="H23">
            <v>66418</v>
          </cell>
          <cell r="I23">
            <v>64889</v>
          </cell>
          <cell r="J23">
            <v>77468</v>
          </cell>
          <cell r="K23">
            <v>68211</v>
          </cell>
          <cell r="L23">
            <v>46848</v>
          </cell>
          <cell r="M23">
            <v>79081</v>
          </cell>
          <cell r="N23">
            <v>66930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pane xSplit="3" ySplit="7" topLeftCell="D8" activePane="bottomRight" state="frozen"/>
      <selection activeCell="L15" sqref="L15"/>
      <selection pane="topRight" activeCell="L15" sqref="L15"/>
      <selection pane="bottomLeft" activeCell="L15" sqref="L15"/>
      <selection pane="bottomRight" activeCell="D31" sqref="D31"/>
    </sheetView>
  </sheetViews>
  <sheetFormatPr defaultRowHeight="14.4" x14ac:dyDescent="0.3"/>
  <cols>
    <col min="1" max="1" width="7.77734375" style="30" bestFit="1" customWidth="1"/>
    <col min="2" max="2" width="11.6640625" style="30" bestFit="1" customWidth="1"/>
    <col min="3" max="3" width="22.44140625" style="30" bestFit="1" customWidth="1"/>
    <col min="4" max="4" width="13.21875" style="30" bestFit="1" customWidth="1"/>
    <col min="5" max="5" width="11.5546875" style="30" bestFit="1" customWidth="1"/>
    <col min="6" max="6" width="12.5546875" style="30" bestFit="1" customWidth="1"/>
    <col min="7" max="7" width="11.5546875" style="30" bestFit="1" customWidth="1"/>
    <col min="8" max="8" width="14" style="30" bestFit="1" customWidth="1"/>
    <col min="9" max="20" width="11.5546875" style="30" bestFit="1" customWidth="1"/>
    <col min="21" max="16384" width="8.88671875" style="30"/>
  </cols>
  <sheetData>
    <row r="1" spans="1:20" x14ac:dyDescent="0.3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3">
      <c r="A2" s="89" t="s">
        <v>118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3">
      <c r="A3" s="89" t="str">
        <f>+'Proforma Revenue'!A3</f>
        <v>Twelve Months ended December 2018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3">
      <c r="A4" s="89" t="s">
        <v>146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3">
      <c r="A5" s="89" t="str">
        <f>+'Proforma Revenue'!A5</f>
        <v>Base Tariff Rates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43.2" x14ac:dyDescent="0.3">
      <c r="A7" s="38" t="s">
        <v>4</v>
      </c>
      <c r="B7" s="38" t="s">
        <v>0</v>
      </c>
      <c r="C7" s="38" t="s">
        <v>5</v>
      </c>
      <c r="D7" s="38" t="s">
        <v>119</v>
      </c>
      <c r="E7" s="38" t="s">
        <v>120</v>
      </c>
      <c r="F7" s="38" t="s">
        <v>121</v>
      </c>
      <c r="G7" s="38" t="s">
        <v>122</v>
      </c>
      <c r="H7" s="38" t="str">
        <f>+'Proforma Revenue'!H7</f>
        <v>Total
January 2018 to
December 2018</v>
      </c>
      <c r="I7" s="38">
        <f>+'Proforma Revenue'!I7</f>
        <v>43101</v>
      </c>
      <c r="J7" s="38">
        <f>+'Proforma Revenue'!J7</f>
        <v>43132</v>
      </c>
      <c r="K7" s="38">
        <f>+'Proforma Revenue'!K7</f>
        <v>43160</v>
      </c>
      <c r="L7" s="38">
        <f>+'Proforma Revenue'!L7</f>
        <v>43191</v>
      </c>
      <c r="M7" s="38">
        <f>+'Proforma Revenue'!M7</f>
        <v>43221</v>
      </c>
      <c r="N7" s="38">
        <f>+'Proforma Revenue'!N7</f>
        <v>43252</v>
      </c>
      <c r="O7" s="38">
        <f>+'Proforma Revenue'!O7</f>
        <v>43282</v>
      </c>
      <c r="P7" s="38">
        <f>+'Proforma Revenue'!P7</f>
        <v>43313</v>
      </c>
      <c r="Q7" s="38">
        <f>+'Proforma Revenue'!Q7</f>
        <v>43344</v>
      </c>
      <c r="R7" s="38">
        <f>+'Proforma Revenue'!R7</f>
        <v>43374</v>
      </c>
      <c r="S7" s="38">
        <f>+'Proforma Revenue'!S7</f>
        <v>43405</v>
      </c>
      <c r="T7" s="38">
        <f>+'Proforma Revenue'!T7</f>
        <v>43435</v>
      </c>
    </row>
    <row r="8" spans="1:20" x14ac:dyDescent="0.3">
      <c r="A8" s="32">
        <v>1</v>
      </c>
      <c r="B8" s="32">
        <v>7</v>
      </c>
      <c r="C8" s="33" t="s">
        <v>23</v>
      </c>
      <c r="D8" s="34">
        <f>SUM(E8:F8)</f>
        <v>0</v>
      </c>
      <c r="E8" s="34">
        <f>+'Temperature Adjustment'!B22</f>
        <v>0</v>
      </c>
      <c r="F8" s="34">
        <f>SUM(G8:H8)</f>
        <v>0</v>
      </c>
      <c r="G8" s="34">
        <v>0</v>
      </c>
      <c r="H8" s="34">
        <f t="shared" ref="H8:H14" si="0">SUM(I8:T8)</f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</row>
    <row r="9" spans="1:20" x14ac:dyDescent="0.3">
      <c r="A9" s="32">
        <f>+A8+1</f>
        <v>2</v>
      </c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x14ac:dyDescent="0.3">
      <c r="A10" s="32">
        <f t="shared" ref="A10:A37" si="1">+A9+1</f>
        <v>3</v>
      </c>
      <c r="B10" s="32" t="s">
        <v>2</v>
      </c>
      <c r="C10" s="37" t="s">
        <v>123</v>
      </c>
      <c r="D10" s="34">
        <f>SUM(E10:F10)</f>
        <v>0</v>
      </c>
      <c r="E10" s="34">
        <v>0</v>
      </c>
      <c r="F10" s="34">
        <f>SUM(G10:H10)</f>
        <v>0</v>
      </c>
      <c r="G10" s="34">
        <v>0</v>
      </c>
      <c r="H10" s="34">
        <f t="shared" si="0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</row>
    <row r="11" spans="1:20" x14ac:dyDescent="0.3">
      <c r="A11" s="32">
        <f t="shared" si="1"/>
        <v>4</v>
      </c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3">
      <c r="A12" s="32">
        <f t="shared" si="1"/>
        <v>5</v>
      </c>
      <c r="B12" s="32" t="s">
        <v>113</v>
      </c>
      <c r="C12" s="33"/>
      <c r="D12" s="34">
        <f t="shared" ref="D12:D15" si="2">SUM(E12:F12)</f>
        <v>853998</v>
      </c>
      <c r="E12" s="34">
        <f>+'Temperature Adjustment'!B23</f>
        <v>-1107</v>
      </c>
      <c r="F12" s="34">
        <f t="shared" ref="F12:F15" si="3">SUM(G12:H12)</f>
        <v>855105</v>
      </c>
      <c r="G12" s="34">
        <f>+'Sch 24 Sm Sec'!C26</f>
        <v>-30347</v>
      </c>
      <c r="H12" s="34">
        <f t="shared" si="0"/>
        <v>885452</v>
      </c>
      <c r="I12" s="34">
        <f>+'Sch 24 Sm Sec'!D12</f>
        <v>81070</v>
      </c>
      <c r="J12" s="34">
        <f>+'Sch 24 Sm Sec'!E12</f>
        <v>78770</v>
      </c>
      <c r="K12" s="34">
        <f>+'Sch 24 Sm Sec'!F12</f>
        <v>74240</v>
      </c>
      <c r="L12" s="34">
        <f>+'Sch 24 Sm Sec'!G12</f>
        <v>69920</v>
      </c>
      <c r="M12" s="34">
        <f>+'Sch 24 Sm Sec'!H12</f>
        <v>70670</v>
      </c>
      <c r="N12" s="34">
        <f>+'Sch 24 Sm Sec'!I12</f>
        <v>65940</v>
      </c>
      <c r="O12" s="34">
        <f>+'Sch 24 Sm Sec'!J12</f>
        <v>75103</v>
      </c>
      <c r="P12" s="34">
        <f>+'Sch 24 Sm Sec'!K12</f>
        <v>74291</v>
      </c>
      <c r="Q12" s="34">
        <f>+'Sch 24 Sm Sec'!L12</f>
        <v>68291</v>
      </c>
      <c r="R12" s="34">
        <f>+'Sch 24 Sm Sec'!M12</f>
        <v>67306</v>
      </c>
      <c r="S12" s="34">
        <f>+'Sch 24 Sm Sec'!N12</f>
        <v>80440</v>
      </c>
      <c r="T12" s="34">
        <f>+'Sch 24 Sm Sec'!O12</f>
        <v>79411</v>
      </c>
    </row>
    <row r="13" spans="1:20" x14ac:dyDescent="0.3">
      <c r="A13" s="32">
        <f t="shared" si="1"/>
        <v>6</v>
      </c>
      <c r="B13" s="31" t="s">
        <v>114</v>
      </c>
      <c r="C13" s="33"/>
      <c r="D13" s="34">
        <f t="shared" si="2"/>
        <v>6794968</v>
      </c>
      <c r="E13" s="34">
        <f>+'Temperature Adjustment'!B24</f>
        <v>-10259</v>
      </c>
      <c r="F13" s="34">
        <f t="shared" si="3"/>
        <v>6805227</v>
      </c>
      <c r="G13" s="34">
        <f>+'Sch 25 Med Sec'!C39</f>
        <v>-214472</v>
      </c>
      <c r="H13" s="34">
        <f t="shared" si="0"/>
        <v>7019699</v>
      </c>
      <c r="I13" s="34">
        <f>+'Sch 25 Med Sec'!D12</f>
        <v>661629</v>
      </c>
      <c r="J13" s="34">
        <f>+'Sch 25 Med Sec'!E12</f>
        <v>618970</v>
      </c>
      <c r="K13" s="34">
        <f>+'Sch 25 Med Sec'!F12</f>
        <v>653150</v>
      </c>
      <c r="L13" s="34">
        <f>+'Sch 25 Med Sec'!G12</f>
        <v>565765</v>
      </c>
      <c r="M13" s="34">
        <f>+'Sch 25 Med Sec'!H12</f>
        <v>569485</v>
      </c>
      <c r="N13" s="34">
        <f>+'Sch 25 Med Sec'!I12</f>
        <v>556980</v>
      </c>
      <c r="O13" s="34">
        <f>+'Sch 25 Med Sec'!J12</f>
        <v>568080</v>
      </c>
      <c r="P13" s="34">
        <f>+'Sch 25 Med Sec'!K12</f>
        <v>629730</v>
      </c>
      <c r="Q13" s="34">
        <f>+'Sch 25 Med Sec'!L12</f>
        <v>597670</v>
      </c>
      <c r="R13" s="34">
        <f>+'Sch 25 Med Sec'!M12</f>
        <v>565630</v>
      </c>
      <c r="S13" s="34">
        <f>+'Sch 25 Med Sec'!N12</f>
        <v>493120</v>
      </c>
      <c r="T13" s="34">
        <f>+'Sch 25 Med Sec'!O12</f>
        <v>539490</v>
      </c>
    </row>
    <row r="14" spans="1:20" x14ac:dyDescent="0.3">
      <c r="A14" s="32">
        <f t="shared" si="1"/>
        <v>7</v>
      </c>
      <c r="B14" s="32" t="s">
        <v>115</v>
      </c>
      <c r="C14" s="33"/>
      <c r="D14" s="34">
        <f t="shared" si="2"/>
        <v>44108557</v>
      </c>
      <c r="E14" s="34">
        <f>+'Temperature Adjustment'!B25</f>
        <v>-92765</v>
      </c>
      <c r="F14" s="34">
        <f t="shared" si="3"/>
        <v>44201322</v>
      </c>
      <c r="G14" s="34">
        <f>+'Sch 26 Large Sec'!C33</f>
        <v>-1431978</v>
      </c>
      <c r="H14" s="34">
        <f t="shared" si="0"/>
        <v>45633300</v>
      </c>
      <c r="I14" s="34">
        <f>+'Sch 26 Large Sec'!D10</f>
        <v>3822900</v>
      </c>
      <c r="J14" s="34">
        <f>+'Sch 26 Large Sec'!E10</f>
        <v>3436860</v>
      </c>
      <c r="K14" s="34">
        <f>+'Sch 26 Large Sec'!F10</f>
        <v>3975840</v>
      </c>
      <c r="L14" s="34">
        <f>+'Sch 26 Large Sec'!G10</f>
        <v>3499620</v>
      </c>
      <c r="M14" s="34">
        <f>+'Sch 26 Large Sec'!H10</f>
        <v>3722975</v>
      </c>
      <c r="N14" s="34">
        <f>+'Sch 26 Large Sec'!I10</f>
        <v>2550445</v>
      </c>
      <c r="O14" s="34">
        <f>+'Sch 26 Large Sec'!J10</f>
        <v>5056860</v>
      </c>
      <c r="P14" s="34">
        <f>+'Sch 26 Large Sec'!K10</f>
        <v>4361040</v>
      </c>
      <c r="Q14" s="34">
        <f>+'Sch 26 Large Sec'!L10</f>
        <v>4130460</v>
      </c>
      <c r="R14" s="34">
        <f>+'Sch 26 Large Sec'!M10</f>
        <v>3677160</v>
      </c>
      <c r="S14" s="34">
        <f>+'Sch 26 Large Sec'!N10</f>
        <v>3361260</v>
      </c>
      <c r="T14" s="34">
        <f>+'Sch 26 Large Sec'!O10</f>
        <v>4037880</v>
      </c>
    </row>
    <row r="15" spans="1:20" x14ac:dyDescent="0.3">
      <c r="A15" s="32">
        <f t="shared" si="1"/>
        <v>8</v>
      </c>
      <c r="B15" s="32">
        <v>29</v>
      </c>
      <c r="C15" s="33"/>
      <c r="D15" s="34">
        <f t="shared" si="2"/>
        <v>0</v>
      </c>
      <c r="E15" s="34">
        <f>+'Temperature Adjustment'!B26</f>
        <v>0</v>
      </c>
      <c r="F15" s="34">
        <f t="shared" si="3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</row>
    <row r="16" spans="1:20" x14ac:dyDescent="0.3">
      <c r="A16" s="32">
        <f t="shared" si="1"/>
        <v>9</v>
      </c>
      <c r="B16" s="32"/>
      <c r="C16" s="37" t="s">
        <v>24</v>
      </c>
      <c r="D16" s="34">
        <f t="shared" ref="D16:T16" si="4">SUM(D12:D15)</f>
        <v>51757523</v>
      </c>
      <c r="E16" s="34">
        <f t="shared" ref="E16:G16" si="5">SUM(E12:E15)</f>
        <v>-104131</v>
      </c>
      <c r="F16" s="34">
        <f t="shared" si="4"/>
        <v>51861654</v>
      </c>
      <c r="G16" s="34">
        <f t="shared" si="5"/>
        <v>-1676797</v>
      </c>
      <c r="H16" s="34">
        <f t="shared" si="4"/>
        <v>53538451</v>
      </c>
      <c r="I16" s="34">
        <f t="shared" si="4"/>
        <v>4565599</v>
      </c>
      <c r="J16" s="34">
        <f t="shared" si="4"/>
        <v>4134600</v>
      </c>
      <c r="K16" s="34">
        <f t="shared" si="4"/>
        <v>4703230</v>
      </c>
      <c r="L16" s="34">
        <f t="shared" si="4"/>
        <v>4135305</v>
      </c>
      <c r="M16" s="34">
        <f t="shared" si="4"/>
        <v>4363130</v>
      </c>
      <c r="N16" s="34">
        <f t="shared" si="4"/>
        <v>3173365</v>
      </c>
      <c r="O16" s="34">
        <f t="shared" si="4"/>
        <v>5700043</v>
      </c>
      <c r="P16" s="34">
        <f t="shared" si="4"/>
        <v>5065061</v>
      </c>
      <c r="Q16" s="34">
        <f t="shared" si="4"/>
        <v>4796421</v>
      </c>
      <c r="R16" s="34">
        <f t="shared" si="4"/>
        <v>4310096</v>
      </c>
      <c r="S16" s="34">
        <f t="shared" si="4"/>
        <v>3934820</v>
      </c>
      <c r="T16" s="34">
        <f t="shared" si="4"/>
        <v>4656781</v>
      </c>
    </row>
    <row r="17" spans="1:20" x14ac:dyDescent="0.3">
      <c r="A17" s="32">
        <f t="shared" si="1"/>
        <v>10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x14ac:dyDescent="0.3">
      <c r="A18" s="32">
        <f t="shared" si="1"/>
        <v>11</v>
      </c>
      <c r="B18" s="32" t="s">
        <v>116</v>
      </c>
      <c r="C18" s="33"/>
      <c r="D18" s="34">
        <f t="shared" ref="D18:D20" si="6">SUM(E18:F18)</f>
        <v>110833086</v>
      </c>
      <c r="E18" s="34">
        <f>+'Temperature Adjustment'!B27</f>
        <v>-266483</v>
      </c>
      <c r="F18" s="34">
        <f t="shared" ref="F18:F20" si="7">SUM(G18:H18)</f>
        <v>111099569</v>
      </c>
      <c r="G18" s="34">
        <f>+'Sch 31 Pri Gen Svc'!C33</f>
        <v>-2514031</v>
      </c>
      <c r="H18" s="34">
        <f>SUM(I18:T18)</f>
        <v>113613600</v>
      </c>
      <c r="I18" s="34">
        <f>+'Sch 31 Pri Gen Svc'!D10</f>
        <v>9168000</v>
      </c>
      <c r="J18" s="34">
        <f>+'Sch 31 Pri Gen Svc'!E10</f>
        <v>11556000</v>
      </c>
      <c r="K18" s="34">
        <f>+'Sch 31 Pri Gen Svc'!F10</f>
        <v>7070400</v>
      </c>
      <c r="L18" s="34">
        <f>+'Sch 31 Pri Gen Svc'!G10</f>
        <v>8762400</v>
      </c>
      <c r="M18" s="34">
        <f>+'Sch 31 Pri Gen Svc'!H10</f>
        <v>9108000</v>
      </c>
      <c r="N18" s="34">
        <f>+'Sch 31 Pri Gen Svc'!I10</f>
        <v>5971200</v>
      </c>
      <c r="O18" s="34">
        <f>+'Sch 31 Pri Gen Svc'!J10</f>
        <v>13627200</v>
      </c>
      <c r="P18" s="34">
        <f>+'Sch 31 Pri Gen Svc'!K10</f>
        <v>10075200</v>
      </c>
      <c r="Q18" s="34">
        <f>+'Sch 31 Pri Gen Svc'!L10</f>
        <v>8582400</v>
      </c>
      <c r="R18" s="34">
        <f>+'Sch 31 Pri Gen Svc'!M10</f>
        <v>13231200</v>
      </c>
      <c r="S18" s="34">
        <f>+'Sch 31 Pri Gen Svc'!N10</f>
        <v>7255200</v>
      </c>
      <c r="T18" s="34">
        <f>+'Sch 31 Pri Gen Svc'!O10</f>
        <v>9206400</v>
      </c>
    </row>
    <row r="19" spans="1:20" x14ac:dyDescent="0.3">
      <c r="A19" s="32">
        <f t="shared" si="1"/>
        <v>12</v>
      </c>
      <c r="B19" s="32">
        <v>35</v>
      </c>
      <c r="C19" s="33"/>
      <c r="D19" s="34">
        <f t="shared" si="6"/>
        <v>0</v>
      </c>
      <c r="E19" s="34">
        <v>0</v>
      </c>
      <c r="F19" s="34">
        <f t="shared" si="7"/>
        <v>0</v>
      </c>
      <c r="G19" s="34">
        <v>0</v>
      </c>
      <c r="H19" s="34">
        <f t="shared" ref="H19:H20" si="8">SUM(I19:T19)</f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</row>
    <row r="20" spans="1:20" x14ac:dyDescent="0.3">
      <c r="A20" s="32">
        <f t="shared" si="1"/>
        <v>13</v>
      </c>
      <c r="B20" s="32">
        <v>43</v>
      </c>
      <c r="C20" s="33"/>
      <c r="D20" s="34">
        <f t="shared" si="6"/>
        <v>0</v>
      </c>
      <c r="E20" s="34">
        <f>+'Temperature Adjustment'!B29</f>
        <v>0</v>
      </c>
      <c r="F20" s="34">
        <f t="shared" si="7"/>
        <v>0</v>
      </c>
      <c r="G20" s="34">
        <v>0</v>
      </c>
      <c r="H20" s="34">
        <f t="shared" si="8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</row>
    <row r="21" spans="1:20" x14ac:dyDescent="0.3">
      <c r="A21" s="32">
        <f t="shared" si="1"/>
        <v>14</v>
      </c>
      <c r="B21" s="32"/>
      <c r="C21" s="33" t="s">
        <v>25</v>
      </c>
      <c r="D21" s="34">
        <f t="shared" ref="D21:T21" si="9">SUM(D18:D20)</f>
        <v>110833086</v>
      </c>
      <c r="E21" s="34">
        <f t="shared" si="9"/>
        <v>-266483</v>
      </c>
      <c r="F21" s="34">
        <f t="shared" si="9"/>
        <v>111099569</v>
      </c>
      <c r="G21" s="34">
        <f t="shared" si="9"/>
        <v>-2514031</v>
      </c>
      <c r="H21" s="34">
        <f t="shared" si="9"/>
        <v>113613600</v>
      </c>
      <c r="I21" s="34">
        <f t="shared" si="9"/>
        <v>9168000</v>
      </c>
      <c r="J21" s="34">
        <f t="shared" si="9"/>
        <v>11556000</v>
      </c>
      <c r="K21" s="34">
        <f t="shared" si="9"/>
        <v>7070400</v>
      </c>
      <c r="L21" s="34">
        <f t="shared" si="9"/>
        <v>8762400</v>
      </c>
      <c r="M21" s="34">
        <f t="shared" si="9"/>
        <v>9108000</v>
      </c>
      <c r="N21" s="34">
        <f t="shared" si="9"/>
        <v>5971200</v>
      </c>
      <c r="O21" s="34">
        <f t="shared" si="9"/>
        <v>13627200</v>
      </c>
      <c r="P21" s="34">
        <f t="shared" si="9"/>
        <v>10075200</v>
      </c>
      <c r="Q21" s="34">
        <f t="shared" si="9"/>
        <v>8582400</v>
      </c>
      <c r="R21" s="34">
        <f t="shared" si="9"/>
        <v>13231200</v>
      </c>
      <c r="S21" s="34">
        <f t="shared" si="9"/>
        <v>7255200</v>
      </c>
      <c r="T21" s="34">
        <f t="shared" si="9"/>
        <v>9206400</v>
      </c>
    </row>
    <row r="22" spans="1:20" x14ac:dyDescent="0.3">
      <c r="A22" s="32">
        <f t="shared" si="1"/>
        <v>15</v>
      </c>
      <c r="B22" s="32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x14ac:dyDescent="0.3">
      <c r="A23" s="32">
        <f t="shared" si="1"/>
        <v>16</v>
      </c>
      <c r="B23" s="32">
        <v>40</v>
      </c>
      <c r="C23" s="33" t="s">
        <v>109</v>
      </c>
      <c r="D23" s="34">
        <f>SUM(E23:F23)</f>
        <v>-498811142.95520836</v>
      </c>
      <c r="E23" s="34">
        <f>+'Temperature Adjustment'!B28</f>
        <v>823233.98581287614</v>
      </c>
      <c r="F23" s="34">
        <f>SUM(G23:H23)</f>
        <v>-499634376.94102126</v>
      </c>
      <c r="G23" s="34">
        <f>+'Sch 40 Campus Svc'!C41</f>
        <v>18911070.058978755</v>
      </c>
      <c r="H23" s="34">
        <f>SUM(I23:T23)</f>
        <v>-518545447</v>
      </c>
      <c r="I23" s="34">
        <f>+'Sch 40 Campus Svc'!D13</f>
        <v>-45745727</v>
      </c>
      <c r="J23" s="34">
        <f>+'Sch 40 Campus Svc'!E13</f>
        <v>-43929830</v>
      </c>
      <c r="K23" s="34">
        <f>+'Sch 40 Campus Svc'!F13</f>
        <v>-44503268</v>
      </c>
      <c r="L23" s="34">
        <f>+'Sch 40 Campus Svc'!G13</f>
        <v>-42551052</v>
      </c>
      <c r="M23" s="34">
        <f>+'Sch 40 Campus Svc'!H13</f>
        <v>-42098022</v>
      </c>
      <c r="N23" s="34">
        <f>+'Sch 40 Campus Svc'!I13</f>
        <v>-36454392</v>
      </c>
      <c r="O23" s="34">
        <f>+'Sch 40 Campus Svc'!J13</f>
        <v>-48717371</v>
      </c>
      <c r="P23" s="34">
        <f>+'Sch 40 Campus Svc'!K13</f>
        <v>-46696149</v>
      </c>
      <c r="Q23" s="34">
        <f>+'Sch 40 Campus Svc'!L13</f>
        <v>-43379398</v>
      </c>
      <c r="R23" s="34">
        <f>+'Sch 40 Campus Svc'!M13</f>
        <v>-35046087</v>
      </c>
      <c r="S23" s="34">
        <f>+'Sch 40 Campus Svc'!N13</f>
        <v>-47156357</v>
      </c>
      <c r="T23" s="34">
        <f>+'Sch 40 Campus Svc'!O13</f>
        <v>-42267794</v>
      </c>
    </row>
    <row r="24" spans="1:20" x14ac:dyDescent="0.3">
      <c r="A24" s="32">
        <f t="shared" si="1"/>
        <v>17</v>
      </c>
      <c r="B24" s="3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x14ac:dyDescent="0.3">
      <c r="A25" s="32">
        <f t="shared" si="1"/>
        <v>18</v>
      </c>
      <c r="B25" s="32">
        <v>46</v>
      </c>
      <c r="C25" s="33"/>
      <c r="D25" s="34">
        <f t="shared" ref="D25:D26" si="10">SUM(E25:F25)</f>
        <v>0</v>
      </c>
      <c r="E25" s="34">
        <v>0</v>
      </c>
      <c r="F25" s="34">
        <f t="shared" ref="F25:F26" si="11">SUM(G25:H25)</f>
        <v>0</v>
      </c>
      <c r="G25" s="34">
        <v>0</v>
      </c>
      <c r="H25" s="34">
        <f t="shared" ref="H25:H26" si="12">SUM(I25:T25)</f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</row>
    <row r="26" spans="1:20" x14ac:dyDescent="0.3">
      <c r="A26" s="32">
        <f t="shared" si="1"/>
        <v>19</v>
      </c>
      <c r="B26" s="32">
        <v>49</v>
      </c>
      <c r="C26" s="33"/>
      <c r="D26" s="34">
        <f t="shared" si="10"/>
        <v>0</v>
      </c>
      <c r="E26" s="34">
        <v>0</v>
      </c>
      <c r="F26" s="34">
        <f t="shared" si="11"/>
        <v>0</v>
      </c>
      <c r="G26" s="34">
        <v>0</v>
      </c>
      <c r="H26" s="34">
        <f t="shared" si="12"/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</row>
    <row r="27" spans="1:20" x14ac:dyDescent="0.3">
      <c r="A27" s="32">
        <f t="shared" si="1"/>
        <v>20</v>
      </c>
      <c r="B27" s="32"/>
      <c r="C27" s="33" t="s">
        <v>26</v>
      </c>
      <c r="D27" s="34">
        <f t="shared" ref="D27:T27" si="13">SUM(D25:D26)</f>
        <v>0</v>
      </c>
      <c r="E27" s="34">
        <f t="shared" si="13"/>
        <v>0</v>
      </c>
      <c r="F27" s="34">
        <f t="shared" si="13"/>
        <v>0</v>
      </c>
      <c r="G27" s="34">
        <f t="shared" si="13"/>
        <v>0</v>
      </c>
      <c r="H27" s="34">
        <f t="shared" si="13"/>
        <v>0</v>
      </c>
      <c r="I27" s="34">
        <f t="shared" si="13"/>
        <v>0</v>
      </c>
      <c r="J27" s="34">
        <f t="shared" si="13"/>
        <v>0</v>
      </c>
      <c r="K27" s="34">
        <f t="shared" si="13"/>
        <v>0</v>
      </c>
      <c r="L27" s="34">
        <f t="shared" si="13"/>
        <v>0</v>
      </c>
      <c r="M27" s="34">
        <f t="shared" si="13"/>
        <v>0</v>
      </c>
      <c r="N27" s="34">
        <f t="shared" si="13"/>
        <v>0</v>
      </c>
      <c r="O27" s="34">
        <f t="shared" si="13"/>
        <v>0</v>
      </c>
      <c r="P27" s="34">
        <f t="shared" si="13"/>
        <v>0</v>
      </c>
      <c r="Q27" s="34">
        <f t="shared" si="13"/>
        <v>0</v>
      </c>
      <c r="R27" s="34">
        <f t="shared" si="13"/>
        <v>0</v>
      </c>
      <c r="S27" s="34">
        <f t="shared" si="13"/>
        <v>0</v>
      </c>
      <c r="T27" s="34">
        <f t="shared" si="13"/>
        <v>0</v>
      </c>
    </row>
    <row r="28" spans="1:20" x14ac:dyDescent="0.3">
      <c r="A28" s="32">
        <f t="shared" si="1"/>
        <v>21</v>
      </c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3">
      <c r="A29" s="32">
        <f t="shared" si="1"/>
        <v>22</v>
      </c>
      <c r="B29" s="32" t="s">
        <v>27</v>
      </c>
      <c r="C29" s="33"/>
      <c r="D29" s="34">
        <f>SUM(E29:F29)</f>
        <v>0</v>
      </c>
      <c r="E29" s="34">
        <v>0</v>
      </c>
      <c r="F29" s="34">
        <f>SUM(G29:H29)</f>
        <v>0</v>
      </c>
      <c r="G29" s="34">
        <v>0</v>
      </c>
      <c r="H29" s="34">
        <f t="shared" ref="H29" si="14">SUM(I29:T29)</f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</row>
    <row r="30" spans="1:20" x14ac:dyDescent="0.3">
      <c r="A30" s="32">
        <f t="shared" si="1"/>
        <v>23</v>
      </c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x14ac:dyDescent="0.3">
      <c r="A31" s="32">
        <f t="shared" si="1"/>
        <v>24</v>
      </c>
      <c r="B31" s="73" t="s">
        <v>162</v>
      </c>
      <c r="C31" s="33"/>
      <c r="D31" s="34">
        <f>SUM(E31:F31)</f>
        <v>336220536</v>
      </c>
      <c r="E31" s="34">
        <f>+'Temperature Adjustment'!B31</f>
        <v>-452620</v>
      </c>
      <c r="F31" s="34">
        <f>SUM(G31:H31)</f>
        <v>336673156</v>
      </c>
      <c r="G31" s="34">
        <f>+'Microsoft Special Contract'!C21</f>
        <v>-14720240</v>
      </c>
      <c r="H31" s="34">
        <f>SUM(I31:T31)</f>
        <v>351393396</v>
      </c>
      <c r="I31" s="34">
        <f>+'Microsoft Special Contract'!D6</f>
        <v>32012128</v>
      </c>
      <c r="J31" s="34">
        <f>+'Microsoft Special Contract'!E6</f>
        <v>28239230</v>
      </c>
      <c r="K31" s="34">
        <f>+'Microsoft Special Contract'!F6</f>
        <v>32729638</v>
      </c>
      <c r="L31" s="34">
        <f>+'Microsoft Special Contract'!G6</f>
        <v>29653347</v>
      </c>
      <c r="M31" s="34">
        <f>+'Microsoft Special Contract'!H6</f>
        <v>28626892</v>
      </c>
      <c r="N31" s="34">
        <f>+'Microsoft Special Contract'!I6</f>
        <v>27309827</v>
      </c>
      <c r="O31" s="34">
        <f>+'Microsoft Special Contract'!J6</f>
        <v>29390128</v>
      </c>
      <c r="P31" s="34">
        <f>+'Microsoft Special Contract'!K6</f>
        <v>31555888</v>
      </c>
      <c r="Q31" s="34">
        <f>+'Microsoft Special Contract'!L6</f>
        <v>30000577</v>
      </c>
      <c r="R31" s="34">
        <f>+'Microsoft Special Contract'!M6</f>
        <v>17504791</v>
      </c>
      <c r="S31" s="34">
        <f>+'Microsoft Special Contract'!N6</f>
        <v>35966337</v>
      </c>
      <c r="T31" s="34">
        <f>+'Microsoft Special Contract'!O6</f>
        <v>28404613</v>
      </c>
    </row>
    <row r="32" spans="1:20" x14ac:dyDescent="0.3">
      <c r="A32" s="32">
        <f t="shared" si="1"/>
        <v>25</v>
      </c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x14ac:dyDescent="0.3">
      <c r="A33" s="32">
        <f t="shared" si="1"/>
        <v>26</v>
      </c>
      <c r="B33" s="32"/>
      <c r="C33" s="33" t="s">
        <v>117</v>
      </c>
      <c r="D33" s="34">
        <f t="shared" ref="D33:T33" si="15">SUM(D8,D10,D16,D21,D23,D27,D29,D31)</f>
        <v>2.0447916388511658</v>
      </c>
      <c r="E33" s="34">
        <f t="shared" si="15"/>
        <v>-1.4187123859301209E-2</v>
      </c>
      <c r="F33" s="34">
        <f t="shared" si="15"/>
        <v>2.0589787364006042</v>
      </c>
      <c r="G33" s="34">
        <f t="shared" si="15"/>
        <v>2.0589787550270557</v>
      </c>
      <c r="H33" s="34">
        <f t="shared" si="15"/>
        <v>0</v>
      </c>
      <c r="I33" s="34">
        <f t="shared" si="15"/>
        <v>0</v>
      </c>
      <c r="J33" s="34">
        <f t="shared" si="15"/>
        <v>0</v>
      </c>
      <c r="K33" s="34">
        <f t="shared" si="15"/>
        <v>0</v>
      </c>
      <c r="L33" s="34">
        <f t="shared" si="15"/>
        <v>0</v>
      </c>
      <c r="M33" s="34">
        <f t="shared" si="15"/>
        <v>0</v>
      </c>
      <c r="N33" s="34">
        <f t="shared" si="15"/>
        <v>0</v>
      </c>
      <c r="O33" s="34">
        <f t="shared" si="15"/>
        <v>0</v>
      </c>
      <c r="P33" s="34">
        <f t="shared" si="15"/>
        <v>0</v>
      </c>
      <c r="Q33" s="34">
        <f t="shared" si="15"/>
        <v>0</v>
      </c>
      <c r="R33" s="34">
        <f t="shared" si="15"/>
        <v>0</v>
      </c>
      <c r="S33" s="34">
        <f t="shared" si="15"/>
        <v>0</v>
      </c>
      <c r="T33" s="34">
        <f t="shared" si="15"/>
        <v>0</v>
      </c>
    </row>
    <row r="34" spans="1:20" x14ac:dyDescent="0.3">
      <c r="A34" s="32">
        <f t="shared" si="1"/>
        <v>27</v>
      </c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3">
      <c r="A35" s="32">
        <f t="shared" si="1"/>
        <v>28</v>
      </c>
      <c r="B35" s="32">
        <v>5</v>
      </c>
      <c r="C35" s="33" t="s">
        <v>1</v>
      </c>
      <c r="D35" s="34">
        <f>SUM(E35:F35)</f>
        <v>0</v>
      </c>
      <c r="E35" s="34">
        <f>+'Temperature Adjustment'!B30</f>
        <v>0</v>
      </c>
      <c r="F35" s="34">
        <f>SUM(G35:H35)</f>
        <v>0</v>
      </c>
      <c r="G35" s="34">
        <v>0</v>
      </c>
      <c r="H35" s="34">
        <f t="shared" ref="H35" si="16">SUM(I35:T35)</f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</row>
    <row r="36" spans="1:20" x14ac:dyDescent="0.3">
      <c r="A36" s="32">
        <f t="shared" si="1"/>
        <v>29</v>
      </c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x14ac:dyDescent="0.3">
      <c r="A37" s="32">
        <f t="shared" si="1"/>
        <v>30</v>
      </c>
      <c r="B37" s="33"/>
      <c r="C37" s="33" t="s">
        <v>117</v>
      </c>
      <c r="D37" s="34">
        <f t="shared" ref="D37:T37" si="17">SUM(D33,D35)</f>
        <v>2.0447916388511658</v>
      </c>
      <c r="E37" s="34">
        <f t="shared" si="17"/>
        <v>-1.4187123859301209E-2</v>
      </c>
      <c r="F37" s="34">
        <f t="shared" si="17"/>
        <v>2.0589787364006042</v>
      </c>
      <c r="G37" s="34">
        <f t="shared" si="17"/>
        <v>2.0589787550270557</v>
      </c>
      <c r="H37" s="34">
        <f t="shared" si="17"/>
        <v>0</v>
      </c>
      <c r="I37" s="34">
        <f t="shared" si="17"/>
        <v>0</v>
      </c>
      <c r="J37" s="34">
        <f t="shared" si="17"/>
        <v>0</v>
      </c>
      <c r="K37" s="34">
        <f t="shared" si="17"/>
        <v>0</v>
      </c>
      <c r="L37" s="34">
        <f t="shared" si="17"/>
        <v>0</v>
      </c>
      <c r="M37" s="34">
        <f t="shared" si="17"/>
        <v>0</v>
      </c>
      <c r="N37" s="34">
        <f t="shared" si="17"/>
        <v>0</v>
      </c>
      <c r="O37" s="34">
        <f t="shared" si="17"/>
        <v>0</v>
      </c>
      <c r="P37" s="34">
        <f t="shared" si="17"/>
        <v>0</v>
      </c>
      <c r="Q37" s="34">
        <f t="shared" si="17"/>
        <v>0</v>
      </c>
      <c r="R37" s="34">
        <f t="shared" si="17"/>
        <v>0</v>
      </c>
      <c r="S37" s="34">
        <f t="shared" si="17"/>
        <v>0</v>
      </c>
      <c r="T37" s="34">
        <f t="shared" si="17"/>
        <v>0</v>
      </c>
    </row>
    <row r="38" spans="1:20" x14ac:dyDescent="0.3">
      <c r="I38" s="40"/>
      <c r="J38" s="40"/>
      <c r="K38" s="40"/>
    </row>
    <row r="39" spans="1:20" x14ac:dyDescent="0.3">
      <c r="I39" s="40"/>
      <c r="J39" s="40"/>
      <c r="K39" s="40"/>
    </row>
    <row r="40" spans="1:20" x14ac:dyDescent="0.3">
      <c r="I40" s="40"/>
      <c r="J40" s="40"/>
      <c r="K40" s="40"/>
    </row>
    <row r="41" spans="1:20" x14ac:dyDescent="0.3">
      <c r="I41" s="40"/>
      <c r="J41" s="40"/>
      <c r="K41" s="40"/>
    </row>
    <row r="42" spans="1:20" x14ac:dyDescent="0.3">
      <c r="I42" s="40"/>
      <c r="J42" s="40"/>
      <c r="K42" s="40"/>
    </row>
    <row r="43" spans="1:20" x14ac:dyDescent="0.3">
      <c r="I43" s="40"/>
      <c r="J43" s="40"/>
      <c r="K43" s="40"/>
    </row>
    <row r="44" spans="1:20" x14ac:dyDescent="0.3">
      <c r="I44" s="40"/>
      <c r="J44" s="40"/>
      <c r="K44" s="40"/>
    </row>
    <row r="45" spans="1:20" x14ac:dyDescent="0.3">
      <c r="I45" s="40"/>
      <c r="J45" s="40"/>
      <c r="K45" s="40"/>
    </row>
    <row r="46" spans="1:20" x14ac:dyDescent="0.3">
      <c r="I46" s="40"/>
      <c r="J46" s="40"/>
      <c r="K46" s="40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5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xSplit="8" ySplit="7" topLeftCell="I8" activePane="bottomRight" state="frozen"/>
      <selection sqref="A1:T37"/>
      <selection pane="topRight" sqref="A1:T37"/>
      <selection pane="bottomLeft" sqref="A1:T37"/>
      <selection pane="bottomRight" activeCell="I23" sqref="I23"/>
    </sheetView>
  </sheetViews>
  <sheetFormatPr defaultRowHeight="14.4" x14ac:dyDescent="0.3"/>
  <cols>
    <col min="1" max="1" width="7.77734375" style="30" bestFit="1" customWidth="1"/>
    <col min="2" max="2" width="14.33203125" style="30" bestFit="1" customWidth="1"/>
    <col min="3" max="3" width="22.44140625" style="30" bestFit="1" customWidth="1"/>
    <col min="4" max="4" width="13.33203125" style="30" bestFit="1" customWidth="1"/>
    <col min="5" max="5" width="11.5546875" style="30" bestFit="1" customWidth="1"/>
    <col min="6" max="6" width="13.44140625" style="30" bestFit="1" customWidth="1"/>
    <col min="7" max="7" width="11" style="30" bestFit="1" customWidth="1"/>
    <col min="8" max="8" width="14" style="30" bestFit="1" customWidth="1"/>
    <col min="9" max="20" width="11.5546875" style="30" bestFit="1" customWidth="1"/>
    <col min="21" max="16384" width="8.88671875" style="30"/>
  </cols>
  <sheetData>
    <row r="1" spans="1:20" x14ac:dyDescent="0.3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3">
      <c r="A2" s="90" t="s">
        <v>144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3">
      <c r="A3" s="90" t="s">
        <v>143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3">
      <c r="A4" s="90" t="str">
        <f>+'Proforma kWh'!$A$4</f>
        <v>Schedule 40 Migration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3">
      <c r="A5" s="90" t="s">
        <v>124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43.2" x14ac:dyDescent="0.3">
      <c r="A7" s="41" t="s">
        <v>4</v>
      </c>
      <c r="B7" s="41" t="s">
        <v>0</v>
      </c>
      <c r="C7" s="41" t="s">
        <v>5</v>
      </c>
      <c r="D7" s="38" t="s">
        <v>125</v>
      </c>
      <c r="E7" s="38" t="s">
        <v>120</v>
      </c>
      <c r="F7" s="38" t="s">
        <v>126</v>
      </c>
      <c r="G7" s="38" t="s">
        <v>127</v>
      </c>
      <c r="H7" s="38" t="str">
        <f>+'Sch 24 Sm Sec'!C5</f>
        <v>Total
January 2018 to
December 2018</v>
      </c>
      <c r="I7" s="38">
        <f>+'Sch 24 Sm Sec'!D5</f>
        <v>43101</v>
      </c>
      <c r="J7" s="38">
        <f>+'Sch 24 Sm Sec'!E5</f>
        <v>43132</v>
      </c>
      <c r="K7" s="38">
        <f>+'Sch 24 Sm Sec'!F5</f>
        <v>43160</v>
      </c>
      <c r="L7" s="38">
        <f>+'Sch 24 Sm Sec'!G5</f>
        <v>43191</v>
      </c>
      <c r="M7" s="38">
        <f>+'Sch 24 Sm Sec'!H5</f>
        <v>43221</v>
      </c>
      <c r="N7" s="38">
        <f>+'Sch 24 Sm Sec'!I5</f>
        <v>43252</v>
      </c>
      <c r="O7" s="38">
        <f>+'Sch 24 Sm Sec'!J5</f>
        <v>43282</v>
      </c>
      <c r="P7" s="38">
        <f>+'Sch 24 Sm Sec'!K5</f>
        <v>43313</v>
      </c>
      <c r="Q7" s="38">
        <f>+'Sch 24 Sm Sec'!L5</f>
        <v>43344</v>
      </c>
      <c r="R7" s="38">
        <f>+'Sch 24 Sm Sec'!M5</f>
        <v>43374</v>
      </c>
      <c r="S7" s="38">
        <f>+'Sch 24 Sm Sec'!N5</f>
        <v>43405</v>
      </c>
      <c r="T7" s="38">
        <f>+'Sch 24 Sm Sec'!O5</f>
        <v>43435</v>
      </c>
    </row>
    <row r="8" spans="1:20" x14ac:dyDescent="0.3">
      <c r="A8" s="32">
        <v>1</v>
      </c>
      <c r="B8" s="32">
        <v>7</v>
      </c>
      <c r="C8" s="33" t="s">
        <v>23</v>
      </c>
      <c r="D8" s="35">
        <f>SUM(E8:F8)</f>
        <v>0</v>
      </c>
      <c r="E8" s="35">
        <f>+'Temperature Adjustment'!B8</f>
        <v>0</v>
      </c>
      <c r="F8" s="35">
        <f>SUM(G8:H8)</f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</row>
    <row r="9" spans="1:20" x14ac:dyDescent="0.3">
      <c r="A9" s="32">
        <f>+A8+1</f>
        <v>2</v>
      </c>
      <c r="B9" s="32"/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x14ac:dyDescent="0.3">
      <c r="A10" s="32">
        <f t="shared" ref="A10:A37" si="0">+A9+1</f>
        <v>3</v>
      </c>
      <c r="B10" s="32" t="s">
        <v>2</v>
      </c>
      <c r="C10" s="37" t="s">
        <v>123</v>
      </c>
      <c r="D10" s="35">
        <f>SUM(E10:F10)</f>
        <v>0</v>
      </c>
      <c r="E10" s="35">
        <v>0</v>
      </c>
      <c r="F10" s="35">
        <f>SUM(G10:H10)</f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</row>
    <row r="11" spans="1:20" x14ac:dyDescent="0.3">
      <c r="A11" s="32">
        <f t="shared" si="0"/>
        <v>4</v>
      </c>
      <c r="B11" s="32"/>
      <c r="C11" s="3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3">
      <c r="A12" s="32">
        <f>+A11+1</f>
        <v>5</v>
      </c>
      <c r="B12" s="32" t="s">
        <v>113</v>
      </c>
      <c r="C12" s="33"/>
      <c r="D12" s="35">
        <f>SUM(E12:F12)</f>
        <v>77075</v>
      </c>
      <c r="E12" s="35">
        <f>+'Temperature Adjustment'!B9</f>
        <v>-93</v>
      </c>
      <c r="F12" s="35">
        <f t="shared" ref="F12:F15" si="1">SUM(G12:H12)</f>
        <v>77168</v>
      </c>
      <c r="G12" s="35">
        <f>+'Sch 24 Sm Sec'!C28</f>
        <v>-2761</v>
      </c>
      <c r="H12" s="35">
        <f>SUM(I12:T12)</f>
        <v>79929</v>
      </c>
      <c r="I12" s="35">
        <f>+'Sch 24 Sm Sec'!D24</f>
        <v>7432</v>
      </c>
      <c r="J12" s="35">
        <f>+'Sch 24 Sm Sec'!E24</f>
        <v>7224</v>
      </c>
      <c r="K12" s="35">
        <f>+'Sch 24 Sm Sec'!F24</f>
        <v>6813</v>
      </c>
      <c r="L12" s="35">
        <f>+'Sch 24 Sm Sec'!G24</f>
        <v>6201</v>
      </c>
      <c r="M12" s="35">
        <f>+'Sch 24 Sm Sec'!H24</f>
        <v>6267</v>
      </c>
      <c r="N12" s="35">
        <f>+'Sch 24 Sm Sec'!I24</f>
        <v>5853</v>
      </c>
      <c r="O12" s="35">
        <f>+'Sch 24 Sm Sec'!J24</f>
        <v>6655</v>
      </c>
      <c r="P12" s="35">
        <f>+'Sch 24 Sm Sec'!K24</f>
        <v>6584</v>
      </c>
      <c r="Q12" s="35">
        <f>+'Sch 24 Sm Sec'!L24</f>
        <v>6059</v>
      </c>
      <c r="R12" s="35">
        <f>+'Sch 24 Sm Sec'!M24</f>
        <v>6184</v>
      </c>
      <c r="S12" s="35">
        <f>+'Sch 24 Sm Sec'!N24</f>
        <v>7375</v>
      </c>
      <c r="T12" s="35">
        <f>+'Sch 24 Sm Sec'!O24</f>
        <v>7282</v>
      </c>
    </row>
    <row r="13" spans="1:20" x14ac:dyDescent="0.3">
      <c r="A13" s="32">
        <f t="shared" si="0"/>
        <v>6</v>
      </c>
      <c r="B13" s="31" t="s">
        <v>114</v>
      </c>
      <c r="C13" s="33"/>
      <c r="D13" s="35">
        <f>SUM(E13:F13)</f>
        <v>579724</v>
      </c>
      <c r="E13" s="35">
        <f>+'Temperature Adjustment'!B10</f>
        <v>-656</v>
      </c>
      <c r="F13" s="35">
        <f t="shared" si="1"/>
        <v>580380</v>
      </c>
      <c r="G13" s="35">
        <f>+'Sch 25 Med Sec'!C41</f>
        <v>-18734</v>
      </c>
      <c r="H13" s="35">
        <f>SUM(I13:T13)</f>
        <v>599114</v>
      </c>
      <c r="I13" s="35">
        <f>+'Sch 25 Med Sec'!D37</f>
        <v>56739</v>
      </c>
      <c r="J13" s="35">
        <f>+'Sch 25 Med Sec'!E37</f>
        <v>54281</v>
      </c>
      <c r="K13" s="35">
        <f>+'Sch 25 Med Sec'!F37</f>
        <v>57584</v>
      </c>
      <c r="L13" s="35">
        <f>+'Sch 25 Med Sec'!G37</f>
        <v>46189</v>
      </c>
      <c r="M13" s="35">
        <f>+'Sch 25 Med Sec'!H37</f>
        <v>46442</v>
      </c>
      <c r="N13" s="35">
        <f>+'Sch 25 Med Sec'!I37</f>
        <v>45815</v>
      </c>
      <c r="O13" s="35">
        <f>+'Sch 25 Med Sec'!J37</f>
        <v>47132</v>
      </c>
      <c r="P13" s="35">
        <f>+'Sch 25 Med Sec'!K37</f>
        <v>51388</v>
      </c>
      <c r="Q13" s="35">
        <f>+'Sch 25 Med Sec'!L37</f>
        <v>49064</v>
      </c>
      <c r="R13" s="35">
        <f>+'Sch 25 Med Sec'!M37</f>
        <v>51048</v>
      </c>
      <c r="S13" s="35">
        <f>+'Sch 25 Med Sec'!N37</f>
        <v>45645</v>
      </c>
      <c r="T13" s="35">
        <f>+'Sch 25 Med Sec'!O37</f>
        <v>47787</v>
      </c>
    </row>
    <row r="14" spans="1:20" x14ac:dyDescent="0.3">
      <c r="A14" s="32">
        <f t="shared" si="0"/>
        <v>7</v>
      </c>
      <c r="B14" s="32" t="s">
        <v>115</v>
      </c>
      <c r="C14" s="33"/>
      <c r="D14" s="35">
        <f>SUM(E14:F14)</f>
        <v>3264005</v>
      </c>
      <c r="E14" s="35">
        <f>+'Temperature Adjustment'!B11</f>
        <v>-5305</v>
      </c>
      <c r="F14" s="35">
        <f t="shared" si="1"/>
        <v>3269310</v>
      </c>
      <c r="G14" s="35">
        <f>+'Sch 26 Large Sec'!C35</f>
        <v>-102088</v>
      </c>
      <c r="H14" s="35">
        <f>SUM(I14:T14)</f>
        <v>3371398</v>
      </c>
      <c r="I14" s="35">
        <f>+'Sch 26 Large Sec'!D31</f>
        <v>166552</v>
      </c>
      <c r="J14" s="35">
        <f>+'Sch 26 Large Sec'!E31</f>
        <v>272893</v>
      </c>
      <c r="K14" s="35">
        <f>+'Sch 26 Large Sec'!F31</f>
        <v>316648</v>
      </c>
      <c r="L14" s="35">
        <f>+'Sch 26 Large Sec'!G31</f>
        <v>256881</v>
      </c>
      <c r="M14" s="35">
        <f>+'Sch 26 Large Sec'!H31</f>
        <v>275052</v>
      </c>
      <c r="N14" s="35">
        <f>+'Sch 26 Large Sec'!I31</f>
        <v>190306</v>
      </c>
      <c r="O14" s="35">
        <f>+'Sch 26 Large Sec'!J31</f>
        <v>377445</v>
      </c>
      <c r="P14" s="35">
        <f>+'Sch 26 Large Sec'!K31</f>
        <v>321067</v>
      </c>
      <c r="Q14" s="35">
        <f>+'Sch 26 Large Sec'!L31</f>
        <v>306447</v>
      </c>
      <c r="R14" s="35">
        <f>+'Sch 26 Large Sec'!M31</f>
        <v>300256</v>
      </c>
      <c r="S14" s="35">
        <f>+'Sch 26 Large Sec'!N31</f>
        <v>267620</v>
      </c>
      <c r="T14" s="35">
        <f>+'Sch 26 Large Sec'!O31</f>
        <v>320231</v>
      </c>
    </row>
    <row r="15" spans="1:20" x14ac:dyDescent="0.3">
      <c r="A15" s="32">
        <f t="shared" si="0"/>
        <v>8</v>
      </c>
      <c r="B15" s="32">
        <v>29</v>
      </c>
      <c r="C15" s="33"/>
      <c r="D15" s="35">
        <f>SUM(E15:F15)</f>
        <v>0</v>
      </c>
      <c r="E15" s="35">
        <f>+'Temperature Adjustment'!B12</f>
        <v>0</v>
      </c>
      <c r="F15" s="35">
        <f t="shared" si="1"/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</row>
    <row r="16" spans="1:20" x14ac:dyDescent="0.3">
      <c r="A16" s="32">
        <f t="shared" si="0"/>
        <v>9</v>
      </c>
      <c r="B16" s="32"/>
      <c r="C16" s="37" t="s">
        <v>24</v>
      </c>
      <c r="D16" s="35">
        <f t="shared" ref="D16:T16" si="2">SUM(D12:D15)</f>
        <v>3920804</v>
      </c>
      <c r="E16" s="35">
        <f t="shared" si="2"/>
        <v>-6054</v>
      </c>
      <c r="F16" s="35">
        <f t="shared" si="2"/>
        <v>3926858</v>
      </c>
      <c r="G16" s="35">
        <f t="shared" si="2"/>
        <v>-123583</v>
      </c>
      <c r="H16" s="35">
        <f t="shared" si="2"/>
        <v>4050441</v>
      </c>
      <c r="I16" s="35">
        <f t="shared" si="2"/>
        <v>230723</v>
      </c>
      <c r="J16" s="35">
        <f t="shared" si="2"/>
        <v>334398</v>
      </c>
      <c r="K16" s="35">
        <f t="shared" si="2"/>
        <v>381045</v>
      </c>
      <c r="L16" s="35">
        <f t="shared" si="2"/>
        <v>309271</v>
      </c>
      <c r="M16" s="35">
        <f t="shared" si="2"/>
        <v>327761</v>
      </c>
      <c r="N16" s="35">
        <f t="shared" si="2"/>
        <v>241974</v>
      </c>
      <c r="O16" s="35">
        <f t="shared" si="2"/>
        <v>431232</v>
      </c>
      <c r="P16" s="35">
        <f t="shared" si="2"/>
        <v>379039</v>
      </c>
      <c r="Q16" s="35">
        <f t="shared" si="2"/>
        <v>361570</v>
      </c>
      <c r="R16" s="35">
        <f t="shared" si="2"/>
        <v>357488</v>
      </c>
      <c r="S16" s="35">
        <f t="shared" si="2"/>
        <v>320640</v>
      </c>
      <c r="T16" s="35">
        <f t="shared" si="2"/>
        <v>375300</v>
      </c>
    </row>
    <row r="17" spans="1:20" x14ac:dyDescent="0.3">
      <c r="A17" s="32">
        <f t="shared" si="0"/>
        <v>10</v>
      </c>
      <c r="B17" s="32"/>
      <c r="C17" s="3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x14ac:dyDescent="0.3">
      <c r="A18" s="32">
        <f t="shared" si="0"/>
        <v>11</v>
      </c>
      <c r="B18" s="32" t="s">
        <v>116</v>
      </c>
      <c r="C18" s="33"/>
      <c r="D18" s="35">
        <f>SUM(E18:F18)</f>
        <v>8213770</v>
      </c>
      <c r="E18" s="35">
        <f>+'Temperature Adjustment'!B13</f>
        <v>-14661</v>
      </c>
      <c r="F18" s="35">
        <f t="shared" ref="F18:F20" si="3">SUM(G18:H18)</f>
        <v>8228431</v>
      </c>
      <c r="G18" s="35">
        <f>+'Sch 31 Pri Gen Svc'!C35</f>
        <v>-184495</v>
      </c>
      <c r="H18" s="35">
        <f>SUM(I18:T18)</f>
        <v>8412926</v>
      </c>
      <c r="I18" s="35">
        <f>+'Sch 31 Pri Gen Svc'!D31</f>
        <v>705349</v>
      </c>
      <c r="J18" s="35">
        <f>+'Sch 31 Pri Gen Svc'!E31</f>
        <v>878365</v>
      </c>
      <c r="K18" s="35">
        <f>+'Sch 31 Pri Gen Svc'!F31</f>
        <v>545328</v>
      </c>
      <c r="L18" s="35">
        <f>+'Sch 31 Pri Gen Svc'!G31</f>
        <v>623127</v>
      </c>
      <c r="M18" s="35">
        <f>+'Sch 31 Pri Gen Svc'!H31</f>
        <v>647912</v>
      </c>
      <c r="N18" s="35">
        <f>+'Sch 31 Pri Gen Svc'!I31</f>
        <v>424102</v>
      </c>
      <c r="O18" s="35">
        <f>+'Sch 31 Pri Gen Svc'!J31</f>
        <v>966906</v>
      </c>
      <c r="P18" s="35">
        <f>+'Sch 31 Pri Gen Svc'!K31</f>
        <v>710297</v>
      </c>
      <c r="Q18" s="35">
        <f>+'Sch 31 Pri Gen Svc'!L31</f>
        <v>598322</v>
      </c>
      <c r="R18" s="35">
        <f>+'Sch 31 Pri Gen Svc'!M31</f>
        <v>1031406</v>
      </c>
      <c r="S18" s="35">
        <f>+'Sch 31 Pri Gen Svc'!N31</f>
        <v>564147</v>
      </c>
      <c r="T18" s="35">
        <f>+'Sch 31 Pri Gen Svc'!O31</f>
        <v>717665</v>
      </c>
    </row>
    <row r="19" spans="1:20" x14ac:dyDescent="0.3">
      <c r="A19" s="32">
        <f t="shared" si="0"/>
        <v>12</v>
      </c>
      <c r="B19" s="32">
        <v>35</v>
      </c>
      <c r="C19" s="33"/>
      <c r="D19" s="35">
        <f>SUM(E19:F19)</f>
        <v>0</v>
      </c>
      <c r="E19" s="35">
        <v>0</v>
      </c>
      <c r="F19" s="35">
        <f t="shared" si="3"/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</row>
    <row r="20" spans="1:20" x14ac:dyDescent="0.3">
      <c r="A20" s="32">
        <f t="shared" si="0"/>
        <v>13</v>
      </c>
      <c r="B20" s="32">
        <v>43</v>
      </c>
      <c r="C20" s="33"/>
      <c r="D20" s="35">
        <f>SUM(E20:F20)</f>
        <v>0</v>
      </c>
      <c r="E20" s="35">
        <f>+'Temperature Adjustment'!B15</f>
        <v>0</v>
      </c>
      <c r="F20" s="35">
        <f t="shared" si="3"/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</row>
    <row r="21" spans="1:20" x14ac:dyDescent="0.3">
      <c r="A21" s="32">
        <f t="shared" si="0"/>
        <v>14</v>
      </c>
      <c r="B21" s="32"/>
      <c r="C21" s="33" t="s">
        <v>25</v>
      </c>
      <c r="D21" s="35">
        <f t="shared" ref="D21:T21" si="4">SUM(D18:D20)</f>
        <v>8213770</v>
      </c>
      <c r="E21" s="35">
        <f t="shared" si="4"/>
        <v>-14661</v>
      </c>
      <c r="F21" s="35">
        <f t="shared" si="4"/>
        <v>8228431</v>
      </c>
      <c r="G21" s="35">
        <f t="shared" si="4"/>
        <v>-184495</v>
      </c>
      <c r="H21" s="35">
        <f t="shared" si="4"/>
        <v>8412926</v>
      </c>
      <c r="I21" s="35">
        <f t="shared" si="4"/>
        <v>705349</v>
      </c>
      <c r="J21" s="35">
        <f t="shared" si="4"/>
        <v>878365</v>
      </c>
      <c r="K21" s="35">
        <f t="shared" si="4"/>
        <v>545328</v>
      </c>
      <c r="L21" s="35">
        <f t="shared" si="4"/>
        <v>623127</v>
      </c>
      <c r="M21" s="35">
        <f t="shared" si="4"/>
        <v>647912</v>
      </c>
      <c r="N21" s="35">
        <f t="shared" si="4"/>
        <v>424102</v>
      </c>
      <c r="O21" s="35">
        <f t="shared" si="4"/>
        <v>966906</v>
      </c>
      <c r="P21" s="35">
        <f t="shared" si="4"/>
        <v>710297</v>
      </c>
      <c r="Q21" s="35">
        <f t="shared" si="4"/>
        <v>598322</v>
      </c>
      <c r="R21" s="35">
        <f t="shared" si="4"/>
        <v>1031406</v>
      </c>
      <c r="S21" s="35">
        <f t="shared" si="4"/>
        <v>564147</v>
      </c>
      <c r="T21" s="35">
        <f t="shared" si="4"/>
        <v>717665</v>
      </c>
    </row>
    <row r="22" spans="1:20" x14ac:dyDescent="0.3">
      <c r="A22" s="32">
        <f t="shared" si="0"/>
        <v>15</v>
      </c>
      <c r="B22" s="32"/>
      <c r="C22" s="3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3">
      <c r="A23" s="32">
        <f t="shared" si="0"/>
        <v>16</v>
      </c>
      <c r="B23" s="32">
        <v>40</v>
      </c>
      <c r="C23" s="33" t="s">
        <v>109</v>
      </c>
      <c r="D23" s="35">
        <f>SUM(E23:F23)</f>
        <v>-36606417.07</v>
      </c>
      <c r="E23" s="35">
        <f>+'Temperature Adjustment'!B14</f>
        <v>43341</v>
      </c>
      <c r="F23" s="35">
        <f>SUM(G23:H23)</f>
        <v>-36649758.07</v>
      </c>
      <c r="G23" s="35">
        <f>+'Sch 40 Campus Svc'!C43</f>
        <v>1360265</v>
      </c>
      <c r="H23" s="35">
        <f>SUM(I23:T23)</f>
        <v>-38010023.07</v>
      </c>
      <c r="I23" s="35">
        <f>+'Sch 40 Campus Svc'!D39</f>
        <v>-3168709.7</v>
      </c>
      <c r="J23" s="35">
        <f>+'Sch 40 Campus Svc'!E39</f>
        <v>-3173912.33</v>
      </c>
      <c r="K23" s="35">
        <f>+'Sch 40 Campus Svc'!F39</f>
        <v>-3211475.53</v>
      </c>
      <c r="L23" s="35">
        <f>+'Sch 40 Campus Svc'!G39</f>
        <v>-3116394.73</v>
      </c>
      <c r="M23" s="35">
        <f>+'Sch 40 Campus Svc'!H39</f>
        <v>-3152687.4</v>
      </c>
      <c r="N23" s="35">
        <f>+'Sch 40 Campus Svc'!I39</f>
        <v>-2747903.5</v>
      </c>
      <c r="O23" s="35">
        <f>+'Sch 40 Campus Svc'!J39</f>
        <v>-3551653.97</v>
      </c>
      <c r="P23" s="35">
        <f>+'Sch 40 Campus Svc'!K39</f>
        <v>-3480672.48</v>
      </c>
      <c r="Q23" s="35">
        <f>+'Sch 40 Campus Svc'!L39</f>
        <v>-3206147.61</v>
      </c>
      <c r="R23" s="35">
        <f>+'Sch 40 Campus Svc'!M39</f>
        <v>-2625380.9500000002</v>
      </c>
      <c r="S23" s="35">
        <f>+'Sch 40 Campus Svc'!N39</f>
        <v>-3448312.09</v>
      </c>
      <c r="T23" s="35">
        <f>+'Sch 40 Campus Svc'!O39</f>
        <v>-3126772.78</v>
      </c>
    </row>
    <row r="24" spans="1:20" x14ac:dyDescent="0.3">
      <c r="A24" s="32">
        <f t="shared" si="0"/>
        <v>17</v>
      </c>
      <c r="B24" s="32"/>
      <c r="C24" s="3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x14ac:dyDescent="0.3">
      <c r="A25" s="32">
        <f t="shared" si="0"/>
        <v>18</v>
      </c>
      <c r="B25" s="32">
        <v>46</v>
      </c>
      <c r="C25" s="33"/>
      <c r="D25" s="35">
        <f>SUM(E25:F25)</f>
        <v>0</v>
      </c>
      <c r="E25" s="35">
        <v>0</v>
      </c>
      <c r="F25" s="35">
        <f t="shared" ref="F25:F26" si="5">SUM(G25:H25)</f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</row>
    <row r="26" spans="1:20" x14ac:dyDescent="0.3">
      <c r="A26" s="32">
        <f t="shared" si="0"/>
        <v>19</v>
      </c>
      <c r="B26" s="32">
        <v>49</v>
      </c>
      <c r="C26" s="33"/>
      <c r="D26" s="35">
        <f>SUM(E26:F26)</f>
        <v>0</v>
      </c>
      <c r="E26" s="35">
        <v>0</v>
      </c>
      <c r="F26" s="35">
        <f t="shared" si="5"/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</row>
    <row r="27" spans="1:20" x14ac:dyDescent="0.3">
      <c r="A27" s="32">
        <f t="shared" si="0"/>
        <v>20</v>
      </c>
      <c r="B27" s="32"/>
      <c r="C27" s="33" t="s">
        <v>26</v>
      </c>
      <c r="D27" s="35">
        <f t="shared" ref="D27:T27" si="6">SUM(D25:D26)</f>
        <v>0</v>
      </c>
      <c r="E27" s="35">
        <f t="shared" si="6"/>
        <v>0</v>
      </c>
      <c r="F27" s="35">
        <f t="shared" si="6"/>
        <v>0</v>
      </c>
      <c r="G27" s="35">
        <f t="shared" si="6"/>
        <v>0</v>
      </c>
      <c r="H27" s="35">
        <f t="shared" si="6"/>
        <v>0</v>
      </c>
      <c r="I27" s="35">
        <f t="shared" si="6"/>
        <v>0</v>
      </c>
      <c r="J27" s="35">
        <f t="shared" si="6"/>
        <v>0</v>
      </c>
      <c r="K27" s="35">
        <f t="shared" si="6"/>
        <v>0</v>
      </c>
      <c r="L27" s="35">
        <f t="shared" si="6"/>
        <v>0</v>
      </c>
      <c r="M27" s="35">
        <f t="shared" si="6"/>
        <v>0</v>
      </c>
      <c r="N27" s="35">
        <f t="shared" si="6"/>
        <v>0</v>
      </c>
      <c r="O27" s="35">
        <f t="shared" si="6"/>
        <v>0</v>
      </c>
      <c r="P27" s="35">
        <f t="shared" si="6"/>
        <v>0</v>
      </c>
      <c r="Q27" s="35">
        <f t="shared" si="6"/>
        <v>0</v>
      </c>
      <c r="R27" s="35">
        <f t="shared" si="6"/>
        <v>0</v>
      </c>
      <c r="S27" s="35">
        <f t="shared" si="6"/>
        <v>0</v>
      </c>
      <c r="T27" s="35">
        <f t="shared" si="6"/>
        <v>0</v>
      </c>
    </row>
    <row r="28" spans="1:20" x14ac:dyDescent="0.3">
      <c r="A28" s="32">
        <f t="shared" si="0"/>
        <v>21</v>
      </c>
      <c r="B28" s="32"/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3">
      <c r="A29" s="32">
        <f t="shared" si="0"/>
        <v>22</v>
      </c>
      <c r="B29" s="32" t="s">
        <v>27</v>
      </c>
      <c r="C29" s="33"/>
      <c r="D29" s="35">
        <f>SUM(E29:F29)</f>
        <v>0</v>
      </c>
      <c r="E29" s="35">
        <v>0</v>
      </c>
      <c r="F29" s="35">
        <f>SUM(G29:H29)</f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</row>
    <row r="30" spans="1:20" x14ac:dyDescent="0.3">
      <c r="A30" s="32">
        <f t="shared" si="0"/>
        <v>23</v>
      </c>
      <c r="B30" s="32"/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3">
      <c r="A31" s="32">
        <f t="shared" si="0"/>
        <v>24</v>
      </c>
      <c r="B31" s="71" t="s">
        <v>145</v>
      </c>
      <c r="C31" s="33"/>
      <c r="D31" s="35">
        <f>SUM(E31:F31)</f>
        <v>5493550</v>
      </c>
      <c r="E31" s="35">
        <v>0</v>
      </c>
      <c r="F31" s="35">
        <f>SUM(G31:H31)</f>
        <v>5493550</v>
      </c>
      <c r="G31" s="35">
        <f>+'Microsoft Special Contract'!C23</f>
        <v>-196073</v>
      </c>
      <c r="H31" s="35">
        <f>SUM(I31:T31)</f>
        <v>5689623</v>
      </c>
      <c r="I31" s="35">
        <f>+'Microsoft Special Contract'!D19</f>
        <v>433954</v>
      </c>
      <c r="J31" s="35">
        <f>+'Microsoft Special Contract'!E19</f>
        <v>425005</v>
      </c>
      <c r="K31" s="35">
        <f>+'Microsoft Special Contract'!F19</f>
        <v>498012</v>
      </c>
      <c r="L31" s="35">
        <f>+'Microsoft Special Contract'!G19</f>
        <v>466005</v>
      </c>
      <c r="M31" s="35">
        <f>+'Microsoft Special Contract'!H19</f>
        <v>490080</v>
      </c>
      <c r="N31" s="35">
        <f>+'Microsoft Special Contract'!I19</f>
        <v>456110</v>
      </c>
      <c r="O31" s="35">
        <f>+'Microsoft Special Contract'!J19</f>
        <v>478791</v>
      </c>
      <c r="P31" s="35">
        <f>+'Microsoft Special Contract'!K19</f>
        <v>507696</v>
      </c>
      <c r="Q31" s="35">
        <f>+'Microsoft Special Contract'!L19</f>
        <v>503920</v>
      </c>
      <c r="R31" s="35">
        <f>+'Microsoft Special Contract'!M19</f>
        <v>410246</v>
      </c>
      <c r="S31" s="35">
        <f>+'Microsoft Special Contract'!N19</f>
        <v>530900</v>
      </c>
      <c r="T31" s="35">
        <f>+'Microsoft Special Contract'!O19</f>
        <v>488904</v>
      </c>
    </row>
    <row r="32" spans="1:20" x14ac:dyDescent="0.3">
      <c r="A32" s="32">
        <f t="shared" si="0"/>
        <v>25</v>
      </c>
      <c r="B32" s="32"/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x14ac:dyDescent="0.3">
      <c r="A33" s="32">
        <f t="shared" si="0"/>
        <v>26</v>
      </c>
      <c r="B33" s="32"/>
      <c r="C33" s="33" t="s">
        <v>117</v>
      </c>
      <c r="D33" s="35">
        <f t="shared" ref="D33:T33" si="7">SUM(D8,D10,D16,D21,D23,D27,D29,D31)</f>
        <v>-18978293.07</v>
      </c>
      <c r="E33" s="35">
        <f t="shared" si="7"/>
        <v>22626</v>
      </c>
      <c r="F33" s="35">
        <f t="shared" si="7"/>
        <v>-19000919.07</v>
      </c>
      <c r="G33" s="35">
        <f t="shared" si="7"/>
        <v>856114</v>
      </c>
      <c r="H33" s="35">
        <f t="shared" si="7"/>
        <v>-19857033.07</v>
      </c>
      <c r="I33" s="35">
        <f t="shared" si="7"/>
        <v>-1798683.7000000002</v>
      </c>
      <c r="J33" s="35">
        <f t="shared" si="7"/>
        <v>-1536144.33</v>
      </c>
      <c r="K33" s="35">
        <f t="shared" si="7"/>
        <v>-1787090.5299999998</v>
      </c>
      <c r="L33" s="35">
        <f t="shared" si="7"/>
        <v>-1717991.73</v>
      </c>
      <c r="M33" s="35">
        <f t="shared" si="7"/>
        <v>-1686934.4</v>
      </c>
      <c r="N33" s="35">
        <f t="shared" si="7"/>
        <v>-1625717.5</v>
      </c>
      <c r="O33" s="35">
        <f t="shared" si="7"/>
        <v>-1674724.9700000002</v>
      </c>
      <c r="P33" s="35">
        <f t="shared" si="7"/>
        <v>-1883640.48</v>
      </c>
      <c r="Q33" s="35">
        <f t="shared" si="7"/>
        <v>-1742335.6099999999</v>
      </c>
      <c r="R33" s="35">
        <f t="shared" si="7"/>
        <v>-826240.95000000019</v>
      </c>
      <c r="S33" s="35">
        <f t="shared" si="7"/>
        <v>-2032625.0899999999</v>
      </c>
      <c r="T33" s="35">
        <f t="shared" si="7"/>
        <v>-1544903.7799999998</v>
      </c>
    </row>
    <row r="34" spans="1:20" x14ac:dyDescent="0.3">
      <c r="A34" s="32">
        <f t="shared" si="0"/>
        <v>27</v>
      </c>
      <c r="B34" s="32"/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x14ac:dyDescent="0.3">
      <c r="A35" s="32">
        <f t="shared" si="0"/>
        <v>28</v>
      </c>
      <c r="B35" s="32">
        <v>5</v>
      </c>
      <c r="C35" s="33" t="s">
        <v>1</v>
      </c>
      <c r="D35" s="35">
        <f>SUM(E35:F35)</f>
        <v>0</v>
      </c>
      <c r="E35" s="35">
        <f>+'Temperature Adjustment'!B16</f>
        <v>0</v>
      </c>
      <c r="F35" s="35">
        <f>SUM(G35:H35)</f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</row>
    <row r="36" spans="1:20" x14ac:dyDescent="0.3">
      <c r="A36" s="32">
        <f t="shared" si="0"/>
        <v>29</v>
      </c>
      <c r="B36" s="32"/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0" x14ac:dyDescent="0.3">
      <c r="A37" s="32">
        <f t="shared" si="0"/>
        <v>30</v>
      </c>
      <c r="B37" s="33"/>
      <c r="C37" s="33" t="s">
        <v>117</v>
      </c>
      <c r="D37" s="35">
        <f t="shared" ref="D37:T37" si="8">SUM(D33,D35)</f>
        <v>-18978293.07</v>
      </c>
      <c r="E37" s="35">
        <f t="shared" si="8"/>
        <v>22626</v>
      </c>
      <c r="F37" s="35">
        <f t="shared" si="8"/>
        <v>-19000919.07</v>
      </c>
      <c r="G37" s="35">
        <f t="shared" si="8"/>
        <v>856114</v>
      </c>
      <c r="H37" s="35">
        <f t="shared" si="8"/>
        <v>-19857033.07</v>
      </c>
      <c r="I37" s="35">
        <f t="shared" si="8"/>
        <v>-1798683.7000000002</v>
      </c>
      <c r="J37" s="35">
        <f t="shared" si="8"/>
        <v>-1536144.33</v>
      </c>
      <c r="K37" s="35">
        <f t="shared" si="8"/>
        <v>-1787090.5299999998</v>
      </c>
      <c r="L37" s="35">
        <f t="shared" si="8"/>
        <v>-1717991.73</v>
      </c>
      <c r="M37" s="35">
        <f t="shared" si="8"/>
        <v>-1686934.4</v>
      </c>
      <c r="N37" s="35">
        <f t="shared" si="8"/>
        <v>-1625717.5</v>
      </c>
      <c r="O37" s="35">
        <f t="shared" si="8"/>
        <v>-1674724.9700000002</v>
      </c>
      <c r="P37" s="35">
        <f t="shared" si="8"/>
        <v>-1883640.48</v>
      </c>
      <c r="Q37" s="35">
        <f t="shared" si="8"/>
        <v>-1742335.6099999999</v>
      </c>
      <c r="R37" s="35">
        <f t="shared" si="8"/>
        <v>-826240.95000000019</v>
      </c>
      <c r="S37" s="35">
        <f t="shared" si="8"/>
        <v>-2032625.0899999999</v>
      </c>
      <c r="T37" s="35">
        <f t="shared" si="8"/>
        <v>-1544903.7799999998</v>
      </c>
    </row>
    <row r="39" spans="1:20" x14ac:dyDescent="0.3"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0" x14ac:dyDescent="0.3"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2" spans="1:20" x14ac:dyDescent="0.3">
      <c r="H42" s="36"/>
    </row>
    <row r="43" spans="1:20" x14ac:dyDescent="0.3">
      <c r="H43" s="36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pane xSplit="1" ySplit="5" topLeftCell="B6" activePane="bottomRight" state="frozen"/>
      <selection sqref="A1:T37"/>
      <selection pane="topRight" sqref="A1:T37"/>
      <selection pane="bottomLeft" sqref="A1:T37"/>
      <selection pane="bottomRight" activeCell="C45" sqref="C45"/>
    </sheetView>
  </sheetViews>
  <sheetFormatPr defaultRowHeight="14.4" x14ac:dyDescent="0.3"/>
  <cols>
    <col min="1" max="1" width="20.88671875" style="30" bestFit="1" customWidth="1"/>
    <col min="2" max="2" width="14" style="30" bestFit="1" customWidth="1"/>
    <col min="3" max="14" width="11" style="30" bestFit="1" customWidth="1"/>
    <col min="15" max="16384" width="8.88671875" style="30"/>
  </cols>
  <sheetData>
    <row r="1" spans="1:14" x14ac:dyDescent="0.3">
      <c r="A1" s="42" t="s">
        <v>128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3">
      <c r="A2" s="42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3">
      <c r="A3" s="42" t="s">
        <v>142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4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43.8" thickBot="1" x14ac:dyDescent="0.35">
      <c r="A5" s="45"/>
      <c r="B5" s="79" t="str">
        <f>+'[1]Sch 7 Res'!C5</f>
        <v>Total
January 2018 to
December 2018</v>
      </c>
      <c r="C5" s="79">
        <f>+'[1]Sch 7 Res'!D5</f>
        <v>43101</v>
      </c>
      <c r="D5" s="79">
        <f>+'[1]Sch 7 Res'!E5</f>
        <v>43132</v>
      </c>
      <c r="E5" s="79">
        <f>+'[1]Sch 7 Res'!F5</f>
        <v>43160</v>
      </c>
      <c r="F5" s="79">
        <f>+'[1]Sch 7 Res'!G5</f>
        <v>43191</v>
      </c>
      <c r="G5" s="79">
        <f>+'[1]Sch 7 Res'!H5</f>
        <v>43221</v>
      </c>
      <c r="H5" s="79">
        <f>+'[1]Sch 7 Res'!I5</f>
        <v>43252</v>
      </c>
      <c r="I5" s="79">
        <f>+'[1]Sch 7 Res'!J5</f>
        <v>43282</v>
      </c>
      <c r="J5" s="79">
        <f>+'[1]Sch 7 Res'!K5</f>
        <v>43313</v>
      </c>
      <c r="K5" s="79">
        <f>+'[1]Sch 7 Res'!L5</f>
        <v>43344</v>
      </c>
      <c r="L5" s="79">
        <f>+'[1]Sch 7 Res'!M5</f>
        <v>43374</v>
      </c>
      <c r="M5" s="79">
        <f>+'[1]Sch 7 Res'!N5</f>
        <v>43405</v>
      </c>
      <c r="N5" s="79">
        <f>+'[1]Sch 7 Res'!O5</f>
        <v>43435</v>
      </c>
    </row>
    <row r="6" spans="1:14" x14ac:dyDescent="0.3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 x14ac:dyDescent="0.3">
      <c r="A7" s="59" t="s">
        <v>130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52"/>
    </row>
    <row r="8" spans="1:14" x14ac:dyDescent="0.3">
      <c r="A8" s="53" t="s">
        <v>131</v>
      </c>
      <c r="B8" s="47">
        <f>SUM(C8:N8)</f>
        <v>0</v>
      </c>
      <c r="C8" s="47">
        <f>ROUND(+C22*C37,0)</f>
        <v>0</v>
      </c>
      <c r="D8" s="47">
        <f t="shared" ref="D8:N8" si="0">ROUND(+D22*D37,0)</f>
        <v>0</v>
      </c>
      <c r="E8" s="47">
        <f t="shared" si="0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47">
        <f t="shared" si="0"/>
        <v>0</v>
      </c>
      <c r="M8" s="47">
        <f t="shared" si="0"/>
        <v>0</v>
      </c>
      <c r="N8" s="83">
        <f t="shared" si="0"/>
        <v>0</v>
      </c>
    </row>
    <row r="9" spans="1:14" x14ac:dyDescent="0.3">
      <c r="A9" s="57" t="s">
        <v>132</v>
      </c>
      <c r="B9" s="47">
        <f t="shared" ref="B9:B16" si="1">SUM(C9:N9)</f>
        <v>-93</v>
      </c>
      <c r="C9" s="47">
        <f t="shared" ref="C9:N17" si="2">ROUND(+C23*C38,0)</f>
        <v>52</v>
      </c>
      <c r="D9" s="47">
        <f t="shared" si="2"/>
        <v>-32</v>
      </c>
      <c r="E9" s="47">
        <f t="shared" si="2"/>
        <v>-3</v>
      </c>
      <c r="F9" s="47">
        <f t="shared" si="2"/>
        <v>5</v>
      </c>
      <c r="G9" s="47">
        <f t="shared" si="2"/>
        <v>0</v>
      </c>
      <c r="H9" s="47">
        <f t="shared" si="2"/>
        <v>-16</v>
      </c>
      <c r="I9" s="47">
        <f t="shared" si="2"/>
        <v>-146</v>
      </c>
      <c r="J9" s="47">
        <f t="shared" si="2"/>
        <v>-79</v>
      </c>
      <c r="K9" s="47">
        <f t="shared" si="2"/>
        <v>5</v>
      </c>
      <c r="L9" s="47">
        <f t="shared" si="2"/>
        <v>12</v>
      </c>
      <c r="M9" s="47">
        <f t="shared" si="2"/>
        <v>56</v>
      </c>
      <c r="N9" s="83">
        <f t="shared" si="2"/>
        <v>53</v>
      </c>
    </row>
    <row r="10" spans="1:14" x14ac:dyDescent="0.3">
      <c r="A10" s="57" t="s">
        <v>133</v>
      </c>
      <c r="B10" s="47">
        <f t="shared" si="1"/>
        <v>-656</v>
      </c>
      <c r="C10" s="47">
        <f t="shared" si="2"/>
        <v>300</v>
      </c>
      <c r="D10" s="47">
        <f t="shared" si="2"/>
        <v>-177</v>
      </c>
      <c r="E10" s="47">
        <f t="shared" si="2"/>
        <v>-16</v>
      </c>
      <c r="F10" s="47">
        <f t="shared" si="2"/>
        <v>30</v>
      </c>
      <c r="G10" s="47">
        <f t="shared" si="2"/>
        <v>1</v>
      </c>
      <c r="H10" s="47">
        <f t="shared" si="2"/>
        <v>-96</v>
      </c>
      <c r="I10" s="47">
        <f t="shared" si="2"/>
        <v>-806</v>
      </c>
      <c r="J10" s="47">
        <f t="shared" si="2"/>
        <v>-488</v>
      </c>
      <c r="K10" s="47">
        <f t="shared" si="2"/>
        <v>32</v>
      </c>
      <c r="L10" s="47">
        <f t="shared" si="2"/>
        <v>70</v>
      </c>
      <c r="M10" s="47">
        <f t="shared" si="2"/>
        <v>240</v>
      </c>
      <c r="N10" s="83">
        <f t="shared" si="2"/>
        <v>254</v>
      </c>
    </row>
    <row r="11" spans="1:14" x14ac:dyDescent="0.3">
      <c r="A11" s="57" t="s">
        <v>134</v>
      </c>
      <c r="B11" s="47">
        <f t="shared" si="1"/>
        <v>-5305</v>
      </c>
      <c r="C11" s="47">
        <f t="shared" si="2"/>
        <v>1545</v>
      </c>
      <c r="D11" s="47">
        <f t="shared" si="2"/>
        <v>-876</v>
      </c>
      <c r="E11" s="47">
        <f t="shared" si="2"/>
        <v>-88</v>
      </c>
      <c r="F11" s="47">
        <f t="shared" si="2"/>
        <v>164</v>
      </c>
      <c r="G11" s="47">
        <f t="shared" si="2"/>
        <v>3</v>
      </c>
      <c r="H11" s="47">
        <f t="shared" si="2"/>
        <v>-394</v>
      </c>
      <c r="I11" s="47">
        <f t="shared" si="2"/>
        <v>-6406</v>
      </c>
      <c r="J11" s="47">
        <f t="shared" si="2"/>
        <v>-3017</v>
      </c>
      <c r="K11" s="47">
        <f t="shared" si="2"/>
        <v>199</v>
      </c>
      <c r="L11" s="47">
        <f t="shared" si="2"/>
        <v>403</v>
      </c>
      <c r="M11" s="47">
        <f t="shared" si="2"/>
        <v>1463</v>
      </c>
      <c r="N11" s="83">
        <f t="shared" si="2"/>
        <v>1699</v>
      </c>
    </row>
    <row r="12" spans="1:14" x14ac:dyDescent="0.3">
      <c r="A12" s="53" t="s">
        <v>135</v>
      </c>
      <c r="B12" s="47">
        <f t="shared" si="1"/>
        <v>0</v>
      </c>
      <c r="C12" s="47">
        <f t="shared" si="2"/>
        <v>0</v>
      </c>
      <c r="D12" s="47">
        <f t="shared" si="2"/>
        <v>0</v>
      </c>
      <c r="E12" s="47">
        <f t="shared" si="2"/>
        <v>0</v>
      </c>
      <c r="F12" s="47">
        <f t="shared" si="2"/>
        <v>0</v>
      </c>
      <c r="G12" s="47">
        <f t="shared" si="2"/>
        <v>0</v>
      </c>
      <c r="H12" s="47">
        <f t="shared" si="2"/>
        <v>0</v>
      </c>
      <c r="I12" s="47">
        <f t="shared" si="2"/>
        <v>0</v>
      </c>
      <c r="J12" s="47">
        <f t="shared" si="2"/>
        <v>0</v>
      </c>
      <c r="K12" s="47">
        <f t="shared" si="2"/>
        <v>0</v>
      </c>
      <c r="L12" s="47">
        <f t="shared" si="2"/>
        <v>0</v>
      </c>
      <c r="M12" s="47">
        <f t="shared" si="2"/>
        <v>0</v>
      </c>
      <c r="N12" s="83">
        <f t="shared" si="2"/>
        <v>0</v>
      </c>
    </row>
    <row r="13" spans="1:14" x14ac:dyDescent="0.3">
      <c r="A13" s="57" t="s">
        <v>136</v>
      </c>
      <c r="B13" s="47">
        <f t="shared" si="1"/>
        <v>-14661</v>
      </c>
      <c r="C13" s="47">
        <f t="shared" si="2"/>
        <v>3564</v>
      </c>
      <c r="D13" s="47">
        <f t="shared" si="2"/>
        <v>-2835</v>
      </c>
      <c r="E13" s="47">
        <f t="shared" si="2"/>
        <v>-150</v>
      </c>
      <c r="F13" s="47">
        <f t="shared" si="2"/>
        <v>394</v>
      </c>
      <c r="G13" s="47">
        <f t="shared" si="2"/>
        <v>8</v>
      </c>
      <c r="H13" s="47">
        <f t="shared" si="2"/>
        <v>-887</v>
      </c>
      <c r="I13" s="47">
        <f t="shared" si="2"/>
        <v>-16608</v>
      </c>
      <c r="J13" s="47">
        <f t="shared" si="2"/>
        <v>-6705</v>
      </c>
      <c r="K13" s="47">
        <f t="shared" si="2"/>
        <v>398</v>
      </c>
      <c r="L13" s="47">
        <f t="shared" si="2"/>
        <v>1396</v>
      </c>
      <c r="M13" s="47">
        <f t="shared" si="2"/>
        <v>3037</v>
      </c>
      <c r="N13" s="83">
        <f t="shared" si="2"/>
        <v>3727</v>
      </c>
    </row>
    <row r="14" spans="1:14" x14ac:dyDescent="0.3">
      <c r="A14" s="58" t="s">
        <v>110</v>
      </c>
      <c r="B14" s="47">
        <f t="shared" si="1"/>
        <v>43341</v>
      </c>
      <c r="C14" s="47">
        <f t="shared" si="2"/>
        <v>-17020</v>
      </c>
      <c r="D14" s="47">
        <f t="shared" si="2"/>
        <v>10314</v>
      </c>
      <c r="E14" s="47">
        <f t="shared" si="2"/>
        <v>903</v>
      </c>
      <c r="F14" s="47">
        <f t="shared" si="2"/>
        <v>-1831</v>
      </c>
      <c r="G14" s="47">
        <f t="shared" si="2"/>
        <v>-36</v>
      </c>
      <c r="H14" s="47">
        <f t="shared" si="2"/>
        <v>5182</v>
      </c>
      <c r="I14" s="47">
        <f t="shared" si="2"/>
        <v>56818</v>
      </c>
      <c r="J14" s="47">
        <f t="shared" si="2"/>
        <v>29740</v>
      </c>
      <c r="K14" s="47">
        <f t="shared" si="2"/>
        <v>-1925</v>
      </c>
      <c r="L14" s="47">
        <f t="shared" si="2"/>
        <v>-3539</v>
      </c>
      <c r="M14" s="47">
        <f t="shared" si="2"/>
        <v>-18892</v>
      </c>
      <c r="N14" s="83">
        <f t="shared" si="2"/>
        <v>-16373</v>
      </c>
    </row>
    <row r="15" spans="1:14" x14ac:dyDescent="0.3">
      <c r="A15" s="53" t="s">
        <v>137</v>
      </c>
      <c r="B15" s="47">
        <f t="shared" si="1"/>
        <v>0</v>
      </c>
      <c r="C15" s="47">
        <f t="shared" si="2"/>
        <v>0</v>
      </c>
      <c r="D15" s="47">
        <f t="shared" si="2"/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83">
        <f t="shared" si="2"/>
        <v>0</v>
      </c>
    </row>
    <row r="16" spans="1:14" x14ac:dyDescent="0.3">
      <c r="A16" s="58" t="s">
        <v>1</v>
      </c>
      <c r="B16" s="47">
        <f t="shared" si="1"/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83">
        <f t="shared" si="2"/>
        <v>0</v>
      </c>
    </row>
    <row r="17" spans="1:14" x14ac:dyDescent="0.3">
      <c r="A17" s="58" t="s">
        <v>164</v>
      </c>
      <c r="B17" s="47">
        <f t="shared" ref="B17" si="3">SUM(C17:N17)</f>
        <v>0</v>
      </c>
      <c r="C17" s="47">
        <f t="shared" si="2"/>
        <v>0</v>
      </c>
      <c r="D17" s="47">
        <f t="shared" si="2"/>
        <v>0</v>
      </c>
      <c r="E17" s="47">
        <f t="shared" si="2"/>
        <v>0</v>
      </c>
      <c r="F17" s="47">
        <f t="shared" si="2"/>
        <v>0</v>
      </c>
      <c r="G17" s="47">
        <f t="shared" si="2"/>
        <v>0</v>
      </c>
      <c r="H17" s="47">
        <f t="shared" si="2"/>
        <v>0</v>
      </c>
      <c r="I17" s="47">
        <f t="shared" si="2"/>
        <v>0</v>
      </c>
      <c r="J17" s="47">
        <f t="shared" si="2"/>
        <v>0</v>
      </c>
      <c r="K17" s="47">
        <f t="shared" si="2"/>
        <v>0</v>
      </c>
      <c r="L17" s="47">
        <f t="shared" si="2"/>
        <v>0</v>
      </c>
      <c r="M17" s="47">
        <f t="shared" si="2"/>
        <v>0</v>
      </c>
      <c r="N17" s="83">
        <f t="shared" si="2"/>
        <v>0</v>
      </c>
    </row>
    <row r="18" spans="1:14" x14ac:dyDescent="0.3">
      <c r="A18" s="59" t="s">
        <v>138</v>
      </c>
      <c r="B18" s="47">
        <f t="shared" ref="B18:N18" si="4">SUM(B8:B17)</f>
        <v>22626</v>
      </c>
      <c r="C18" s="47">
        <f t="shared" si="4"/>
        <v>-11559</v>
      </c>
      <c r="D18" s="47">
        <f t="shared" si="4"/>
        <v>6394</v>
      </c>
      <c r="E18" s="47">
        <f t="shared" si="4"/>
        <v>646</v>
      </c>
      <c r="F18" s="47">
        <f t="shared" si="4"/>
        <v>-1238</v>
      </c>
      <c r="G18" s="47">
        <f t="shared" si="4"/>
        <v>-24</v>
      </c>
      <c r="H18" s="47">
        <f t="shared" si="4"/>
        <v>3789</v>
      </c>
      <c r="I18" s="47">
        <f t="shared" si="4"/>
        <v>32852</v>
      </c>
      <c r="J18" s="47">
        <f t="shared" si="4"/>
        <v>19451</v>
      </c>
      <c r="K18" s="47">
        <f t="shared" si="4"/>
        <v>-1291</v>
      </c>
      <c r="L18" s="47">
        <f t="shared" si="4"/>
        <v>-1658</v>
      </c>
      <c r="M18" s="47">
        <f t="shared" si="4"/>
        <v>-14096</v>
      </c>
      <c r="N18" s="83">
        <f t="shared" si="4"/>
        <v>-10640</v>
      </c>
    </row>
    <row r="19" spans="1:14" ht="15" thickBot="1" x14ac:dyDescent="0.35">
      <c r="A19" s="5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83"/>
    </row>
    <row r="20" spans="1:14" x14ac:dyDescent="0.3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1:14" x14ac:dyDescent="0.3">
      <c r="A21" s="51" t="s">
        <v>139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2"/>
    </row>
    <row r="22" spans="1:14" x14ac:dyDescent="0.3">
      <c r="A22" s="53" t="s">
        <v>131</v>
      </c>
      <c r="B22" s="54">
        <f>SUM(C22:N22)</f>
        <v>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1:14" x14ac:dyDescent="0.3">
      <c r="A23" s="57" t="s">
        <v>132</v>
      </c>
      <c r="B23" s="54">
        <f t="shared" ref="B23:B30" si="5">SUM(C23:N23)</f>
        <v>-1107</v>
      </c>
      <c r="C23" s="55">
        <f>+C58</f>
        <v>573</v>
      </c>
      <c r="D23" s="55">
        <f t="shared" ref="D23:N23" si="6">+D58</f>
        <v>-351</v>
      </c>
      <c r="E23" s="55">
        <f t="shared" si="6"/>
        <v>-29</v>
      </c>
      <c r="F23" s="55">
        <f t="shared" si="6"/>
        <v>57</v>
      </c>
      <c r="G23" s="55">
        <f t="shared" si="6"/>
        <v>1</v>
      </c>
      <c r="H23" s="55">
        <f t="shared" si="6"/>
        <v>-178</v>
      </c>
      <c r="I23" s="55">
        <f t="shared" si="6"/>
        <v>-1664</v>
      </c>
      <c r="J23" s="55">
        <f t="shared" si="6"/>
        <v>-899</v>
      </c>
      <c r="K23" s="55">
        <f t="shared" si="6"/>
        <v>58</v>
      </c>
      <c r="L23" s="55">
        <f t="shared" si="6"/>
        <v>129</v>
      </c>
      <c r="M23" s="55">
        <f t="shared" si="6"/>
        <v>612</v>
      </c>
      <c r="N23" s="56">
        <f t="shared" si="6"/>
        <v>584</v>
      </c>
    </row>
    <row r="24" spans="1:14" x14ac:dyDescent="0.3">
      <c r="A24" s="57" t="s">
        <v>133</v>
      </c>
      <c r="B24" s="54">
        <f t="shared" si="5"/>
        <v>-10259</v>
      </c>
      <c r="C24" s="55">
        <f t="shared" ref="C24:N25" si="7">+C59</f>
        <v>4676</v>
      </c>
      <c r="D24" s="55">
        <f t="shared" si="7"/>
        <v>-2760</v>
      </c>
      <c r="E24" s="55">
        <f t="shared" si="7"/>
        <v>-252</v>
      </c>
      <c r="F24" s="55">
        <f t="shared" si="7"/>
        <v>463</v>
      </c>
      <c r="G24" s="55">
        <f t="shared" si="7"/>
        <v>9</v>
      </c>
      <c r="H24" s="55">
        <f t="shared" si="7"/>
        <v>-1504</v>
      </c>
      <c r="I24" s="55">
        <f t="shared" si="7"/>
        <v>-12585</v>
      </c>
      <c r="J24" s="55">
        <f t="shared" si="7"/>
        <v>-7618</v>
      </c>
      <c r="K24" s="55">
        <f t="shared" si="7"/>
        <v>504</v>
      </c>
      <c r="L24" s="55">
        <f t="shared" si="7"/>
        <v>1085</v>
      </c>
      <c r="M24" s="55">
        <f t="shared" si="7"/>
        <v>3753</v>
      </c>
      <c r="N24" s="56">
        <f t="shared" si="7"/>
        <v>3970</v>
      </c>
    </row>
    <row r="25" spans="1:14" x14ac:dyDescent="0.3">
      <c r="A25" s="57" t="s">
        <v>134</v>
      </c>
      <c r="B25" s="54">
        <f t="shared" si="5"/>
        <v>-92765</v>
      </c>
      <c r="C25" s="55">
        <f t="shared" si="7"/>
        <v>27017</v>
      </c>
      <c r="D25" s="55">
        <f t="shared" si="7"/>
        <v>-15327</v>
      </c>
      <c r="E25" s="55">
        <f t="shared" si="7"/>
        <v>-1533</v>
      </c>
      <c r="F25" s="55">
        <f t="shared" si="7"/>
        <v>2861</v>
      </c>
      <c r="G25" s="55">
        <f t="shared" si="7"/>
        <v>60</v>
      </c>
      <c r="H25" s="55">
        <f t="shared" si="7"/>
        <v>-6886</v>
      </c>
      <c r="I25" s="55">
        <f t="shared" si="7"/>
        <v>-112026</v>
      </c>
      <c r="J25" s="55">
        <f t="shared" si="7"/>
        <v>-52757</v>
      </c>
      <c r="K25" s="55">
        <f t="shared" si="7"/>
        <v>3482</v>
      </c>
      <c r="L25" s="55">
        <f t="shared" si="7"/>
        <v>7054</v>
      </c>
      <c r="M25" s="55">
        <f t="shared" si="7"/>
        <v>25579</v>
      </c>
      <c r="N25" s="56">
        <f t="shared" si="7"/>
        <v>29711</v>
      </c>
    </row>
    <row r="26" spans="1:14" x14ac:dyDescent="0.3">
      <c r="A26" s="53" t="s">
        <v>135</v>
      </c>
      <c r="B26" s="54">
        <f t="shared" si="5"/>
        <v>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4" x14ac:dyDescent="0.3">
      <c r="A27" s="57" t="s">
        <v>136</v>
      </c>
      <c r="B27" s="54">
        <f t="shared" si="5"/>
        <v>-266483</v>
      </c>
      <c r="C27" s="55">
        <f>+C61</f>
        <v>64792</v>
      </c>
      <c r="D27" s="55">
        <f t="shared" ref="D27:N27" si="8">+D61</f>
        <v>-51536</v>
      </c>
      <c r="E27" s="55">
        <f t="shared" si="8"/>
        <v>-2726</v>
      </c>
      <c r="F27" s="55">
        <f t="shared" si="8"/>
        <v>7164</v>
      </c>
      <c r="G27" s="55">
        <f t="shared" si="8"/>
        <v>148</v>
      </c>
      <c r="H27" s="55">
        <f t="shared" si="8"/>
        <v>-16123</v>
      </c>
      <c r="I27" s="55">
        <f t="shared" si="8"/>
        <v>-301887</v>
      </c>
      <c r="J27" s="55">
        <f t="shared" si="8"/>
        <v>-121884</v>
      </c>
      <c r="K27" s="55">
        <f t="shared" si="8"/>
        <v>7235</v>
      </c>
      <c r="L27" s="55">
        <f t="shared" si="8"/>
        <v>25381</v>
      </c>
      <c r="M27" s="55">
        <f t="shared" si="8"/>
        <v>55211</v>
      </c>
      <c r="N27" s="56">
        <f t="shared" si="8"/>
        <v>67742</v>
      </c>
    </row>
    <row r="28" spans="1:14" x14ac:dyDescent="0.3">
      <c r="A28" s="58" t="s">
        <v>110</v>
      </c>
      <c r="B28" s="54">
        <f t="shared" si="5"/>
        <v>823233.98581287614</v>
      </c>
      <c r="C28" s="55">
        <f>-'[1]Temperature Adjustment'!C28</f>
        <v>-323292.66937266284</v>
      </c>
      <c r="D28" s="55">
        <f>-'[1]Temperature Adjustment'!D28</f>
        <v>195910.88666604593</v>
      </c>
      <c r="E28" s="55">
        <f>-'[1]Temperature Adjustment'!E28</f>
        <v>17161.015193317213</v>
      </c>
      <c r="F28" s="55">
        <f>-'[1]Temperature Adjustment'!F28</f>
        <v>-34788.129201732998</v>
      </c>
      <c r="G28" s="55">
        <f>-'[1]Temperature Adjustment'!G28</f>
        <v>-681.77386271700243</v>
      </c>
      <c r="H28" s="55">
        <f>-'[1]Temperature Adjustment'!H28</f>
        <v>98430.767731719243</v>
      </c>
      <c r="I28" s="55">
        <f>-'[1]Temperature Adjustment'!I28</f>
        <v>1079249.845643267</v>
      </c>
      <c r="J28" s="55">
        <f>-'[1]Temperature Adjustment'!J28</f>
        <v>564902.90883828513</v>
      </c>
      <c r="K28" s="55">
        <f>-'[1]Temperature Adjustment'!K28</f>
        <v>-36566.553298201485</v>
      </c>
      <c r="L28" s="55">
        <f>-'[1]Temperature Adjustment'!L28</f>
        <v>-67226.783371692174</v>
      </c>
      <c r="M28" s="55">
        <f>-'[1]Temperature Adjustment'!M28</f>
        <v>-358852.25702775602</v>
      </c>
      <c r="N28" s="56">
        <f>-'[1]Temperature Adjustment'!N28</f>
        <v>-311013.27212499623</v>
      </c>
    </row>
    <row r="29" spans="1:14" x14ac:dyDescent="0.3">
      <c r="A29" s="53" t="s">
        <v>137</v>
      </c>
      <c r="B29" s="54">
        <f>SUM(C29:N29)</f>
        <v>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</row>
    <row r="30" spans="1:14" x14ac:dyDescent="0.3">
      <c r="A30" s="58" t="s">
        <v>1</v>
      </c>
      <c r="B30" s="54">
        <f t="shared" si="5"/>
        <v>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1:14" x14ac:dyDescent="0.3">
      <c r="A31" s="58" t="s">
        <v>164</v>
      </c>
      <c r="B31" s="54">
        <f t="shared" ref="B31" si="9">SUM(C31:N31)</f>
        <v>-452620</v>
      </c>
      <c r="C31" s="55">
        <f>+C62</f>
        <v>226235</v>
      </c>
      <c r="D31" s="55">
        <f t="shared" ref="D31:N31" si="10">+D62</f>
        <v>-125937</v>
      </c>
      <c r="E31" s="55">
        <f t="shared" si="10"/>
        <v>-12621</v>
      </c>
      <c r="F31" s="55">
        <f t="shared" si="10"/>
        <v>24243</v>
      </c>
      <c r="G31" s="55">
        <f t="shared" si="10"/>
        <v>464</v>
      </c>
      <c r="H31" s="55">
        <f t="shared" si="10"/>
        <v>-73740</v>
      </c>
      <c r="I31" s="55">
        <f t="shared" si="10"/>
        <v>-651088</v>
      </c>
      <c r="J31" s="55">
        <f t="shared" si="10"/>
        <v>-381745</v>
      </c>
      <c r="K31" s="55">
        <f t="shared" si="10"/>
        <v>25288</v>
      </c>
      <c r="L31" s="55">
        <f t="shared" si="10"/>
        <v>33578</v>
      </c>
      <c r="M31" s="55">
        <f t="shared" si="10"/>
        <v>273697</v>
      </c>
      <c r="N31" s="56">
        <f t="shared" si="10"/>
        <v>209006</v>
      </c>
    </row>
    <row r="32" spans="1:14" x14ac:dyDescent="0.3">
      <c r="A32" s="59" t="s">
        <v>138</v>
      </c>
      <c r="B32" s="46">
        <f t="shared" ref="B32:N32" si="11">SUM(B22:B31)</f>
        <v>-1.4187123859301209E-2</v>
      </c>
      <c r="C32" s="46">
        <f t="shared" si="11"/>
        <v>0.3306273371563293</v>
      </c>
      <c r="D32" s="46">
        <f t="shared" si="11"/>
        <v>-0.11333395406836644</v>
      </c>
      <c r="E32" s="46">
        <f t="shared" si="11"/>
        <v>1.519331721283379E-2</v>
      </c>
      <c r="F32" s="46">
        <f t="shared" si="11"/>
        <v>-0.12920173299789894</v>
      </c>
      <c r="G32" s="46">
        <f t="shared" si="11"/>
        <v>0.22613728299756986</v>
      </c>
      <c r="H32" s="46">
        <f t="shared" si="11"/>
        <v>-0.23226828075712547</v>
      </c>
      <c r="I32" s="46">
        <f t="shared" si="11"/>
        <v>-0.15435673296451569</v>
      </c>
      <c r="J32" s="46">
        <f t="shared" si="11"/>
        <v>-9.1161714866757393E-2</v>
      </c>
      <c r="K32" s="46">
        <f t="shared" si="11"/>
        <v>0.44670179851527791</v>
      </c>
      <c r="L32" s="46">
        <f t="shared" si="11"/>
        <v>0.21662830782588571</v>
      </c>
      <c r="M32" s="46">
        <f t="shared" si="11"/>
        <v>-0.25702775601530448</v>
      </c>
      <c r="N32" s="52">
        <f t="shared" si="11"/>
        <v>-0.27212499623419717</v>
      </c>
    </row>
    <row r="33" spans="1:14" x14ac:dyDescent="0.3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x14ac:dyDescent="0.3">
      <c r="A34" s="62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" thickBot="1" x14ac:dyDescent="0.35">
      <c r="A35" s="91" t="s">
        <v>140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1:14" x14ac:dyDescent="0.3">
      <c r="A36" s="66" t="s">
        <v>28</v>
      </c>
      <c r="B36" s="49"/>
      <c r="C36" s="94" t="s">
        <v>141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</row>
    <row r="37" spans="1:14" x14ac:dyDescent="0.3">
      <c r="A37" s="53" t="s">
        <v>131</v>
      </c>
      <c r="B37" s="54"/>
      <c r="C37" s="67">
        <v>0.106297</v>
      </c>
      <c r="D37" s="68">
        <f>+C37</f>
        <v>0.106297</v>
      </c>
      <c r="E37" s="68">
        <f t="shared" ref="E37:N37" si="12">+D37</f>
        <v>0.106297</v>
      </c>
      <c r="F37" s="68">
        <f t="shared" si="12"/>
        <v>0.106297</v>
      </c>
      <c r="G37" s="68">
        <f t="shared" si="12"/>
        <v>0.106297</v>
      </c>
      <c r="H37" s="68">
        <f t="shared" si="12"/>
        <v>0.106297</v>
      </c>
      <c r="I37" s="68">
        <f t="shared" si="12"/>
        <v>0.106297</v>
      </c>
      <c r="J37" s="68">
        <f t="shared" si="12"/>
        <v>0.106297</v>
      </c>
      <c r="K37" s="68">
        <f t="shared" si="12"/>
        <v>0.106297</v>
      </c>
      <c r="L37" s="68">
        <f t="shared" si="12"/>
        <v>0.106297</v>
      </c>
      <c r="M37" s="68">
        <f t="shared" si="12"/>
        <v>0.106297</v>
      </c>
      <c r="N37" s="69">
        <f t="shared" si="12"/>
        <v>0.106297</v>
      </c>
    </row>
    <row r="38" spans="1:14" x14ac:dyDescent="0.3">
      <c r="A38" s="57" t="s">
        <v>132</v>
      </c>
      <c r="B38" s="54"/>
      <c r="C38" s="67">
        <v>9.071499999999999E-2</v>
      </c>
      <c r="D38" s="68">
        <f t="shared" ref="D38:N45" si="13">+C38</f>
        <v>9.071499999999999E-2</v>
      </c>
      <c r="E38" s="68">
        <f t="shared" si="13"/>
        <v>9.071499999999999E-2</v>
      </c>
      <c r="F38" s="67">
        <v>8.7578000000000003E-2</v>
      </c>
      <c r="G38" s="68">
        <f t="shared" si="13"/>
        <v>8.7578000000000003E-2</v>
      </c>
      <c r="H38" s="68">
        <f t="shared" si="13"/>
        <v>8.7578000000000003E-2</v>
      </c>
      <c r="I38" s="68">
        <f t="shared" si="13"/>
        <v>8.7578000000000003E-2</v>
      </c>
      <c r="J38" s="68">
        <f t="shared" si="13"/>
        <v>8.7578000000000003E-2</v>
      </c>
      <c r="K38" s="68">
        <f t="shared" si="13"/>
        <v>8.7578000000000003E-2</v>
      </c>
      <c r="L38" s="67">
        <f>+C38</f>
        <v>9.071499999999999E-2</v>
      </c>
      <c r="M38" s="68">
        <f t="shared" si="13"/>
        <v>9.071499999999999E-2</v>
      </c>
      <c r="N38" s="69">
        <f t="shared" si="13"/>
        <v>9.071499999999999E-2</v>
      </c>
    </row>
    <row r="39" spans="1:14" x14ac:dyDescent="0.3">
      <c r="A39" s="57" t="s">
        <v>133</v>
      </c>
      <c r="B39" s="54"/>
      <c r="C39" s="67">
        <v>6.4072000000000004E-2</v>
      </c>
      <c r="D39" s="68">
        <f t="shared" si="13"/>
        <v>6.4072000000000004E-2</v>
      </c>
      <c r="E39" s="68">
        <f t="shared" si="13"/>
        <v>6.4072000000000004E-2</v>
      </c>
      <c r="F39" s="68">
        <f t="shared" si="13"/>
        <v>6.4072000000000004E-2</v>
      </c>
      <c r="G39" s="68">
        <f t="shared" si="13"/>
        <v>6.4072000000000004E-2</v>
      </c>
      <c r="H39" s="68">
        <f t="shared" si="13"/>
        <v>6.4072000000000004E-2</v>
      </c>
      <c r="I39" s="68">
        <f t="shared" si="13"/>
        <v>6.4072000000000004E-2</v>
      </c>
      <c r="J39" s="68">
        <f t="shared" si="13"/>
        <v>6.4072000000000004E-2</v>
      </c>
      <c r="K39" s="68">
        <f t="shared" si="13"/>
        <v>6.4072000000000004E-2</v>
      </c>
      <c r="L39" s="68">
        <f t="shared" si="13"/>
        <v>6.4072000000000004E-2</v>
      </c>
      <c r="M39" s="68">
        <f t="shared" si="13"/>
        <v>6.4072000000000004E-2</v>
      </c>
      <c r="N39" s="69">
        <f t="shared" si="13"/>
        <v>6.4072000000000004E-2</v>
      </c>
    </row>
    <row r="40" spans="1:14" x14ac:dyDescent="0.3">
      <c r="A40" s="57" t="s">
        <v>134</v>
      </c>
      <c r="B40" s="54"/>
      <c r="C40" s="67">
        <v>5.7180999999999996E-2</v>
      </c>
      <c r="D40" s="68">
        <f t="shared" si="13"/>
        <v>5.7180999999999996E-2</v>
      </c>
      <c r="E40" s="68">
        <f t="shared" si="13"/>
        <v>5.7180999999999996E-2</v>
      </c>
      <c r="F40" s="68">
        <f t="shared" si="13"/>
        <v>5.7180999999999996E-2</v>
      </c>
      <c r="G40" s="68">
        <f t="shared" si="13"/>
        <v>5.7180999999999996E-2</v>
      </c>
      <c r="H40" s="68">
        <f t="shared" si="13"/>
        <v>5.7180999999999996E-2</v>
      </c>
      <c r="I40" s="68">
        <f t="shared" si="13"/>
        <v>5.7180999999999996E-2</v>
      </c>
      <c r="J40" s="68">
        <f t="shared" si="13"/>
        <v>5.7180999999999996E-2</v>
      </c>
      <c r="K40" s="68">
        <f t="shared" si="13"/>
        <v>5.7180999999999996E-2</v>
      </c>
      <c r="L40" s="68">
        <f t="shared" si="13"/>
        <v>5.7180999999999996E-2</v>
      </c>
      <c r="M40" s="68">
        <f t="shared" si="13"/>
        <v>5.7180999999999996E-2</v>
      </c>
      <c r="N40" s="69">
        <f t="shared" si="13"/>
        <v>5.7180999999999996E-2</v>
      </c>
    </row>
    <row r="41" spans="1:14" x14ac:dyDescent="0.3">
      <c r="A41" s="53" t="s">
        <v>135</v>
      </c>
      <c r="B41" s="54"/>
      <c r="C41" s="67">
        <v>6.8867999999999999E-2</v>
      </c>
      <c r="D41" s="68">
        <f t="shared" si="13"/>
        <v>6.8867999999999999E-2</v>
      </c>
      <c r="E41" s="68">
        <f t="shared" si="13"/>
        <v>6.8867999999999999E-2</v>
      </c>
      <c r="F41" s="67">
        <v>5.3838999999999998E-2</v>
      </c>
      <c r="G41" s="68">
        <f t="shared" si="13"/>
        <v>5.3838999999999998E-2</v>
      </c>
      <c r="H41" s="68">
        <f t="shared" si="13"/>
        <v>5.3838999999999998E-2</v>
      </c>
      <c r="I41" s="68">
        <f t="shared" si="13"/>
        <v>5.3838999999999998E-2</v>
      </c>
      <c r="J41" s="68">
        <f t="shared" si="13"/>
        <v>5.3838999999999998E-2</v>
      </c>
      <c r="K41" s="68">
        <f t="shared" si="13"/>
        <v>5.3838999999999998E-2</v>
      </c>
      <c r="L41" s="67">
        <f>+C41</f>
        <v>6.8867999999999999E-2</v>
      </c>
      <c r="M41" s="68">
        <f t="shared" si="13"/>
        <v>6.8867999999999999E-2</v>
      </c>
      <c r="N41" s="69">
        <f t="shared" si="13"/>
        <v>6.8867999999999999E-2</v>
      </c>
    </row>
    <row r="42" spans="1:14" x14ac:dyDescent="0.3">
      <c r="A42" s="57" t="s">
        <v>136</v>
      </c>
      <c r="B42" s="54"/>
      <c r="C42" s="67">
        <v>5.5014E-2</v>
      </c>
      <c r="D42" s="68">
        <f t="shared" si="13"/>
        <v>5.5014E-2</v>
      </c>
      <c r="E42" s="68">
        <f t="shared" si="13"/>
        <v>5.5014E-2</v>
      </c>
      <c r="F42" s="68">
        <f t="shared" si="13"/>
        <v>5.5014E-2</v>
      </c>
      <c r="G42" s="68">
        <f t="shared" si="13"/>
        <v>5.5014E-2</v>
      </c>
      <c r="H42" s="68">
        <f t="shared" si="13"/>
        <v>5.5014E-2</v>
      </c>
      <c r="I42" s="68">
        <f t="shared" si="13"/>
        <v>5.5014E-2</v>
      </c>
      <c r="J42" s="68">
        <f t="shared" si="13"/>
        <v>5.5014E-2</v>
      </c>
      <c r="K42" s="68">
        <f t="shared" si="13"/>
        <v>5.5014E-2</v>
      </c>
      <c r="L42" s="68">
        <f t="shared" si="13"/>
        <v>5.5014E-2</v>
      </c>
      <c r="M42" s="68">
        <f t="shared" si="13"/>
        <v>5.5014E-2</v>
      </c>
      <c r="N42" s="69">
        <f t="shared" si="13"/>
        <v>5.5014E-2</v>
      </c>
    </row>
    <row r="43" spans="1:14" x14ac:dyDescent="0.3">
      <c r="A43" s="58" t="s">
        <v>110</v>
      </c>
      <c r="B43" s="54"/>
      <c r="C43" s="67">
        <v>5.2645514588249717E-2</v>
      </c>
      <c r="D43" s="68">
        <f t="shared" si="13"/>
        <v>5.2645514588249717E-2</v>
      </c>
      <c r="E43" s="68">
        <f t="shared" si="13"/>
        <v>5.2645514588249717E-2</v>
      </c>
      <c r="F43" s="68">
        <f t="shared" si="13"/>
        <v>5.2645514588249717E-2</v>
      </c>
      <c r="G43" s="68">
        <f t="shared" si="13"/>
        <v>5.2645514588249717E-2</v>
      </c>
      <c r="H43" s="68">
        <f t="shared" si="13"/>
        <v>5.2645514588249717E-2</v>
      </c>
      <c r="I43" s="68">
        <f t="shared" si="13"/>
        <v>5.2645514588249717E-2</v>
      </c>
      <c r="J43" s="68">
        <f t="shared" si="13"/>
        <v>5.2645514588249717E-2</v>
      </c>
      <c r="K43" s="68">
        <f t="shared" si="13"/>
        <v>5.2645514588249717E-2</v>
      </c>
      <c r="L43" s="68">
        <f t="shared" si="13"/>
        <v>5.2645514588249717E-2</v>
      </c>
      <c r="M43" s="68">
        <f t="shared" si="13"/>
        <v>5.2645514588249717E-2</v>
      </c>
      <c r="N43" s="69">
        <f t="shared" si="13"/>
        <v>5.2645514588249717E-2</v>
      </c>
    </row>
    <row r="44" spans="1:14" x14ac:dyDescent="0.3">
      <c r="A44" s="53" t="s">
        <v>137</v>
      </c>
      <c r="B44" s="54"/>
      <c r="C44" s="67">
        <v>5.7135999999999999E-2</v>
      </c>
      <c r="D44" s="68">
        <f t="shared" si="13"/>
        <v>5.7135999999999999E-2</v>
      </c>
      <c r="E44" s="68">
        <f t="shared" si="13"/>
        <v>5.7135999999999999E-2</v>
      </c>
      <c r="F44" s="68">
        <f t="shared" si="13"/>
        <v>5.7135999999999999E-2</v>
      </c>
      <c r="G44" s="68">
        <f t="shared" si="13"/>
        <v>5.7135999999999999E-2</v>
      </c>
      <c r="H44" s="68">
        <f t="shared" si="13"/>
        <v>5.7135999999999999E-2</v>
      </c>
      <c r="I44" s="68">
        <f t="shared" si="13"/>
        <v>5.7135999999999999E-2</v>
      </c>
      <c r="J44" s="68">
        <f t="shared" si="13"/>
        <v>5.7135999999999999E-2</v>
      </c>
      <c r="K44" s="68">
        <f t="shared" si="13"/>
        <v>5.7135999999999999E-2</v>
      </c>
      <c r="L44" s="68">
        <f t="shared" si="13"/>
        <v>5.7135999999999999E-2</v>
      </c>
      <c r="M44" s="68">
        <f t="shared" si="13"/>
        <v>5.7135999999999999E-2</v>
      </c>
      <c r="N44" s="69">
        <f t="shared" si="13"/>
        <v>5.7135999999999999E-2</v>
      </c>
    </row>
    <row r="45" spans="1:14" x14ac:dyDescent="0.3">
      <c r="A45" s="58" t="s">
        <v>1</v>
      </c>
      <c r="B45" s="54"/>
      <c r="C45" s="70">
        <v>3.5139999999999998E-2</v>
      </c>
      <c r="D45" s="68">
        <f t="shared" si="13"/>
        <v>3.5139999999999998E-2</v>
      </c>
      <c r="E45" s="68">
        <f t="shared" si="13"/>
        <v>3.5139999999999998E-2</v>
      </c>
      <c r="F45" s="68">
        <f t="shared" si="13"/>
        <v>3.5139999999999998E-2</v>
      </c>
      <c r="G45" s="68">
        <f t="shared" si="13"/>
        <v>3.5139999999999998E-2</v>
      </c>
      <c r="H45" s="68">
        <f t="shared" si="13"/>
        <v>3.5139999999999998E-2</v>
      </c>
      <c r="I45" s="68">
        <f t="shared" si="13"/>
        <v>3.5139999999999998E-2</v>
      </c>
      <c r="J45" s="68">
        <f t="shared" si="13"/>
        <v>3.5139999999999998E-2</v>
      </c>
      <c r="K45" s="68">
        <f t="shared" si="13"/>
        <v>3.5139999999999998E-2</v>
      </c>
      <c r="L45" s="68">
        <f t="shared" si="13"/>
        <v>3.5139999999999998E-2</v>
      </c>
      <c r="M45" s="68">
        <f t="shared" si="13"/>
        <v>3.5139999999999998E-2</v>
      </c>
      <c r="N45" s="69">
        <f t="shared" si="13"/>
        <v>3.5139999999999998E-2</v>
      </c>
    </row>
    <row r="46" spans="1:14" ht="15" thickBot="1" x14ac:dyDescent="0.35">
      <c r="A46" s="84" t="s">
        <v>164</v>
      </c>
      <c r="B46" s="85"/>
      <c r="C46" s="86">
        <v>0</v>
      </c>
      <c r="D46" s="87">
        <f t="shared" ref="D46" si="14">+C46</f>
        <v>0</v>
      </c>
      <c r="E46" s="87">
        <f t="shared" ref="E46" si="15">+D46</f>
        <v>0</v>
      </c>
      <c r="F46" s="87">
        <f t="shared" ref="F46" si="16">+E46</f>
        <v>0</v>
      </c>
      <c r="G46" s="87">
        <f t="shared" ref="G46" si="17">+F46</f>
        <v>0</v>
      </c>
      <c r="H46" s="87">
        <f t="shared" ref="H46" si="18">+G46</f>
        <v>0</v>
      </c>
      <c r="I46" s="87">
        <f t="shared" ref="I46" si="19">+H46</f>
        <v>0</v>
      </c>
      <c r="J46" s="87">
        <f t="shared" ref="J46" si="20">+I46</f>
        <v>0</v>
      </c>
      <c r="K46" s="87">
        <f t="shared" ref="K46" si="21">+J46</f>
        <v>0</v>
      </c>
      <c r="L46" s="87">
        <f t="shared" ref="L46" si="22">+K46</f>
        <v>0</v>
      </c>
      <c r="M46" s="87">
        <f t="shared" ref="M46" si="23">+L46</f>
        <v>0</v>
      </c>
      <c r="N46" s="88">
        <f t="shared" ref="N46" si="24">+M46</f>
        <v>0</v>
      </c>
    </row>
    <row r="49" spans="1:14" x14ac:dyDescent="0.3">
      <c r="A49" s="5" t="s">
        <v>154</v>
      </c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 s="8" t="s">
        <v>155</v>
      </c>
      <c r="B50" s="17">
        <f t="shared" ref="B50" si="25">SUM(C50:N50)</f>
        <v>885452</v>
      </c>
      <c r="C50" s="13">
        <f>+'Sch 40 Campus Svc'!D48</f>
        <v>81070</v>
      </c>
      <c r="D50" s="13">
        <f>+'Sch 40 Campus Svc'!E48</f>
        <v>78770</v>
      </c>
      <c r="E50" s="13">
        <f>+'Sch 40 Campus Svc'!F48</f>
        <v>74240</v>
      </c>
      <c r="F50" s="13">
        <f>+'Sch 40 Campus Svc'!G48</f>
        <v>69920</v>
      </c>
      <c r="G50" s="13">
        <f>+'Sch 40 Campus Svc'!H48</f>
        <v>70670</v>
      </c>
      <c r="H50" s="13">
        <f>+'Sch 40 Campus Svc'!I48</f>
        <v>65940</v>
      </c>
      <c r="I50" s="13">
        <f>+'Sch 40 Campus Svc'!J48</f>
        <v>75103</v>
      </c>
      <c r="J50" s="13">
        <f>+'Sch 40 Campus Svc'!K48</f>
        <v>74291</v>
      </c>
      <c r="K50" s="13">
        <f>+'Sch 40 Campus Svc'!L48</f>
        <v>68291</v>
      </c>
      <c r="L50" s="13">
        <f>+'Sch 40 Campus Svc'!M48</f>
        <v>67306</v>
      </c>
      <c r="M50" s="13">
        <f>+'Sch 40 Campus Svc'!N48</f>
        <v>80440</v>
      </c>
      <c r="N50" s="13">
        <f>+'Sch 40 Campus Svc'!O48</f>
        <v>79411</v>
      </c>
    </row>
    <row r="51" spans="1:14" x14ac:dyDescent="0.3">
      <c r="A51" s="8" t="s">
        <v>156</v>
      </c>
      <c r="B51" s="17">
        <f t="shared" ref="B51:B54" si="26">SUM(C51:N51)</f>
        <v>7019699</v>
      </c>
      <c r="C51" s="13">
        <f>+'Sch 40 Campus Svc'!D49</f>
        <v>661629</v>
      </c>
      <c r="D51" s="13">
        <f>+'Sch 40 Campus Svc'!E49</f>
        <v>618970</v>
      </c>
      <c r="E51" s="13">
        <f>+'Sch 40 Campus Svc'!F49</f>
        <v>653150</v>
      </c>
      <c r="F51" s="13">
        <f>+'Sch 40 Campus Svc'!G49</f>
        <v>565765</v>
      </c>
      <c r="G51" s="13">
        <f>+'Sch 40 Campus Svc'!H49</f>
        <v>569485</v>
      </c>
      <c r="H51" s="13">
        <f>+'Sch 40 Campus Svc'!I49</f>
        <v>556980</v>
      </c>
      <c r="I51" s="13">
        <f>+'Sch 40 Campus Svc'!J49</f>
        <v>568080</v>
      </c>
      <c r="J51" s="13">
        <f>+'Sch 40 Campus Svc'!K49</f>
        <v>629730</v>
      </c>
      <c r="K51" s="13">
        <f>+'Sch 40 Campus Svc'!L49</f>
        <v>597670</v>
      </c>
      <c r="L51" s="13">
        <f>+'Sch 40 Campus Svc'!M49</f>
        <v>565630</v>
      </c>
      <c r="M51" s="13">
        <f>+'Sch 40 Campus Svc'!N49</f>
        <v>493120</v>
      </c>
      <c r="N51" s="13">
        <f>+'Sch 40 Campus Svc'!O49</f>
        <v>539490</v>
      </c>
    </row>
    <row r="52" spans="1:14" x14ac:dyDescent="0.3">
      <c r="A52" s="8" t="s">
        <v>157</v>
      </c>
      <c r="B52" s="17">
        <f t="shared" si="26"/>
        <v>45633300</v>
      </c>
      <c r="C52" s="13">
        <f>+'Sch 40 Campus Svc'!D50</f>
        <v>3822900</v>
      </c>
      <c r="D52" s="13">
        <f>+'Sch 40 Campus Svc'!E50</f>
        <v>3436860</v>
      </c>
      <c r="E52" s="13">
        <f>+'Sch 40 Campus Svc'!F50</f>
        <v>3975840</v>
      </c>
      <c r="F52" s="13">
        <f>+'Sch 40 Campus Svc'!G50</f>
        <v>3499620</v>
      </c>
      <c r="G52" s="13">
        <f>+'Sch 40 Campus Svc'!H50</f>
        <v>3722975</v>
      </c>
      <c r="H52" s="13">
        <f>+'Sch 40 Campus Svc'!I50</f>
        <v>2550445</v>
      </c>
      <c r="I52" s="13">
        <f>+'Sch 40 Campus Svc'!J50</f>
        <v>5056860</v>
      </c>
      <c r="J52" s="13">
        <f>+'Sch 40 Campus Svc'!K50</f>
        <v>4361040</v>
      </c>
      <c r="K52" s="13">
        <f>+'Sch 40 Campus Svc'!L50</f>
        <v>4130460</v>
      </c>
      <c r="L52" s="13">
        <f>+'Sch 40 Campus Svc'!M50</f>
        <v>3677160</v>
      </c>
      <c r="M52" s="13">
        <f>+'Sch 40 Campus Svc'!N50</f>
        <v>3361260</v>
      </c>
      <c r="N52" s="13">
        <f>+'Sch 40 Campus Svc'!O50</f>
        <v>4037880</v>
      </c>
    </row>
    <row r="53" spans="1:14" x14ac:dyDescent="0.3">
      <c r="A53" s="8" t="s">
        <v>158</v>
      </c>
      <c r="B53" s="17">
        <f t="shared" si="26"/>
        <v>113613600</v>
      </c>
      <c r="C53" s="13">
        <f>+'Sch 40 Campus Svc'!D51</f>
        <v>9168000</v>
      </c>
      <c r="D53" s="13">
        <f>+'Sch 40 Campus Svc'!E51</f>
        <v>11556000</v>
      </c>
      <c r="E53" s="13">
        <f>+'Sch 40 Campus Svc'!F51</f>
        <v>7070400</v>
      </c>
      <c r="F53" s="13">
        <f>+'Sch 40 Campus Svc'!G51</f>
        <v>8762400</v>
      </c>
      <c r="G53" s="13">
        <f>+'Sch 40 Campus Svc'!H51</f>
        <v>9108000</v>
      </c>
      <c r="H53" s="13">
        <f>+'Sch 40 Campus Svc'!I51</f>
        <v>5971200</v>
      </c>
      <c r="I53" s="13">
        <f>+'Sch 40 Campus Svc'!J51</f>
        <v>13627200</v>
      </c>
      <c r="J53" s="13">
        <f>+'Sch 40 Campus Svc'!K51</f>
        <v>10075200</v>
      </c>
      <c r="K53" s="13">
        <f>+'Sch 40 Campus Svc'!L51</f>
        <v>8582400</v>
      </c>
      <c r="L53" s="13">
        <f>+'Sch 40 Campus Svc'!M51</f>
        <v>13231200</v>
      </c>
      <c r="M53" s="13">
        <f>+'Sch 40 Campus Svc'!N51</f>
        <v>7255200</v>
      </c>
      <c r="N53" s="13">
        <f>+'Sch 40 Campus Svc'!O51</f>
        <v>9206400</v>
      </c>
    </row>
    <row r="54" spans="1:14" x14ac:dyDescent="0.3">
      <c r="A54" s="8" t="s">
        <v>159</v>
      </c>
      <c r="B54" s="17">
        <f t="shared" si="26"/>
        <v>351393396</v>
      </c>
      <c r="C54" s="13">
        <f>+'Sch 40 Campus Svc'!D52</f>
        <v>32012128</v>
      </c>
      <c r="D54" s="13">
        <f>+'Sch 40 Campus Svc'!E52</f>
        <v>28239230</v>
      </c>
      <c r="E54" s="13">
        <f>+'Sch 40 Campus Svc'!F52</f>
        <v>32729638</v>
      </c>
      <c r="F54" s="13">
        <f>+'Sch 40 Campus Svc'!G52</f>
        <v>29653347</v>
      </c>
      <c r="G54" s="13">
        <f>+'Sch 40 Campus Svc'!H52</f>
        <v>28626892</v>
      </c>
      <c r="H54" s="13">
        <f>+'Sch 40 Campus Svc'!I52</f>
        <v>27309827</v>
      </c>
      <c r="I54" s="13">
        <f>+'Sch 40 Campus Svc'!J52</f>
        <v>29390128</v>
      </c>
      <c r="J54" s="13">
        <f>+'Sch 40 Campus Svc'!K52</f>
        <v>31555888</v>
      </c>
      <c r="K54" s="13">
        <f>+'Sch 40 Campus Svc'!L52</f>
        <v>30000577</v>
      </c>
      <c r="L54" s="13">
        <f>+'Sch 40 Campus Svc'!M52</f>
        <v>17504791</v>
      </c>
      <c r="M54" s="13">
        <f>+'Sch 40 Campus Svc'!N52</f>
        <v>35966337</v>
      </c>
      <c r="N54" s="13">
        <f>+'Sch 40 Campus Svc'!O52</f>
        <v>28404613</v>
      </c>
    </row>
    <row r="55" spans="1:14" x14ac:dyDescent="0.3">
      <c r="A55" s="27" t="s">
        <v>117</v>
      </c>
      <c r="B55" s="13">
        <f>SUM(B50:B54)</f>
        <v>518545447</v>
      </c>
      <c r="C55" s="13">
        <f>SUM(C50:C54)</f>
        <v>45745727</v>
      </c>
      <c r="D55" s="13">
        <f t="shared" ref="D55:N55" si="27">SUM(D50:D54)</f>
        <v>43929830</v>
      </c>
      <c r="E55" s="13">
        <f t="shared" si="27"/>
        <v>44503268</v>
      </c>
      <c r="F55" s="13">
        <f t="shared" si="27"/>
        <v>42551052</v>
      </c>
      <c r="G55" s="13">
        <f t="shared" si="27"/>
        <v>42098022</v>
      </c>
      <c r="H55" s="13">
        <f t="shared" si="27"/>
        <v>36454392</v>
      </c>
      <c r="I55" s="13">
        <f t="shared" si="27"/>
        <v>48717371</v>
      </c>
      <c r="J55" s="13">
        <f t="shared" si="27"/>
        <v>46696149</v>
      </c>
      <c r="K55" s="13">
        <f t="shared" si="27"/>
        <v>43379398</v>
      </c>
      <c r="L55" s="13">
        <f t="shared" si="27"/>
        <v>35046087</v>
      </c>
      <c r="M55" s="13">
        <f t="shared" si="27"/>
        <v>47156357</v>
      </c>
      <c r="N55" s="13">
        <f t="shared" si="27"/>
        <v>42267794</v>
      </c>
    </row>
    <row r="57" spans="1:14" x14ac:dyDescent="0.3">
      <c r="A57" s="5" t="s">
        <v>163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 s="8" t="s">
        <v>155</v>
      </c>
      <c r="B58" s="17">
        <f t="shared" ref="B58:B62" si="28">SUM(C58:N58)</f>
        <v>-1107</v>
      </c>
      <c r="C58" s="13">
        <f>ROUND(+C50/C$55*-C$28,0)</f>
        <v>573</v>
      </c>
      <c r="D58" s="13">
        <f t="shared" ref="D58:N58" si="29">ROUND(+D50/D$55*-D$28,0)</f>
        <v>-351</v>
      </c>
      <c r="E58" s="13">
        <f t="shared" si="29"/>
        <v>-29</v>
      </c>
      <c r="F58" s="13">
        <f t="shared" si="29"/>
        <v>57</v>
      </c>
      <c r="G58" s="13">
        <f t="shared" si="29"/>
        <v>1</v>
      </c>
      <c r="H58" s="13">
        <f t="shared" si="29"/>
        <v>-178</v>
      </c>
      <c r="I58" s="13">
        <f t="shared" si="29"/>
        <v>-1664</v>
      </c>
      <c r="J58" s="13">
        <f t="shared" si="29"/>
        <v>-899</v>
      </c>
      <c r="K58" s="13">
        <f t="shared" si="29"/>
        <v>58</v>
      </c>
      <c r="L58" s="13">
        <f t="shared" si="29"/>
        <v>129</v>
      </c>
      <c r="M58" s="13">
        <f t="shared" si="29"/>
        <v>612</v>
      </c>
      <c r="N58" s="13">
        <f t="shared" si="29"/>
        <v>584</v>
      </c>
    </row>
    <row r="59" spans="1:14" x14ac:dyDescent="0.3">
      <c r="A59" s="8" t="s">
        <v>156</v>
      </c>
      <c r="B59" s="17">
        <f t="shared" si="28"/>
        <v>-10259</v>
      </c>
      <c r="C59" s="13">
        <f t="shared" ref="C59:N59" si="30">ROUND(+C51/C$55*-C$28,0)</f>
        <v>4676</v>
      </c>
      <c r="D59" s="13">
        <f t="shared" si="30"/>
        <v>-2760</v>
      </c>
      <c r="E59" s="13">
        <f t="shared" si="30"/>
        <v>-252</v>
      </c>
      <c r="F59" s="13">
        <f t="shared" si="30"/>
        <v>463</v>
      </c>
      <c r="G59" s="13">
        <f t="shared" si="30"/>
        <v>9</v>
      </c>
      <c r="H59" s="13">
        <f t="shared" si="30"/>
        <v>-1504</v>
      </c>
      <c r="I59" s="13">
        <f t="shared" si="30"/>
        <v>-12585</v>
      </c>
      <c r="J59" s="13">
        <f t="shared" si="30"/>
        <v>-7618</v>
      </c>
      <c r="K59" s="13">
        <f t="shared" si="30"/>
        <v>504</v>
      </c>
      <c r="L59" s="13">
        <f t="shared" si="30"/>
        <v>1085</v>
      </c>
      <c r="M59" s="13">
        <f t="shared" si="30"/>
        <v>3753</v>
      </c>
      <c r="N59" s="13">
        <f t="shared" si="30"/>
        <v>3970</v>
      </c>
    </row>
    <row r="60" spans="1:14" x14ac:dyDescent="0.3">
      <c r="A60" s="8" t="s">
        <v>157</v>
      </c>
      <c r="B60" s="17">
        <f t="shared" si="28"/>
        <v>-92765</v>
      </c>
      <c r="C60" s="13">
        <f t="shared" ref="C60:N60" si="31">ROUND(+C52/C$55*-C$28,0)</f>
        <v>27017</v>
      </c>
      <c r="D60" s="13">
        <f t="shared" si="31"/>
        <v>-15327</v>
      </c>
      <c r="E60" s="13">
        <f t="shared" si="31"/>
        <v>-1533</v>
      </c>
      <c r="F60" s="13">
        <f t="shared" si="31"/>
        <v>2861</v>
      </c>
      <c r="G60" s="13">
        <f t="shared" si="31"/>
        <v>60</v>
      </c>
      <c r="H60" s="13">
        <f t="shared" si="31"/>
        <v>-6886</v>
      </c>
      <c r="I60" s="13">
        <f t="shared" si="31"/>
        <v>-112026</v>
      </c>
      <c r="J60" s="13">
        <f t="shared" si="31"/>
        <v>-52757</v>
      </c>
      <c r="K60" s="13">
        <f t="shared" si="31"/>
        <v>3482</v>
      </c>
      <c r="L60" s="13">
        <f t="shared" si="31"/>
        <v>7054</v>
      </c>
      <c r="M60" s="13">
        <f t="shared" si="31"/>
        <v>25579</v>
      </c>
      <c r="N60" s="13">
        <f t="shared" si="31"/>
        <v>29711</v>
      </c>
    </row>
    <row r="61" spans="1:14" x14ac:dyDescent="0.3">
      <c r="A61" s="8" t="s">
        <v>158</v>
      </c>
      <c r="B61" s="17">
        <f t="shared" si="28"/>
        <v>-266483</v>
      </c>
      <c r="C61" s="13">
        <f t="shared" ref="C61:N61" si="32">ROUND(+C53/C$55*-C$28,0)</f>
        <v>64792</v>
      </c>
      <c r="D61" s="13">
        <f t="shared" si="32"/>
        <v>-51536</v>
      </c>
      <c r="E61" s="13">
        <f t="shared" si="32"/>
        <v>-2726</v>
      </c>
      <c r="F61" s="13">
        <f t="shared" si="32"/>
        <v>7164</v>
      </c>
      <c r="G61" s="13">
        <f t="shared" si="32"/>
        <v>148</v>
      </c>
      <c r="H61" s="13">
        <f t="shared" si="32"/>
        <v>-16123</v>
      </c>
      <c r="I61" s="13">
        <f t="shared" si="32"/>
        <v>-301887</v>
      </c>
      <c r="J61" s="13">
        <f t="shared" si="32"/>
        <v>-121884</v>
      </c>
      <c r="K61" s="13">
        <f t="shared" si="32"/>
        <v>7235</v>
      </c>
      <c r="L61" s="13">
        <f t="shared" si="32"/>
        <v>25381</v>
      </c>
      <c r="M61" s="13">
        <f t="shared" si="32"/>
        <v>55211</v>
      </c>
      <c r="N61" s="13">
        <f t="shared" si="32"/>
        <v>67742</v>
      </c>
    </row>
    <row r="62" spans="1:14" x14ac:dyDescent="0.3">
      <c r="A62" s="8" t="s">
        <v>159</v>
      </c>
      <c r="B62" s="17">
        <f t="shared" si="28"/>
        <v>-452620</v>
      </c>
      <c r="C62" s="13">
        <f t="shared" ref="C62:N62" si="33">ROUND(+C54/C$55*-C$28,0)</f>
        <v>226235</v>
      </c>
      <c r="D62" s="13">
        <f t="shared" si="33"/>
        <v>-125937</v>
      </c>
      <c r="E62" s="13">
        <f t="shared" si="33"/>
        <v>-12621</v>
      </c>
      <c r="F62" s="13">
        <f t="shared" si="33"/>
        <v>24243</v>
      </c>
      <c r="G62" s="13">
        <f t="shared" si="33"/>
        <v>464</v>
      </c>
      <c r="H62" s="13">
        <f>ROUND(+H54/H$55*-H$28,0)-1</f>
        <v>-73740</v>
      </c>
      <c r="I62" s="13">
        <f t="shared" si="33"/>
        <v>-651088</v>
      </c>
      <c r="J62" s="13">
        <f t="shared" si="33"/>
        <v>-381745</v>
      </c>
      <c r="K62" s="13">
        <f>ROUND(+K54/K$55*-K$28,0)-1</f>
        <v>25288</v>
      </c>
      <c r="L62" s="13">
        <f t="shared" si="33"/>
        <v>33578</v>
      </c>
      <c r="M62" s="13">
        <f>ROUND(+M54/M$55*-M$28,0)-1</f>
        <v>273697</v>
      </c>
      <c r="N62" s="13">
        <f t="shared" si="33"/>
        <v>209006</v>
      </c>
    </row>
    <row r="63" spans="1:14" x14ac:dyDescent="0.3">
      <c r="A63" s="27" t="s">
        <v>117</v>
      </c>
      <c r="B63" s="13">
        <f>SUM(B58:B62)</f>
        <v>-823234</v>
      </c>
      <c r="C63" s="13">
        <f>SUM(C58:C62)</f>
        <v>323293</v>
      </c>
      <c r="D63" s="13">
        <f t="shared" ref="D63:N63" si="34">SUM(D58:D62)</f>
        <v>-195911</v>
      </c>
      <c r="E63" s="13">
        <f t="shared" si="34"/>
        <v>-17161</v>
      </c>
      <c r="F63" s="13">
        <f t="shared" si="34"/>
        <v>34788</v>
      </c>
      <c r="G63" s="13">
        <f t="shared" si="34"/>
        <v>682</v>
      </c>
      <c r="H63" s="13">
        <f t="shared" si="34"/>
        <v>-98431</v>
      </c>
      <c r="I63" s="13">
        <f t="shared" si="34"/>
        <v>-1079250</v>
      </c>
      <c r="J63" s="13">
        <f t="shared" si="34"/>
        <v>-564903</v>
      </c>
      <c r="K63" s="13">
        <f t="shared" si="34"/>
        <v>36567</v>
      </c>
      <c r="L63" s="13">
        <f t="shared" si="34"/>
        <v>67227</v>
      </c>
      <c r="M63" s="13">
        <f t="shared" si="34"/>
        <v>358852</v>
      </c>
      <c r="N63" s="13">
        <f t="shared" si="34"/>
        <v>311013</v>
      </c>
    </row>
    <row r="64" spans="1:14" x14ac:dyDescent="0.3">
      <c r="C64" s="76">
        <f>+C63+C28</f>
        <v>0.3306273371563293</v>
      </c>
      <c r="D64" s="76">
        <f t="shared" ref="D64:N64" si="35">+D63+D28</f>
        <v>-0.11333395406836644</v>
      </c>
      <c r="E64" s="76">
        <f t="shared" si="35"/>
        <v>1.519331721283379E-2</v>
      </c>
      <c r="F64" s="76">
        <f t="shared" si="35"/>
        <v>-0.12920173299789894</v>
      </c>
      <c r="G64" s="76">
        <f t="shared" si="35"/>
        <v>0.22613728299756986</v>
      </c>
      <c r="H64" s="76">
        <f t="shared" si="35"/>
        <v>-0.23226828075712547</v>
      </c>
      <c r="I64" s="76">
        <f t="shared" si="35"/>
        <v>-0.15435673296451569</v>
      </c>
      <c r="J64" s="76">
        <f t="shared" si="35"/>
        <v>-9.1161714866757393E-2</v>
      </c>
      <c r="K64" s="76">
        <f t="shared" si="35"/>
        <v>0.44670179851527791</v>
      </c>
      <c r="L64" s="76">
        <f t="shared" si="35"/>
        <v>0.21662830782588571</v>
      </c>
      <c r="M64" s="76">
        <f t="shared" si="35"/>
        <v>-0.25702775601530448</v>
      </c>
      <c r="N64" s="76">
        <f t="shared" si="35"/>
        <v>-0.27212499623419717</v>
      </c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52"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pane xSplit="3" ySplit="5" topLeftCell="D6" activePane="bottomRight" state="frozen"/>
      <selection sqref="A1:T37"/>
      <selection pane="topRight" sqref="A1:T37"/>
      <selection pane="bottomLeft" sqref="A1:T37"/>
      <selection pane="bottomRight" activeCell="C26" sqref="C26"/>
    </sheetView>
  </sheetViews>
  <sheetFormatPr defaultRowHeight="14.4" x14ac:dyDescent="0.3"/>
  <cols>
    <col min="1" max="1" width="4.33203125" bestFit="1" customWidth="1"/>
    <col min="2" max="2" width="41.6640625" bestFit="1" customWidth="1"/>
    <col min="3" max="3" width="14" bestFit="1" customWidth="1"/>
    <col min="4" max="15" width="11.6640625" bestFit="1" customWidth="1"/>
    <col min="16" max="16" width="14.109375" customWidth="1"/>
    <col min="17" max="17" width="15.109375" bestFit="1" customWidth="1"/>
    <col min="18" max="18" width="10.5546875" bestFit="1" customWidth="1"/>
    <col min="19" max="19" width="9.5546875" bestFit="1" customWidth="1"/>
    <col min="20" max="20" width="5.88671875" bestFit="1" customWidth="1"/>
    <col min="21" max="21" width="4" bestFit="1" customWidth="1"/>
    <col min="22" max="22" width="18.88671875" bestFit="1" customWidth="1"/>
    <col min="23" max="23" width="8.5546875" bestFit="1" customWidth="1"/>
    <col min="24" max="24" width="10.6640625" bestFit="1" customWidth="1"/>
    <col min="25" max="28" width="7.21875" bestFit="1" customWidth="1"/>
  </cols>
  <sheetData>
    <row r="1" spans="1:28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3">
      <c r="A2" s="97" t="s">
        <v>147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74"/>
      <c r="Q3" s="74"/>
      <c r="R3" s="74"/>
      <c r="S3" s="74"/>
      <c r="T3" s="74"/>
    </row>
    <row r="5" spans="1:28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3">
      <c r="A6" s="4">
        <v>1</v>
      </c>
      <c r="B6" s="5" t="s">
        <v>29</v>
      </c>
      <c r="C6" s="6">
        <f t="shared" ref="C6" si="0">SUM(D6:O6)</f>
        <v>96</v>
      </c>
      <c r="D6" s="7">
        <f>+'[1]Sch 40 Migration (C)'!C6</f>
        <v>8</v>
      </c>
      <c r="E6" s="14">
        <f>+'[1]Sch 40 Migration (C)'!D6</f>
        <v>8</v>
      </c>
      <c r="F6" s="14">
        <f>+'[1]Sch 40 Migration (C)'!E6</f>
        <v>8</v>
      </c>
      <c r="G6" s="14">
        <f>+'[1]Sch 40 Migration (C)'!F6</f>
        <v>8</v>
      </c>
      <c r="H6" s="14">
        <f>+'[1]Sch 40 Migration (C)'!G6</f>
        <v>8</v>
      </c>
      <c r="I6" s="14">
        <f>+'[1]Sch 40 Migration (C)'!H6</f>
        <v>8</v>
      </c>
      <c r="J6" s="14">
        <f>+'[1]Sch 40 Migration (C)'!I6</f>
        <v>8</v>
      </c>
      <c r="K6" s="14">
        <f>+'[1]Sch 40 Migration (C)'!J6</f>
        <v>8</v>
      </c>
      <c r="L6" s="14">
        <f>+'[1]Sch 40 Migration (C)'!K6</f>
        <v>8</v>
      </c>
      <c r="M6" s="14">
        <f>+'[1]Sch 40 Migration (C)'!L6</f>
        <v>8</v>
      </c>
      <c r="N6" s="14">
        <f>+'[1]Sch 40 Migration (C)'!M6</f>
        <v>8</v>
      </c>
      <c r="O6" s="14">
        <f>+'[1]Sch 40 Migration (C)'!N6</f>
        <v>8</v>
      </c>
    </row>
    <row r="7" spans="1:28" x14ac:dyDescent="0.3">
      <c r="A7" s="4">
        <f>+A6+1</f>
        <v>2</v>
      </c>
      <c r="B7" s="5" t="s">
        <v>30</v>
      </c>
      <c r="C7" s="6">
        <f t="shared" ref="C7" si="1">SUM(D7:O7)</f>
        <v>0</v>
      </c>
      <c r="D7" s="7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</row>
    <row r="8" spans="1:28" x14ac:dyDescent="0.3">
      <c r="A8" s="72">
        <f t="shared" ref="A8:A28" si="2">+A7+1</f>
        <v>3</v>
      </c>
      <c r="B8" t="s">
        <v>15</v>
      </c>
      <c r="C8" s="7">
        <f t="shared" ref="C8:O8" si="3">SUM(C6:C7)</f>
        <v>96</v>
      </c>
      <c r="D8" s="7">
        <f t="shared" si="3"/>
        <v>8</v>
      </c>
      <c r="E8" s="7">
        <f t="shared" si="3"/>
        <v>8</v>
      </c>
      <c r="F8" s="7">
        <f t="shared" si="3"/>
        <v>8</v>
      </c>
      <c r="G8" s="7">
        <f t="shared" si="3"/>
        <v>8</v>
      </c>
      <c r="H8" s="7">
        <f t="shared" si="3"/>
        <v>8</v>
      </c>
      <c r="I8" s="7">
        <f t="shared" si="3"/>
        <v>8</v>
      </c>
      <c r="J8" s="7">
        <f t="shared" si="3"/>
        <v>8</v>
      </c>
      <c r="K8" s="7">
        <f t="shared" si="3"/>
        <v>8</v>
      </c>
      <c r="L8" s="7">
        <f t="shared" si="3"/>
        <v>8</v>
      </c>
      <c r="M8" s="7">
        <f t="shared" si="3"/>
        <v>8</v>
      </c>
      <c r="N8" s="7">
        <f t="shared" si="3"/>
        <v>8</v>
      </c>
      <c r="O8" s="7">
        <f t="shared" si="3"/>
        <v>8</v>
      </c>
    </row>
    <row r="9" spans="1:28" x14ac:dyDescent="0.3">
      <c r="A9" s="72">
        <f t="shared" si="2"/>
        <v>4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8" x14ac:dyDescent="0.3">
      <c r="A10" s="72">
        <f t="shared" si="2"/>
        <v>5</v>
      </c>
      <c r="B10" s="75" t="s">
        <v>40</v>
      </c>
      <c r="C10" s="17">
        <f t="shared" ref="C10" si="4">SUM(D10:O10)</f>
        <v>461237</v>
      </c>
      <c r="D10" s="7">
        <f>SUM('[1]Sch 40 Migration (C)'!C7)</f>
        <v>81070</v>
      </c>
      <c r="E10" s="14">
        <f>SUM('[1]Sch 40 Migration (C)'!D7)</f>
        <v>78770</v>
      </c>
      <c r="F10" s="14">
        <f>SUM('[1]Sch 40 Migration (C)'!E7)</f>
        <v>74240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f>SUM('[1]Sch 40 Migration (C)'!L7)</f>
        <v>67306</v>
      </c>
      <c r="N10" s="14">
        <f>SUM('[1]Sch 40 Migration (C)'!M7)</f>
        <v>80440</v>
      </c>
      <c r="O10" s="14">
        <f>SUM('[1]Sch 40 Migration (C)'!N7)</f>
        <v>79411</v>
      </c>
    </row>
    <row r="11" spans="1:28" x14ac:dyDescent="0.3">
      <c r="A11" s="72">
        <f t="shared" si="2"/>
        <v>6</v>
      </c>
      <c r="B11" s="75" t="s">
        <v>31</v>
      </c>
      <c r="C11" s="17">
        <f t="shared" ref="C11" si="5">SUM(D11:O11)</f>
        <v>424215</v>
      </c>
      <c r="D11" s="7">
        <v>0</v>
      </c>
      <c r="E11" s="14">
        <v>0</v>
      </c>
      <c r="F11" s="14">
        <v>0</v>
      </c>
      <c r="G11" s="14">
        <f>SUM('[1]Sch 40 Migration (C)'!F7)</f>
        <v>69920</v>
      </c>
      <c r="H11" s="14">
        <f>SUM('[1]Sch 40 Migration (C)'!G7)</f>
        <v>70670</v>
      </c>
      <c r="I11" s="14">
        <f>SUM('[1]Sch 40 Migration (C)'!H7)</f>
        <v>65940</v>
      </c>
      <c r="J11" s="14">
        <f>SUM('[1]Sch 40 Migration (C)'!I7)</f>
        <v>75103</v>
      </c>
      <c r="K11" s="14">
        <f>SUM('[1]Sch 40 Migration (C)'!J7)</f>
        <v>74291</v>
      </c>
      <c r="L11" s="14">
        <f>SUM('[1]Sch 40 Migration (C)'!K7)</f>
        <v>68291</v>
      </c>
      <c r="M11" s="14">
        <v>0</v>
      </c>
      <c r="N11" s="14">
        <v>0</v>
      </c>
      <c r="O11" s="14">
        <v>0</v>
      </c>
    </row>
    <row r="12" spans="1:28" x14ac:dyDescent="0.3">
      <c r="A12" s="72">
        <f t="shared" si="2"/>
        <v>7</v>
      </c>
      <c r="B12" t="s">
        <v>16</v>
      </c>
      <c r="C12" s="7">
        <f t="shared" ref="C12:O12" si="6">SUM(C10:C11)</f>
        <v>885452</v>
      </c>
      <c r="D12" s="7">
        <f t="shared" si="6"/>
        <v>81070</v>
      </c>
      <c r="E12" s="7">
        <f t="shared" si="6"/>
        <v>78770</v>
      </c>
      <c r="F12" s="7">
        <f t="shared" si="6"/>
        <v>74240</v>
      </c>
      <c r="G12" s="7">
        <f t="shared" si="6"/>
        <v>69920</v>
      </c>
      <c r="H12" s="7">
        <f t="shared" si="6"/>
        <v>70670</v>
      </c>
      <c r="I12" s="7">
        <f t="shared" si="6"/>
        <v>65940</v>
      </c>
      <c r="J12" s="7">
        <f t="shared" si="6"/>
        <v>75103</v>
      </c>
      <c r="K12" s="7">
        <f t="shared" si="6"/>
        <v>74291</v>
      </c>
      <c r="L12" s="7">
        <f t="shared" si="6"/>
        <v>68291</v>
      </c>
      <c r="M12" s="7">
        <f t="shared" si="6"/>
        <v>67306</v>
      </c>
      <c r="N12" s="7">
        <f t="shared" si="6"/>
        <v>80440</v>
      </c>
      <c r="O12" s="7">
        <f t="shared" si="6"/>
        <v>79411</v>
      </c>
    </row>
    <row r="13" spans="1:28" x14ac:dyDescent="0.3">
      <c r="A13" s="72">
        <f t="shared" si="2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3">
      <c r="A14" s="72">
        <f t="shared" si="2"/>
        <v>9</v>
      </c>
      <c r="B14" s="8" t="s">
        <v>32</v>
      </c>
      <c r="D14" s="9">
        <v>9.8000000000000007</v>
      </c>
      <c r="E14" s="10">
        <f t="shared" ref="E14:O17" si="7">+D14</f>
        <v>9.8000000000000007</v>
      </c>
      <c r="F14" s="10">
        <f t="shared" si="7"/>
        <v>9.8000000000000007</v>
      </c>
      <c r="G14" s="10">
        <f t="shared" si="7"/>
        <v>9.8000000000000007</v>
      </c>
      <c r="H14" s="10">
        <f t="shared" si="7"/>
        <v>9.8000000000000007</v>
      </c>
      <c r="I14" s="10">
        <f t="shared" si="7"/>
        <v>9.8000000000000007</v>
      </c>
      <c r="J14" s="10">
        <f t="shared" si="7"/>
        <v>9.8000000000000007</v>
      </c>
      <c r="K14" s="10">
        <f t="shared" si="7"/>
        <v>9.8000000000000007</v>
      </c>
      <c r="L14" s="10">
        <f t="shared" si="7"/>
        <v>9.8000000000000007</v>
      </c>
      <c r="M14" s="10">
        <f t="shared" si="7"/>
        <v>9.8000000000000007</v>
      </c>
      <c r="N14" s="10">
        <f t="shared" si="7"/>
        <v>9.8000000000000007</v>
      </c>
      <c r="O14" s="10">
        <f t="shared" si="7"/>
        <v>9.8000000000000007</v>
      </c>
    </row>
    <row r="15" spans="1:28" x14ac:dyDescent="0.3">
      <c r="A15" s="72">
        <f t="shared" si="2"/>
        <v>10</v>
      </c>
      <c r="B15" s="8" t="s">
        <v>33</v>
      </c>
      <c r="D15" s="9">
        <v>24.9</v>
      </c>
      <c r="E15" s="10">
        <f t="shared" si="7"/>
        <v>24.9</v>
      </c>
      <c r="F15" s="10">
        <f t="shared" si="7"/>
        <v>24.9</v>
      </c>
      <c r="G15" s="10">
        <f t="shared" si="7"/>
        <v>24.9</v>
      </c>
      <c r="H15" s="10">
        <f t="shared" si="7"/>
        <v>24.9</v>
      </c>
      <c r="I15" s="10">
        <f t="shared" si="7"/>
        <v>24.9</v>
      </c>
      <c r="J15" s="10">
        <f t="shared" si="7"/>
        <v>24.9</v>
      </c>
      <c r="K15" s="10">
        <f t="shared" si="7"/>
        <v>24.9</v>
      </c>
      <c r="L15" s="10">
        <f t="shared" si="7"/>
        <v>24.9</v>
      </c>
      <c r="M15" s="10">
        <f t="shared" si="7"/>
        <v>24.9</v>
      </c>
      <c r="N15" s="10">
        <f t="shared" si="7"/>
        <v>24.9</v>
      </c>
      <c r="O15" s="10">
        <f t="shared" si="7"/>
        <v>24.9</v>
      </c>
    </row>
    <row r="16" spans="1:28" x14ac:dyDescent="0.3">
      <c r="A16" s="72">
        <f t="shared" si="2"/>
        <v>11</v>
      </c>
      <c r="B16" s="8" t="s">
        <v>39</v>
      </c>
      <c r="D16" s="9">
        <v>9.071499999999999E-2</v>
      </c>
      <c r="E16" s="10">
        <f t="shared" ref="E16" si="8">+D16</f>
        <v>9.071499999999999E-2</v>
      </c>
      <c r="F16" s="10">
        <f t="shared" ref="F16" si="9">+E16</f>
        <v>9.071499999999999E-2</v>
      </c>
      <c r="G16" s="10">
        <f t="shared" ref="G16" si="10">+F16</f>
        <v>9.071499999999999E-2</v>
      </c>
      <c r="H16" s="10">
        <f t="shared" ref="H16" si="11">+G16</f>
        <v>9.071499999999999E-2</v>
      </c>
      <c r="I16" s="10">
        <f t="shared" ref="I16" si="12">+H16</f>
        <v>9.071499999999999E-2</v>
      </c>
      <c r="J16" s="10">
        <f t="shared" ref="J16" si="13">+I16</f>
        <v>9.071499999999999E-2</v>
      </c>
      <c r="K16" s="10">
        <f t="shared" ref="K16" si="14">+J16</f>
        <v>9.071499999999999E-2</v>
      </c>
      <c r="L16" s="10">
        <f t="shared" ref="L16" si="15">+K16</f>
        <v>9.071499999999999E-2</v>
      </c>
      <c r="M16" s="10">
        <f t="shared" ref="M16" si="16">+L16</f>
        <v>9.071499999999999E-2</v>
      </c>
      <c r="N16" s="10">
        <f t="shared" ref="N16" si="17">+M16</f>
        <v>9.071499999999999E-2</v>
      </c>
      <c r="O16" s="10">
        <f t="shared" ref="O16" si="18">+N16</f>
        <v>9.071499999999999E-2</v>
      </c>
    </row>
    <row r="17" spans="1:24" x14ac:dyDescent="0.3">
      <c r="A17" s="72">
        <f t="shared" si="2"/>
        <v>12</v>
      </c>
      <c r="B17" s="8" t="s">
        <v>34</v>
      </c>
      <c r="D17" s="9">
        <v>8.7578000000000003E-2</v>
      </c>
      <c r="E17" s="10">
        <f t="shared" si="7"/>
        <v>8.7578000000000003E-2</v>
      </c>
      <c r="F17" s="10">
        <f t="shared" si="7"/>
        <v>8.7578000000000003E-2</v>
      </c>
      <c r="G17" s="10">
        <f t="shared" si="7"/>
        <v>8.7578000000000003E-2</v>
      </c>
      <c r="H17" s="10">
        <f t="shared" si="7"/>
        <v>8.7578000000000003E-2</v>
      </c>
      <c r="I17" s="10">
        <f t="shared" si="7"/>
        <v>8.7578000000000003E-2</v>
      </c>
      <c r="J17" s="10">
        <f t="shared" si="7"/>
        <v>8.7578000000000003E-2</v>
      </c>
      <c r="K17" s="10">
        <f t="shared" si="7"/>
        <v>8.7578000000000003E-2</v>
      </c>
      <c r="L17" s="10">
        <f t="shared" si="7"/>
        <v>8.7578000000000003E-2</v>
      </c>
      <c r="M17" s="10">
        <f t="shared" si="7"/>
        <v>8.7578000000000003E-2</v>
      </c>
      <c r="N17" s="10">
        <f t="shared" si="7"/>
        <v>8.7578000000000003E-2</v>
      </c>
      <c r="O17" s="10">
        <f t="shared" si="7"/>
        <v>8.7578000000000003E-2</v>
      </c>
    </row>
    <row r="18" spans="1:24" x14ac:dyDescent="0.3">
      <c r="A18" s="72">
        <f t="shared" si="2"/>
        <v>13</v>
      </c>
      <c r="D18" s="18"/>
      <c r="E18" s="10"/>
    </row>
    <row r="19" spans="1:24" x14ac:dyDescent="0.3">
      <c r="A19" s="72">
        <f t="shared" si="2"/>
        <v>14</v>
      </c>
      <c r="B19" s="1" t="s">
        <v>17</v>
      </c>
    </row>
    <row r="20" spans="1:24" x14ac:dyDescent="0.3">
      <c r="A20" s="72">
        <f t="shared" si="2"/>
        <v>15</v>
      </c>
      <c r="B20" s="8" t="s">
        <v>18</v>
      </c>
      <c r="C20" s="11">
        <f>SUM(D20:O20)</f>
        <v>936</v>
      </c>
      <c r="D20" s="11">
        <f>ROUND(+D6*D14,0)</f>
        <v>78</v>
      </c>
      <c r="E20" s="11">
        <f t="shared" ref="E20:O20" si="19">ROUND(+E6*E14,0)</f>
        <v>78</v>
      </c>
      <c r="F20" s="11">
        <f t="shared" si="19"/>
        <v>78</v>
      </c>
      <c r="G20" s="11">
        <f t="shared" si="19"/>
        <v>78</v>
      </c>
      <c r="H20" s="11">
        <f t="shared" si="19"/>
        <v>78</v>
      </c>
      <c r="I20" s="11">
        <f t="shared" si="19"/>
        <v>78</v>
      </c>
      <c r="J20" s="11">
        <f t="shared" si="19"/>
        <v>78</v>
      </c>
      <c r="K20" s="11">
        <f t="shared" si="19"/>
        <v>78</v>
      </c>
      <c r="L20" s="11">
        <f t="shared" si="19"/>
        <v>78</v>
      </c>
      <c r="M20" s="11">
        <f t="shared" si="19"/>
        <v>78</v>
      </c>
      <c r="N20" s="11">
        <f t="shared" si="19"/>
        <v>78</v>
      </c>
      <c r="O20" s="11">
        <f t="shared" si="19"/>
        <v>78</v>
      </c>
    </row>
    <row r="21" spans="1:24" x14ac:dyDescent="0.3">
      <c r="A21" s="72">
        <f t="shared" si="2"/>
        <v>16</v>
      </c>
      <c r="B21" s="8" t="s">
        <v>19</v>
      </c>
      <c r="C21" s="11">
        <f t="shared" ref="C21:C24" si="20">SUM(D21:O21)</f>
        <v>0</v>
      </c>
      <c r="D21" s="11">
        <f>ROUND(+D7*D15,0)</f>
        <v>0</v>
      </c>
      <c r="E21" s="11">
        <f t="shared" ref="E21:O21" si="21">ROUND(+E7*E15,0)</f>
        <v>0</v>
      </c>
      <c r="F21" s="11">
        <f t="shared" si="21"/>
        <v>0</v>
      </c>
      <c r="G21" s="11">
        <f t="shared" si="21"/>
        <v>0</v>
      </c>
      <c r="H21" s="11">
        <f t="shared" si="21"/>
        <v>0</v>
      </c>
      <c r="I21" s="11">
        <f t="shared" si="21"/>
        <v>0</v>
      </c>
      <c r="J21" s="11">
        <f t="shared" si="21"/>
        <v>0</v>
      </c>
      <c r="K21" s="11">
        <f t="shared" si="21"/>
        <v>0</v>
      </c>
      <c r="L21" s="11">
        <f t="shared" si="21"/>
        <v>0</v>
      </c>
      <c r="M21" s="11">
        <f t="shared" si="21"/>
        <v>0</v>
      </c>
      <c r="N21" s="11">
        <f t="shared" si="21"/>
        <v>0</v>
      </c>
      <c r="O21" s="11">
        <f t="shared" si="21"/>
        <v>0</v>
      </c>
    </row>
    <row r="22" spans="1:24" x14ac:dyDescent="0.3">
      <c r="A22" s="72">
        <f t="shared" si="2"/>
        <v>17</v>
      </c>
      <c r="B22" s="8" t="s">
        <v>35</v>
      </c>
      <c r="C22" s="11">
        <f t="shared" si="20"/>
        <v>41842</v>
      </c>
      <c r="D22" s="11">
        <f>ROUND(+D10*D16,0)</f>
        <v>7354</v>
      </c>
      <c r="E22" s="11">
        <f t="shared" ref="E22:O22" si="22">ROUND(+E10*E16,0)</f>
        <v>7146</v>
      </c>
      <c r="F22" s="11">
        <f t="shared" si="22"/>
        <v>6735</v>
      </c>
      <c r="G22" s="11">
        <f t="shared" si="22"/>
        <v>0</v>
      </c>
      <c r="H22" s="11">
        <f t="shared" si="22"/>
        <v>0</v>
      </c>
      <c r="I22" s="11">
        <f t="shared" si="22"/>
        <v>0</v>
      </c>
      <c r="J22" s="11">
        <f t="shared" si="22"/>
        <v>0</v>
      </c>
      <c r="K22" s="11">
        <f t="shared" si="22"/>
        <v>0</v>
      </c>
      <c r="L22" s="11">
        <f t="shared" si="22"/>
        <v>0</v>
      </c>
      <c r="M22" s="11">
        <f t="shared" si="22"/>
        <v>6106</v>
      </c>
      <c r="N22" s="11">
        <f t="shared" si="22"/>
        <v>7297</v>
      </c>
      <c r="O22" s="11">
        <f t="shared" si="22"/>
        <v>7204</v>
      </c>
    </row>
    <row r="23" spans="1:24" x14ac:dyDescent="0.3">
      <c r="A23" s="72">
        <f t="shared" si="2"/>
        <v>18</v>
      </c>
      <c r="B23" s="8" t="s">
        <v>36</v>
      </c>
      <c r="C23" s="11">
        <f t="shared" si="20"/>
        <v>37151</v>
      </c>
      <c r="D23" s="11">
        <f>ROUND(+D11*D17,0)</f>
        <v>0</v>
      </c>
      <c r="E23" s="11">
        <f t="shared" ref="E23:O23" si="23">ROUND(+E11*E17,0)</f>
        <v>0</v>
      </c>
      <c r="F23" s="11">
        <f t="shared" si="23"/>
        <v>0</v>
      </c>
      <c r="G23" s="11">
        <f t="shared" si="23"/>
        <v>6123</v>
      </c>
      <c r="H23" s="11">
        <f t="shared" si="23"/>
        <v>6189</v>
      </c>
      <c r="I23" s="11">
        <f t="shared" si="23"/>
        <v>5775</v>
      </c>
      <c r="J23" s="11">
        <f t="shared" si="23"/>
        <v>6577</v>
      </c>
      <c r="K23" s="11">
        <f t="shared" si="23"/>
        <v>6506</v>
      </c>
      <c r="L23" s="11">
        <f t="shared" si="23"/>
        <v>5981</v>
      </c>
      <c r="M23" s="11">
        <f t="shared" si="23"/>
        <v>0</v>
      </c>
      <c r="N23" s="11">
        <f t="shared" si="23"/>
        <v>0</v>
      </c>
      <c r="O23" s="11">
        <f t="shared" si="23"/>
        <v>0</v>
      </c>
    </row>
    <row r="24" spans="1:24" x14ac:dyDescent="0.3">
      <c r="A24" s="72">
        <f t="shared" si="2"/>
        <v>19</v>
      </c>
      <c r="B24" s="5" t="s">
        <v>37</v>
      </c>
      <c r="C24" s="11">
        <f t="shared" si="20"/>
        <v>79929</v>
      </c>
      <c r="D24" s="11">
        <f t="shared" ref="D24:O24" si="24">SUM(D20:D23)</f>
        <v>7432</v>
      </c>
      <c r="E24" s="11">
        <f t="shared" si="24"/>
        <v>7224</v>
      </c>
      <c r="F24" s="11">
        <f t="shared" si="24"/>
        <v>6813</v>
      </c>
      <c r="G24" s="11">
        <f t="shared" si="24"/>
        <v>6201</v>
      </c>
      <c r="H24" s="11">
        <f t="shared" si="24"/>
        <v>6267</v>
      </c>
      <c r="I24" s="11">
        <f t="shared" si="24"/>
        <v>5853</v>
      </c>
      <c r="J24" s="11">
        <f t="shared" si="24"/>
        <v>6655</v>
      </c>
      <c r="K24" s="11">
        <f t="shared" si="24"/>
        <v>6584</v>
      </c>
      <c r="L24" s="11">
        <f t="shared" si="24"/>
        <v>6059</v>
      </c>
      <c r="M24" s="11">
        <f t="shared" si="24"/>
        <v>6184</v>
      </c>
      <c r="N24" s="11">
        <f t="shared" si="24"/>
        <v>7375</v>
      </c>
      <c r="O24" s="11">
        <f t="shared" si="24"/>
        <v>7282</v>
      </c>
    </row>
    <row r="25" spans="1:24" x14ac:dyDescent="0.3">
      <c r="A25" s="72">
        <f t="shared" si="2"/>
        <v>20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4" x14ac:dyDescent="0.3">
      <c r="A26" s="72">
        <f t="shared" si="2"/>
        <v>21</v>
      </c>
      <c r="B26" s="12" t="s">
        <v>20</v>
      </c>
      <c r="C26" s="6">
        <f>SUM(D26:O26)</f>
        <v>-30347</v>
      </c>
      <c r="D26" s="7">
        <f>+'Sch 40 Campus Svc'!D56</f>
        <v>-4692</v>
      </c>
      <c r="E26" s="14">
        <f>+'Sch 40 Campus Svc'!E56</f>
        <v>-7106</v>
      </c>
      <c r="F26" s="14">
        <f>+'Sch 40 Campus Svc'!F56</f>
        <v>-6331</v>
      </c>
      <c r="G26" s="14">
        <f>+'Sch 40 Campus Svc'!G56</f>
        <v>3659</v>
      </c>
      <c r="H26" s="14">
        <f>+'Sch 40 Campus Svc'!H56</f>
        <v>-1331</v>
      </c>
      <c r="I26" s="14">
        <f>+'Sch 40 Campus Svc'!I56</f>
        <v>3099</v>
      </c>
      <c r="J26" s="14">
        <f>+'Sch 40 Campus Svc'!J56</f>
        <v>-718</v>
      </c>
      <c r="K26" s="14">
        <f>+'Sch 40 Campus Svc'!K56</f>
        <v>-7471</v>
      </c>
      <c r="L26" s="14">
        <f>+'Sch 40 Campus Svc'!L56</f>
        <v>-3428</v>
      </c>
      <c r="M26" s="14">
        <f>+'Sch 40 Campus Svc'!M56</f>
        <v>11184</v>
      </c>
      <c r="N26" s="14">
        <f>+'Sch 40 Campus Svc'!N56</f>
        <v>-18083</v>
      </c>
      <c r="O26" s="14">
        <f>+'Sch 40 Campus Svc'!O56</f>
        <v>871</v>
      </c>
    </row>
    <row r="27" spans="1:24" x14ac:dyDescent="0.3">
      <c r="A27" s="72">
        <f t="shared" si="2"/>
        <v>22</v>
      </c>
      <c r="B27" s="12" t="s">
        <v>21</v>
      </c>
      <c r="D27" s="10">
        <f t="shared" ref="D27:O27" si="25">+D24/D12</f>
        <v>9.1673862094486247E-2</v>
      </c>
      <c r="E27" s="10">
        <f t="shared" si="25"/>
        <v>9.171004189412213E-2</v>
      </c>
      <c r="F27" s="10">
        <f t="shared" si="25"/>
        <v>9.176993534482758E-2</v>
      </c>
      <c r="G27" s="10">
        <f t="shared" si="25"/>
        <v>8.868707093821511E-2</v>
      </c>
      <c r="H27" s="10">
        <f t="shared" si="25"/>
        <v>8.8679779255695493E-2</v>
      </c>
      <c r="I27" s="10">
        <f t="shared" si="25"/>
        <v>8.8762511373976338E-2</v>
      </c>
      <c r="J27" s="10">
        <f t="shared" si="25"/>
        <v>8.8611640014380252E-2</v>
      </c>
      <c r="K27" s="10">
        <f t="shared" si="25"/>
        <v>8.8624463259345004E-2</v>
      </c>
      <c r="L27" s="10">
        <f t="shared" si="25"/>
        <v>8.8723257823139209E-2</v>
      </c>
      <c r="M27" s="10">
        <f t="shared" si="25"/>
        <v>9.187888152616408E-2</v>
      </c>
      <c r="N27" s="10">
        <f t="shared" si="25"/>
        <v>9.1683242168075579E-2</v>
      </c>
      <c r="O27" s="10">
        <f t="shared" si="25"/>
        <v>9.170014229766657E-2</v>
      </c>
    </row>
    <row r="28" spans="1:24" x14ac:dyDescent="0.3">
      <c r="A28" s="72">
        <f t="shared" si="2"/>
        <v>23</v>
      </c>
      <c r="B28" s="12" t="s">
        <v>22</v>
      </c>
      <c r="C28" s="11">
        <f>SUM(D28:O28)</f>
        <v>-2761</v>
      </c>
      <c r="D28" s="7">
        <f>ROUND(+D26*D27,0)</f>
        <v>-430</v>
      </c>
      <c r="E28" s="7">
        <f t="shared" ref="E28:O28" si="26">ROUND(+E26*E27,0)</f>
        <v>-652</v>
      </c>
      <c r="F28" s="7">
        <f t="shared" si="26"/>
        <v>-581</v>
      </c>
      <c r="G28" s="7">
        <f t="shared" si="26"/>
        <v>325</v>
      </c>
      <c r="H28" s="7">
        <f t="shared" si="26"/>
        <v>-118</v>
      </c>
      <c r="I28" s="7">
        <f t="shared" si="26"/>
        <v>275</v>
      </c>
      <c r="J28" s="7">
        <f t="shared" si="26"/>
        <v>-64</v>
      </c>
      <c r="K28" s="7">
        <f t="shared" si="26"/>
        <v>-662</v>
      </c>
      <c r="L28" s="7">
        <f t="shared" si="26"/>
        <v>-304</v>
      </c>
      <c r="M28" s="7">
        <f t="shared" si="26"/>
        <v>1028</v>
      </c>
      <c r="N28" s="7">
        <f t="shared" si="26"/>
        <v>-1658</v>
      </c>
      <c r="O28" s="7">
        <f t="shared" si="26"/>
        <v>80</v>
      </c>
    </row>
    <row r="29" spans="1:24" x14ac:dyDescent="0.3">
      <c r="V29" s="19">
        <v>43088</v>
      </c>
      <c r="W29" s="10" t="s">
        <v>38</v>
      </c>
      <c r="X29" s="20">
        <v>9.071499999999999E-2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61" fitToHeight="0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4" ySplit="5" topLeftCell="G6" activePane="bottomRight" state="frozen"/>
      <selection sqref="A1:T37"/>
      <selection pane="topRight" sqref="A1:T37"/>
      <selection pane="bottomLeft" sqref="A1:T37"/>
      <selection pane="bottomRight" activeCell="C5" sqref="C5:C29"/>
    </sheetView>
  </sheetViews>
  <sheetFormatPr defaultRowHeight="14.4" x14ac:dyDescent="0.3"/>
  <cols>
    <col min="1" max="1" width="4.33203125" bestFit="1" customWidth="1"/>
    <col min="2" max="2" width="46.88671875" bestFit="1" customWidth="1"/>
    <col min="3" max="3" width="14" bestFit="1" customWidth="1"/>
    <col min="4" max="15" width="11.6640625" bestFit="1" customWidth="1"/>
    <col min="16" max="16" width="14.109375" customWidth="1"/>
    <col min="17" max="17" width="11.6640625" bestFit="1" customWidth="1"/>
    <col min="18" max="18" width="10.5546875" bestFit="1" customWidth="1"/>
    <col min="19" max="19" width="12.5546875" customWidth="1"/>
    <col min="20" max="20" width="5.88671875" bestFit="1" customWidth="1"/>
    <col min="21" max="21" width="4" bestFit="1" customWidth="1"/>
    <col min="22" max="22" width="18.88671875" bestFit="1" customWidth="1"/>
    <col min="23" max="23" width="8.5546875" bestFit="1" customWidth="1"/>
    <col min="24" max="24" width="4.88671875" bestFit="1" customWidth="1"/>
    <col min="25" max="28" width="7.21875" bestFit="1" customWidth="1"/>
  </cols>
  <sheetData>
    <row r="1" spans="1:28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3">
      <c r="A2" s="98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3">
      <c r="A6" s="4">
        <v>1</v>
      </c>
      <c r="B6" s="5" t="s">
        <v>41</v>
      </c>
      <c r="C6" s="6">
        <f t="shared" ref="C6" si="0">SUM(D6:O6)</f>
        <v>145</v>
      </c>
      <c r="D6" s="7">
        <f>+'[1]Sch 40 Migration (C)'!C9</f>
        <v>12</v>
      </c>
      <c r="E6" s="14">
        <f>+'[1]Sch 40 Migration (C)'!D9</f>
        <v>12</v>
      </c>
      <c r="F6" s="14">
        <f>+'[1]Sch 40 Migration (C)'!E9</f>
        <v>13</v>
      </c>
      <c r="G6" s="14">
        <f>+'[1]Sch 40 Migration (C)'!F9</f>
        <v>12</v>
      </c>
      <c r="H6" s="14">
        <f>+'[1]Sch 40 Migration (C)'!G9</f>
        <v>12</v>
      </c>
      <c r="I6" s="14">
        <f>+'[1]Sch 40 Migration (C)'!H9</f>
        <v>12</v>
      </c>
      <c r="J6" s="14">
        <f>+'[1]Sch 40 Migration (C)'!I9</f>
        <v>12</v>
      </c>
      <c r="K6" s="14">
        <f>+'[1]Sch 40 Migration (C)'!J9</f>
        <v>12</v>
      </c>
      <c r="L6" s="14">
        <f>+'[1]Sch 40 Migration (C)'!K9</f>
        <v>12</v>
      </c>
      <c r="M6" s="14">
        <f>+'[1]Sch 40 Migration (C)'!L9</f>
        <v>12</v>
      </c>
      <c r="N6" s="14">
        <f>+'[1]Sch 40 Migration (C)'!M9</f>
        <v>12</v>
      </c>
      <c r="O6" s="14">
        <f>+'[1]Sch 40 Migration (C)'!N9</f>
        <v>12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3">
      <c r="A7" s="4">
        <f t="shared" ref="A7:A41" si="1">+A6+1</f>
        <v>2</v>
      </c>
      <c r="B7" t="s">
        <v>15</v>
      </c>
      <c r="C7" s="6">
        <f t="shared" ref="C7:O7" si="2">SUM(C6:C6)</f>
        <v>145</v>
      </c>
      <c r="D7" s="6">
        <f t="shared" si="2"/>
        <v>12</v>
      </c>
      <c r="E7" s="6">
        <f t="shared" si="2"/>
        <v>12</v>
      </c>
      <c r="F7" s="6">
        <f t="shared" si="2"/>
        <v>13</v>
      </c>
      <c r="G7" s="6">
        <f t="shared" si="2"/>
        <v>12</v>
      </c>
      <c r="H7" s="6">
        <f t="shared" si="2"/>
        <v>12</v>
      </c>
      <c r="I7" s="6">
        <f t="shared" si="2"/>
        <v>12</v>
      </c>
      <c r="J7" s="6">
        <f t="shared" si="2"/>
        <v>12</v>
      </c>
      <c r="K7" s="6">
        <f t="shared" si="2"/>
        <v>12</v>
      </c>
      <c r="L7" s="6">
        <f t="shared" si="2"/>
        <v>12</v>
      </c>
      <c r="M7" s="6">
        <f t="shared" si="2"/>
        <v>12</v>
      </c>
      <c r="N7" s="6">
        <f t="shared" si="2"/>
        <v>12</v>
      </c>
      <c r="O7" s="6">
        <f t="shared" si="2"/>
        <v>12</v>
      </c>
    </row>
    <row r="8" spans="1:28" x14ac:dyDescent="0.3">
      <c r="A8" s="4">
        <f t="shared" si="1"/>
        <v>3</v>
      </c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3">
      <c r="A9" s="72">
        <f t="shared" si="1"/>
        <v>4</v>
      </c>
      <c r="B9" s="5" t="s">
        <v>61</v>
      </c>
      <c r="C9" s="6">
        <f t="shared" ref="C9" si="3">SUM(D9:O9)</f>
        <v>1460000</v>
      </c>
      <c r="D9" s="7">
        <f>D7*20000</f>
        <v>240000</v>
      </c>
      <c r="E9" s="14">
        <f t="shared" ref="E9:O9" si="4">E7*20000</f>
        <v>240000</v>
      </c>
      <c r="F9" s="14">
        <f t="shared" si="4"/>
        <v>260000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f t="shared" si="4"/>
        <v>240000</v>
      </c>
      <c r="N9" s="14">
        <f t="shared" si="4"/>
        <v>240000</v>
      </c>
      <c r="O9" s="14">
        <f t="shared" si="4"/>
        <v>240000</v>
      </c>
    </row>
    <row r="10" spans="1:28" x14ac:dyDescent="0.3">
      <c r="A10" s="72">
        <f t="shared" si="1"/>
        <v>5</v>
      </c>
      <c r="B10" s="5" t="s">
        <v>42</v>
      </c>
      <c r="C10" s="6">
        <f t="shared" ref="C10:C11" si="5">SUM(D10:O10)</f>
        <v>1440000</v>
      </c>
      <c r="D10" s="7">
        <v>0</v>
      </c>
      <c r="E10" s="14">
        <v>0</v>
      </c>
      <c r="F10" s="14">
        <v>0</v>
      </c>
      <c r="G10" s="14">
        <f>G7*20000</f>
        <v>240000</v>
      </c>
      <c r="H10" s="14">
        <f t="shared" ref="H10:L10" si="6">H7*20000</f>
        <v>240000</v>
      </c>
      <c r="I10" s="14">
        <f t="shared" si="6"/>
        <v>240000</v>
      </c>
      <c r="J10" s="14">
        <f t="shared" si="6"/>
        <v>240000</v>
      </c>
      <c r="K10" s="14">
        <f t="shared" si="6"/>
        <v>240000</v>
      </c>
      <c r="L10" s="14">
        <f t="shared" si="6"/>
        <v>240000</v>
      </c>
      <c r="M10" s="14">
        <v>0</v>
      </c>
      <c r="N10" s="14">
        <v>0</v>
      </c>
      <c r="O10" s="14">
        <v>0</v>
      </c>
    </row>
    <row r="11" spans="1:28" x14ac:dyDescent="0.3">
      <c r="A11" s="72">
        <f t="shared" si="1"/>
        <v>6</v>
      </c>
      <c r="B11" s="5" t="s">
        <v>43</v>
      </c>
      <c r="C11" s="6">
        <f t="shared" si="5"/>
        <v>4119699</v>
      </c>
      <c r="D11" s="14">
        <f>+'[1]Sch 40 Migration (C)'!C10-SUM(D9:D10)</f>
        <v>421629</v>
      </c>
      <c r="E11" s="14">
        <f>+'[1]Sch 40 Migration (C)'!D10-SUM(E9:E10)</f>
        <v>378970</v>
      </c>
      <c r="F11" s="14">
        <f>+'[1]Sch 40 Migration (C)'!E10-SUM(F9:F10)</f>
        <v>393150</v>
      </c>
      <c r="G11" s="14">
        <f>+'[1]Sch 40 Migration (C)'!F10-SUM(G9:G10)</f>
        <v>325765</v>
      </c>
      <c r="H11" s="14">
        <f>+'[1]Sch 40 Migration (C)'!G10-SUM(H9:H10)</f>
        <v>329485</v>
      </c>
      <c r="I11" s="14">
        <f>+'[1]Sch 40 Migration (C)'!H10-SUM(I9:I10)</f>
        <v>316980</v>
      </c>
      <c r="J11" s="14">
        <f>+'[1]Sch 40 Migration (C)'!I10-SUM(J9:J10)</f>
        <v>328080</v>
      </c>
      <c r="K11" s="14">
        <f>+'[1]Sch 40 Migration (C)'!J10-SUM(K9:K10)</f>
        <v>389730</v>
      </c>
      <c r="L11" s="14">
        <f>+'[1]Sch 40 Migration (C)'!K10-SUM(L9:L10)</f>
        <v>357670</v>
      </c>
      <c r="M11" s="14">
        <f>+'[1]Sch 40 Migration (C)'!L10-SUM(M9:M10)</f>
        <v>325630</v>
      </c>
      <c r="N11" s="14">
        <f>+'[1]Sch 40 Migration (C)'!M10-SUM(N9:N10)</f>
        <v>253120</v>
      </c>
      <c r="O11" s="14">
        <f>+'[1]Sch 40 Migration (C)'!N10-SUM(O9:O10)</f>
        <v>299490</v>
      </c>
    </row>
    <row r="12" spans="1:28" x14ac:dyDescent="0.3">
      <c r="A12" s="72">
        <f t="shared" si="1"/>
        <v>7</v>
      </c>
      <c r="B12" t="s">
        <v>16</v>
      </c>
      <c r="C12" s="7">
        <f t="shared" ref="C12:O12" si="7">SUM(C9:C11)</f>
        <v>7019699</v>
      </c>
      <c r="D12" s="7">
        <f t="shared" si="7"/>
        <v>661629</v>
      </c>
      <c r="E12" s="7">
        <f t="shared" si="7"/>
        <v>618970</v>
      </c>
      <c r="F12" s="7">
        <f t="shared" si="7"/>
        <v>653150</v>
      </c>
      <c r="G12" s="7">
        <f t="shared" si="7"/>
        <v>565765</v>
      </c>
      <c r="H12" s="7">
        <f t="shared" si="7"/>
        <v>569485</v>
      </c>
      <c r="I12" s="7">
        <f t="shared" si="7"/>
        <v>556980</v>
      </c>
      <c r="J12" s="7">
        <f t="shared" si="7"/>
        <v>568080</v>
      </c>
      <c r="K12" s="7">
        <f t="shared" si="7"/>
        <v>629730</v>
      </c>
      <c r="L12" s="7">
        <f t="shared" si="7"/>
        <v>597670</v>
      </c>
      <c r="M12" s="7">
        <f t="shared" si="7"/>
        <v>565630</v>
      </c>
      <c r="N12" s="7">
        <f t="shared" si="7"/>
        <v>493120</v>
      </c>
      <c r="O12" s="7">
        <f t="shared" si="7"/>
        <v>539490</v>
      </c>
    </row>
    <row r="13" spans="1:28" x14ac:dyDescent="0.3">
      <c r="A13" s="72">
        <f t="shared" si="1"/>
        <v>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3">
      <c r="A14" s="72">
        <f t="shared" si="1"/>
        <v>9</v>
      </c>
      <c r="B14" s="5" t="s">
        <v>62</v>
      </c>
      <c r="C14" s="6">
        <f t="shared" ref="C14" si="8">SUM(D14:O14)</f>
        <v>4404</v>
      </c>
      <c r="D14" s="14">
        <f>+'[1]Sch 40 Migration (C)'!C11-50*D6</f>
        <v>730</v>
      </c>
      <c r="E14" s="14">
        <f>+'[1]Sch 40 Migration (C)'!D11-50*E6</f>
        <v>761</v>
      </c>
      <c r="F14" s="14">
        <f>+'[1]Sch 40 Migration (C)'!E11-50*F6</f>
        <v>815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f>+'[1]Sch 40 Migration (C)'!L11-50*M6</f>
        <v>778</v>
      </c>
      <c r="N14" s="14">
        <f>+'[1]Sch 40 Migration (C)'!M11-50*N6</f>
        <v>705</v>
      </c>
      <c r="O14" s="14">
        <f>+'[1]Sch 40 Migration (C)'!N11-50*O6</f>
        <v>615</v>
      </c>
    </row>
    <row r="15" spans="1:28" x14ac:dyDescent="0.3">
      <c r="A15" s="72">
        <f t="shared" si="1"/>
        <v>10</v>
      </c>
      <c r="B15" s="5" t="s">
        <v>44</v>
      </c>
      <c r="C15" s="6">
        <f t="shared" ref="C15" si="9">SUM(D15:O15)</f>
        <v>4754</v>
      </c>
      <c r="D15" s="7">
        <v>0</v>
      </c>
      <c r="E15" s="14">
        <v>0</v>
      </c>
      <c r="F15" s="14">
        <v>0</v>
      </c>
      <c r="G15" s="14">
        <f>+'[1]Sch 40 Migration (C)'!F11-50*G6</f>
        <v>730</v>
      </c>
      <c r="H15" s="14">
        <f>+'[1]Sch 40 Migration (C)'!G11-50*H6</f>
        <v>729</v>
      </c>
      <c r="I15" s="14">
        <f>+'[1]Sch 40 Migration (C)'!H11-50*I6</f>
        <v>748</v>
      </c>
      <c r="J15" s="14">
        <f>+'[1]Sch 40 Migration (C)'!I11-50*J6</f>
        <v>838</v>
      </c>
      <c r="K15" s="14">
        <f>+'[1]Sch 40 Migration (C)'!J11-50*K6</f>
        <v>872</v>
      </c>
      <c r="L15" s="14">
        <f>+'[1]Sch 40 Migration (C)'!K11-50*L6</f>
        <v>837</v>
      </c>
      <c r="M15" s="14">
        <v>0</v>
      </c>
      <c r="N15" s="14">
        <v>0</v>
      </c>
      <c r="O15" s="14">
        <v>0</v>
      </c>
    </row>
    <row r="16" spans="1:28" x14ac:dyDescent="0.3">
      <c r="A16" s="72">
        <f t="shared" si="1"/>
        <v>11</v>
      </c>
      <c r="B16" s="5" t="s">
        <v>45</v>
      </c>
      <c r="C16" s="7">
        <f t="shared" ref="C16:O16" si="10">SUM(C14:C15)</f>
        <v>9158</v>
      </c>
      <c r="D16" s="7">
        <f t="shared" si="10"/>
        <v>730</v>
      </c>
      <c r="E16" s="7">
        <f t="shared" si="10"/>
        <v>761</v>
      </c>
      <c r="F16" s="7">
        <f t="shared" si="10"/>
        <v>815</v>
      </c>
      <c r="G16" s="7">
        <f t="shared" si="10"/>
        <v>730</v>
      </c>
      <c r="H16" s="7">
        <f t="shared" si="10"/>
        <v>729</v>
      </c>
      <c r="I16" s="7">
        <f t="shared" si="10"/>
        <v>748</v>
      </c>
      <c r="J16" s="7">
        <f t="shared" si="10"/>
        <v>838</v>
      </c>
      <c r="K16" s="7">
        <f t="shared" si="10"/>
        <v>872</v>
      </c>
      <c r="L16" s="7">
        <f t="shared" si="10"/>
        <v>837</v>
      </c>
      <c r="M16" s="7">
        <f t="shared" si="10"/>
        <v>778</v>
      </c>
      <c r="N16" s="7">
        <f t="shared" si="10"/>
        <v>705</v>
      </c>
      <c r="O16" s="7">
        <f t="shared" si="10"/>
        <v>615</v>
      </c>
    </row>
    <row r="17" spans="1:15" x14ac:dyDescent="0.3">
      <c r="A17" s="72">
        <f t="shared" si="1"/>
        <v>12</v>
      </c>
      <c r="C17" s="7"/>
      <c r="D17" s="7"/>
    </row>
    <row r="18" spans="1:15" x14ac:dyDescent="0.3">
      <c r="A18" s="72">
        <f t="shared" si="1"/>
        <v>13</v>
      </c>
      <c r="B18" s="5" t="s">
        <v>46</v>
      </c>
      <c r="C18" s="6">
        <f t="shared" ref="C18" si="11">SUM(D18:O18)</f>
        <v>1781092</v>
      </c>
      <c r="D18" s="14">
        <f>+'[1]Sch 40 Migration (C)'!C12</f>
        <v>148057</v>
      </c>
      <c r="E18" s="14">
        <f>+'[1]Sch 40 Migration (C)'!D12</f>
        <v>142568</v>
      </c>
      <c r="F18" s="14">
        <f>+'[1]Sch 40 Migration (C)'!E12</f>
        <v>148861</v>
      </c>
      <c r="G18" s="14">
        <f>+'[1]Sch 40 Migration (C)'!F12</f>
        <v>122744</v>
      </c>
      <c r="H18" s="14">
        <f>+'[1]Sch 40 Migration (C)'!G12</f>
        <v>129565</v>
      </c>
      <c r="I18" s="14">
        <f>+'[1]Sch 40 Migration (C)'!H12</f>
        <v>148118</v>
      </c>
      <c r="J18" s="14">
        <f>+'[1]Sch 40 Migration (C)'!I12</f>
        <v>161619</v>
      </c>
      <c r="K18" s="14">
        <f>+'[1]Sch 40 Migration (C)'!J12</f>
        <v>192518</v>
      </c>
      <c r="L18" s="14">
        <f>+'[1]Sch 40 Migration (C)'!K12</f>
        <v>175589</v>
      </c>
      <c r="M18" s="14">
        <f>+'[1]Sch 40 Migration (C)'!L12</f>
        <v>150548</v>
      </c>
      <c r="N18" s="14">
        <f>+'[1]Sch 40 Migration (C)'!M12</f>
        <v>127247</v>
      </c>
      <c r="O18" s="14">
        <f>+'[1]Sch 40 Migration (C)'!N12</f>
        <v>133658</v>
      </c>
    </row>
    <row r="19" spans="1:15" x14ac:dyDescent="0.3">
      <c r="A19" s="72">
        <f t="shared" si="1"/>
        <v>14</v>
      </c>
      <c r="B19" s="5" t="s">
        <v>47</v>
      </c>
      <c r="C19" s="6">
        <f t="shared" ref="C19:O19" si="12">SUM(C18:C18)</f>
        <v>1781092</v>
      </c>
      <c r="D19" s="6">
        <f t="shared" si="12"/>
        <v>148057</v>
      </c>
      <c r="E19" s="6">
        <f t="shared" si="12"/>
        <v>142568</v>
      </c>
      <c r="F19" s="6">
        <f t="shared" si="12"/>
        <v>148861</v>
      </c>
      <c r="G19" s="6">
        <f t="shared" si="12"/>
        <v>122744</v>
      </c>
      <c r="H19" s="6">
        <f t="shared" si="12"/>
        <v>129565</v>
      </c>
      <c r="I19" s="6">
        <f t="shared" si="12"/>
        <v>148118</v>
      </c>
      <c r="J19" s="6">
        <f t="shared" si="12"/>
        <v>161619</v>
      </c>
      <c r="K19" s="6">
        <f t="shared" si="12"/>
        <v>192518</v>
      </c>
      <c r="L19" s="6">
        <f t="shared" si="12"/>
        <v>175589</v>
      </c>
      <c r="M19" s="6">
        <f t="shared" si="12"/>
        <v>150548</v>
      </c>
      <c r="N19" s="6">
        <f t="shared" si="12"/>
        <v>127247</v>
      </c>
      <c r="O19" s="6">
        <f t="shared" si="12"/>
        <v>133658</v>
      </c>
    </row>
    <row r="20" spans="1:15" x14ac:dyDescent="0.3">
      <c r="A20" s="72">
        <f t="shared" si="1"/>
        <v>15</v>
      </c>
    </row>
    <row r="21" spans="1:15" x14ac:dyDescent="0.3">
      <c r="A21" s="72">
        <f t="shared" si="1"/>
        <v>16</v>
      </c>
      <c r="B21" s="8" t="s">
        <v>48</v>
      </c>
      <c r="D21" s="9">
        <v>52.3</v>
      </c>
      <c r="E21" s="10">
        <f t="shared" ref="E21:E26" si="13">+D21</f>
        <v>52.3</v>
      </c>
      <c r="F21" s="10">
        <f t="shared" ref="F21:O26" si="14">+E21</f>
        <v>52.3</v>
      </c>
      <c r="G21" s="10">
        <f t="shared" si="14"/>
        <v>52.3</v>
      </c>
      <c r="H21" s="10">
        <f t="shared" si="14"/>
        <v>52.3</v>
      </c>
      <c r="I21" s="10">
        <f t="shared" si="14"/>
        <v>52.3</v>
      </c>
      <c r="J21" s="10">
        <f t="shared" si="14"/>
        <v>52.3</v>
      </c>
      <c r="K21" s="10">
        <f t="shared" si="14"/>
        <v>52.3</v>
      </c>
      <c r="L21" s="10">
        <f t="shared" si="14"/>
        <v>52.3</v>
      </c>
      <c r="M21" s="10">
        <f t="shared" si="14"/>
        <v>52.3</v>
      </c>
      <c r="N21" s="10">
        <f t="shared" si="14"/>
        <v>52.3</v>
      </c>
      <c r="O21" s="10">
        <f t="shared" si="14"/>
        <v>52.3</v>
      </c>
    </row>
    <row r="22" spans="1:15" x14ac:dyDescent="0.3">
      <c r="A22" s="72">
        <f t="shared" si="1"/>
        <v>17</v>
      </c>
      <c r="B22" s="8" t="s">
        <v>63</v>
      </c>
      <c r="D22" s="9">
        <v>9.0753E-2</v>
      </c>
      <c r="E22" s="10">
        <f t="shared" ref="E22" si="15">+D22</f>
        <v>9.0753E-2</v>
      </c>
      <c r="F22" s="10">
        <f t="shared" ref="F22" si="16">+E22</f>
        <v>9.0753E-2</v>
      </c>
      <c r="G22" s="10">
        <f t="shared" ref="G22" si="17">+F22</f>
        <v>9.0753E-2</v>
      </c>
      <c r="H22" s="10">
        <f t="shared" ref="H22" si="18">+G22</f>
        <v>9.0753E-2</v>
      </c>
      <c r="I22" s="10">
        <f t="shared" ref="I22" si="19">+H22</f>
        <v>9.0753E-2</v>
      </c>
      <c r="J22" s="10">
        <f t="shared" ref="J22" si="20">+I22</f>
        <v>9.0753E-2</v>
      </c>
      <c r="K22" s="10">
        <f t="shared" ref="K22" si="21">+J22</f>
        <v>9.0753E-2</v>
      </c>
      <c r="L22" s="10">
        <f t="shared" ref="L22" si="22">+K22</f>
        <v>9.0753E-2</v>
      </c>
      <c r="M22" s="10">
        <f t="shared" ref="M22" si="23">+L22</f>
        <v>9.0753E-2</v>
      </c>
      <c r="N22" s="10">
        <f t="shared" ref="N22" si="24">+M22</f>
        <v>9.0753E-2</v>
      </c>
      <c r="O22" s="10">
        <f t="shared" ref="O22" si="25">+N22</f>
        <v>9.0753E-2</v>
      </c>
    </row>
    <row r="23" spans="1:15" x14ac:dyDescent="0.3">
      <c r="A23" s="72">
        <f t="shared" si="1"/>
        <v>18</v>
      </c>
      <c r="B23" s="8" t="s">
        <v>49</v>
      </c>
      <c r="D23" s="9">
        <v>8.2225999999999994E-2</v>
      </c>
      <c r="E23" s="10">
        <f t="shared" si="13"/>
        <v>8.2225999999999994E-2</v>
      </c>
      <c r="F23" s="10">
        <f t="shared" si="14"/>
        <v>8.2225999999999994E-2</v>
      </c>
      <c r="G23" s="10">
        <f t="shared" si="14"/>
        <v>8.2225999999999994E-2</v>
      </c>
      <c r="H23" s="10">
        <f t="shared" si="14"/>
        <v>8.2225999999999994E-2</v>
      </c>
      <c r="I23" s="10">
        <f t="shared" si="14"/>
        <v>8.2225999999999994E-2</v>
      </c>
      <c r="J23" s="10">
        <f t="shared" si="14"/>
        <v>8.2225999999999994E-2</v>
      </c>
      <c r="K23" s="10">
        <f t="shared" si="14"/>
        <v>8.2225999999999994E-2</v>
      </c>
      <c r="L23" s="10">
        <f t="shared" si="14"/>
        <v>8.2225999999999994E-2</v>
      </c>
      <c r="M23" s="10">
        <f t="shared" si="14"/>
        <v>8.2225999999999994E-2</v>
      </c>
      <c r="N23" s="10">
        <f t="shared" si="14"/>
        <v>8.2225999999999994E-2</v>
      </c>
      <c r="O23" s="10">
        <f t="shared" si="14"/>
        <v>8.2225999999999994E-2</v>
      </c>
    </row>
    <row r="24" spans="1:15" x14ac:dyDescent="0.3">
      <c r="A24" s="72">
        <f t="shared" si="1"/>
        <v>19</v>
      </c>
      <c r="B24" s="8" t="s">
        <v>50</v>
      </c>
      <c r="D24" s="9">
        <v>6.4072000000000004E-2</v>
      </c>
      <c r="E24" s="10">
        <f t="shared" ref="E24" si="26">+D24</f>
        <v>6.4072000000000004E-2</v>
      </c>
      <c r="F24" s="10">
        <f t="shared" ref="F24" si="27">+E24</f>
        <v>6.4072000000000004E-2</v>
      </c>
      <c r="G24" s="10">
        <f t="shared" ref="G24" si="28">+F24</f>
        <v>6.4072000000000004E-2</v>
      </c>
      <c r="H24" s="10">
        <f t="shared" ref="H24" si="29">+G24</f>
        <v>6.4072000000000004E-2</v>
      </c>
      <c r="I24" s="10">
        <f t="shared" ref="I24" si="30">+H24</f>
        <v>6.4072000000000004E-2</v>
      </c>
      <c r="J24" s="10">
        <f t="shared" ref="J24" si="31">+I24</f>
        <v>6.4072000000000004E-2</v>
      </c>
      <c r="K24" s="10">
        <f t="shared" ref="K24" si="32">+J24</f>
        <v>6.4072000000000004E-2</v>
      </c>
      <c r="L24" s="10">
        <f t="shared" ref="L24" si="33">+K24</f>
        <v>6.4072000000000004E-2</v>
      </c>
      <c r="M24" s="10">
        <f t="shared" ref="M24" si="34">+L24</f>
        <v>6.4072000000000004E-2</v>
      </c>
      <c r="N24" s="10">
        <f t="shared" ref="N24" si="35">+M24</f>
        <v>6.4072000000000004E-2</v>
      </c>
      <c r="O24" s="10">
        <f t="shared" ref="O24" si="36">+N24</f>
        <v>6.4072000000000004E-2</v>
      </c>
    </row>
    <row r="25" spans="1:15" x14ac:dyDescent="0.3">
      <c r="A25" s="72">
        <f>+A23+1</f>
        <v>19</v>
      </c>
      <c r="B25" s="8" t="s">
        <v>60</v>
      </c>
      <c r="D25" s="9">
        <v>9.42</v>
      </c>
      <c r="E25" s="10">
        <f t="shared" ref="E25" si="37">+D25</f>
        <v>9.42</v>
      </c>
      <c r="F25" s="10">
        <f t="shared" ref="F25" si="38">+E25</f>
        <v>9.42</v>
      </c>
      <c r="G25" s="10">
        <f t="shared" ref="G25" si="39">+F25</f>
        <v>9.42</v>
      </c>
      <c r="H25" s="10">
        <f t="shared" ref="H25" si="40">+G25</f>
        <v>9.42</v>
      </c>
      <c r="I25" s="10">
        <f t="shared" ref="I25" si="41">+H25</f>
        <v>9.42</v>
      </c>
      <c r="J25" s="10">
        <f t="shared" ref="J25" si="42">+I25</f>
        <v>9.42</v>
      </c>
      <c r="K25" s="10">
        <f t="shared" ref="K25" si="43">+J25</f>
        <v>9.42</v>
      </c>
      <c r="L25" s="10">
        <f t="shared" ref="L25" si="44">+K25</f>
        <v>9.42</v>
      </c>
      <c r="M25" s="10">
        <f t="shared" ref="M25" si="45">+L25</f>
        <v>9.42</v>
      </c>
      <c r="N25" s="10">
        <f t="shared" ref="N25" si="46">+M25</f>
        <v>9.42</v>
      </c>
      <c r="O25" s="10">
        <f t="shared" ref="O25" si="47">+N25</f>
        <v>9.42</v>
      </c>
    </row>
    <row r="26" spans="1:15" x14ac:dyDescent="0.3">
      <c r="A26" s="72">
        <f t="shared" si="1"/>
        <v>20</v>
      </c>
      <c r="B26" s="8" t="s">
        <v>51</v>
      </c>
      <c r="D26" s="9">
        <v>6.29</v>
      </c>
      <c r="E26" s="10">
        <f t="shared" si="13"/>
        <v>6.29</v>
      </c>
      <c r="F26" s="10">
        <f t="shared" si="14"/>
        <v>6.29</v>
      </c>
      <c r="G26" s="10">
        <f t="shared" si="14"/>
        <v>6.29</v>
      </c>
      <c r="H26" s="10">
        <f t="shared" si="14"/>
        <v>6.29</v>
      </c>
      <c r="I26" s="10">
        <f t="shared" si="14"/>
        <v>6.29</v>
      </c>
      <c r="J26" s="10">
        <f t="shared" si="14"/>
        <v>6.29</v>
      </c>
      <c r="K26" s="10">
        <f t="shared" si="14"/>
        <v>6.29</v>
      </c>
      <c r="L26" s="10">
        <f t="shared" si="14"/>
        <v>6.29</v>
      </c>
      <c r="M26" s="10">
        <f t="shared" si="14"/>
        <v>6.29</v>
      </c>
      <c r="N26" s="10">
        <f t="shared" si="14"/>
        <v>6.29</v>
      </c>
      <c r="O26" s="10">
        <f t="shared" si="14"/>
        <v>6.29</v>
      </c>
    </row>
    <row r="27" spans="1:15" x14ac:dyDescent="0.3">
      <c r="A27" s="72">
        <f t="shared" si="1"/>
        <v>21</v>
      </c>
      <c r="B27" s="8" t="s">
        <v>52</v>
      </c>
      <c r="D27" s="9">
        <v>2.96E-3</v>
      </c>
      <c r="E27" s="10">
        <f t="shared" ref="E27:O27" si="48">+D27</f>
        <v>2.96E-3</v>
      </c>
      <c r="F27" s="10">
        <f t="shared" si="48"/>
        <v>2.96E-3</v>
      </c>
      <c r="G27" s="10">
        <f t="shared" si="48"/>
        <v>2.96E-3</v>
      </c>
      <c r="H27" s="10">
        <f t="shared" si="48"/>
        <v>2.96E-3</v>
      </c>
      <c r="I27" s="10">
        <f t="shared" si="48"/>
        <v>2.96E-3</v>
      </c>
      <c r="J27" s="10">
        <f t="shared" si="48"/>
        <v>2.96E-3</v>
      </c>
      <c r="K27" s="10">
        <f t="shared" si="48"/>
        <v>2.96E-3</v>
      </c>
      <c r="L27" s="10">
        <f t="shared" si="48"/>
        <v>2.96E-3</v>
      </c>
      <c r="M27" s="10">
        <f t="shared" si="48"/>
        <v>2.96E-3</v>
      </c>
      <c r="N27" s="10">
        <f t="shared" si="48"/>
        <v>2.96E-3</v>
      </c>
      <c r="O27" s="10">
        <f t="shared" si="48"/>
        <v>2.96E-3</v>
      </c>
    </row>
    <row r="28" spans="1:15" x14ac:dyDescent="0.3">
      <c r="A28" s="72">
        <f t="shared" si="1"/>
        <v>22</v>
      </c>
      <c r="B28" s="8"/>
      <c r="D28" s="18"/>
      <c r="E28" s="10"/>
    </row>
    <row r="29" spans="1:15" x14ac:dyDescent="0.3">
      <c r="A29" s="72">
        <f t="shared" si="1"/>
        <v>23</v>
      </c>
      <c r="B29" s="1" t="s">
        <v>17</v>
      </c>
    </row>
    <row r="30" spans="1:15" x14ac:dyDescent="0.3">
      <c r="A30" s="72">
        <f t="shared" si="1"/>
        <v>24</v>
      </c>
      <c r="B30" s="8" t="s">
        <v>53</v>
      </c>
      <c r="C30" s="11">
        <f>SUM(D30:O30)</f>
        <v>7588</v>
      </c>
      <c r="D30" s="11">
        <f>ROUND(D6*D21,0)</f>
        <v>628</v>
      </c>
      <c r="E30" s="11">
        <f t="shared" ref="E30:O30" si="49">ROUND(E6*E21,0)</f>
        <v>628</v>
      </c>
      <c r="F30" s="11">
        <f t="shared" si="49"/>
        <v>680</v>
      </c>
      <c r="G30" s="11">
        <f t="shared" si="49"/>
        <v>628</v>
      </c>
      <c r="H30" s="11">
        <f t="shared" si="49"/>
        <v>628</v>
      </c>
      <c r="I30" s="11">
        <f t="shared" si="49"/>
        <v>628</v>
      </c>
      <c r="J30" s="11">
        <f t="shared" si="49"/>
        <v>628</v>
      </c>
      <c r="K30" s="11">
        <f t="shared" si="49"/>
        <v>628</v>
      </c>
      <c r="L30" s="11">
        <f t="shared" si="49"/>
        <v>628</v>
      </c>
      <c r="M30" s="11">
        <f t="shared" si="49"/>
        <v>628</v>
      </c>
      <c r="N30" s="11">
        <f t="shared" si="49"/>
        <v>628</v>
      </c>
      <c r="O30" s="11">
        <f t="shared" si="49"/>
        <v>628</v>
      </c>
    </row>
    <row r="31" spans="1:15" x14ac:dyDescent="0.3">
      <c r="A31" s="72">
        <f t="shared" si="1"/>
        <v>25</v>
      </c>
      <c r="B31" s="8" t="s">
        <v>54</v>
      </c>
      <c r="C31" s="11">
        <f t="shared" ref="C31:C36" si="50">SUM(D31:O31)</f>
        <v>132501</v>
      </c>
      <c r="D31" s="11">
        <f>ROUND(+D9*D22,0)</f>
        <v>21781</v>
      </c>
      <c r="E31" s="11">
        <f t="shared" ref="E31:O31" si="51">ROUND(+E9*E22,0)</f>
        <v>21781</v>
      </c>
      <c r="F31" s="11">
        <f t="shared" si="51"/>
        <v>23596</v>
      </c>
      <c r="G31" s="11">
        <f t="shared" si="51"/>
        <v>0</v>
      </c>
      <c r="H31" s="11">
        <f t="shared" si="51"/>
        <v>0</v>
      </c>
      <c r="I31" s="11">
        <f t="shared" si="51"/>
        <v>0</v>
      </c>
      <c r="J31" s="11">
        <f t="shared" si="51"/>
        <v>0</v>
      </c>
      <c r="K31" s="11">
        <f t="shared" si="51"/>
        <v>0</v>
      </c>
      <c r="L31" s="11">
        <f t="shared" si="51"/>
        <v>0</v>
      </c>
      <c r="M31" s="11">
        <f t="shared" si="51"/>
        <v>21781</v>
      </c>
      <c r="N31" s="11">
        <f t="shared" si="51"/>
        <v>21781</v>
      </c>
      <c r="O31" s="11">
        <f t="shared" si="51"/>
        <v>21781</v>
      </c>
    </row>
    <row r="32" spans="1:15" x14ac:dyDescent="0.3">
      <c r="A32" s="72">
        <f t="shared" si="1"/>
        <v>26</v>
      </c>
      <c r="B32" s="8" t="s">
        <v>55</v>
      </c>
      <c r="C32" s="11">
        <f t="shared" si="50"/>
        <v>118404</v>
      </c>
      <c r="D32" s="11">
        <f>ROUND(+D10*D23,0)</f>
        <v>0</v>
      </c>
      <c r="E32" s="11">
        <f t="shared" ref="E32:O32" si="52">ROUND(+E10*E23,0)</f>
        <v>0</v>
      </c>
      <c r="F32" s="11">
        <f t="shared" si="52"/>
        <v>0</v>
      </c>
      <c r="G32" s="11">
        <f t="shared" si="52"/>
        <v>19734</v>
      </c>
      <c r="H32" s="11">
        <f t="shared" si="52"/>
        <v>19734</v>
      </c>
      <c r="I32" s="11">
        <f t="shared" si="52"/>
        <v>19734</v>
      </c>
      <c r="J32" s="11">
        <f t="shared" si="52"/>
        <v>19734</v>
      </c>
      <c r="K32" s="11">
        <f t="shared" si="52"/>
        <v>19734</v>
      </c>
      <c r="L32" s="11">
        <f t="shared" si="52"/>
        <v>19734</v>
      </c>
      <c r="M32" s="11">
        <f t="shared" si="52"/>
        <v>0</v>
      </c>
      <c r="N32" s="11">
        <f t="shared" si="52"/>
        <v>0</v>
      </c>
      <c r="O32" s="11">
        <f t="shared" si="52"/>
        <v>0</v>
      </c>
    </row>
    <row r="33" spans="1:15" x14ac:dyDescent="0.3">
      <c r="A33" s="72">
        <f t="shared" si="1"/>
        <v>27</v>
      </c>
      <c r="B33" s="8" t="s">
        <v>56</v>
      </c>
      <c r="C33" s="11">
        <f t="shared" si="50"/>
        <v>263959</v>
      </c>
      <c r="D33" s="11">
        <f>ROUND(+D11*D24,0)</f>
        <v>27015</v>
      </c>
      <c r="E33" s="11">
        <f t="shared" ref="E33:O33" si="53">ROUND(+E11*E24,0)</f>
        <v>24281</v>
      </c>
      <c r="F33" s="11">
        <f t="shared" si="53"/>
        <v>25190</v>
      </c>
      <c r="G33" s="11">
        <f t="shared" si="53"/>
        <v>20872</v>
      </c>
      <c r="H33" s="11">
        <f t="shared" si="53"/>
        <v>21111</v>
      </c>
      <c r="I33" s="11">
        <f t="shared" si="53"/>
        <v>20310</v>
      </c>
      <c r="J33" s="11">
        <f t="shared" si="53"/>
        <v>21021</v>
      </c>
      <c r="K33" s="11">
        <f t="shared" si="53"/>
        <v>24971</v>
      </c>
      <c r="L33" s="11">
        <f t="shared" si="53"/>
        <v>22917</v>
      </c>
      <c r="M33" s="11">
        <f t="shared" si="53"/>
        <v>20864</v>
      </c>
      <c r="N33" s="11">
        <f t="shared" si="53"/>
        <v>16218</v>
      </c>
      <c r="O33" s="11">
        <f t="shared" si="53"/>
        <v>19189</v>
      </c>
    </row>
    <row r="34" spans="1:15" x14ac:dyDescent="0.3">
      <c r="A34" s="72">
        <f t="shared" si="1"/>
        <v>28</v>
      </c>
      <c r="B34" s="8" t="s">
        <v>57</v>
      </c>
      <c r="C34" s="11">
        <f t="shared" si="50"/>
        <v>41486</v>
      </c>
      <c r="D34" s="11">
        <f>ROUND(+D14*D25,0)</f>
        <v>6877</v>
      </c>
      <c r="E34" s="11">
        <f t="shared" ref="E34:O34" si="54">ROUND(+E14*E25,0)</f>
        <v>7169</v>
      </c>
      <c r="F34" s="11">
        <f t="shared" si="54"/>
        <v>7677</v>
      </c>
      <c r="G34" s="11">
        <f t="shared" si="54"/>
        <v>0</v>
      </c>
      <c r="H34" s="11">
        <f t="shared" si="54"/>
        <v>0</v>
      </c>
      <c r="I34" s="11">
        <f t="shared" si="54"/>
        <v>0</v>
      </c>
      <c r="J34" s="11">
        <f t="shared" si="54"/>
        <v>0</v>
      </c>
      <c r="K34" s="11">
        <f t="shared" si="54"/>
        <v>0</v>
      </c>
      <c r="L34" s="11">
        <f t="shared" si="54"/>
        <v>0</v>
      </c>
      <c r="M34" s="11">
        <f t="shared" si="54"/>
        <v>7329</v>
      </c>
      <c r="N34" s="11">
        <f t="shared" si="54"/>
        <v>6641</v>
      </c>
      <c r="O34" s="11">
        <f t="shared" si="54"/>
        <v>5793</v>
      </c>
    </row>
    <row r="35" spans="1:15" x14ac:dyDescent="0.3">
      <c r="A35" s="72">
        <f t="shared" si="1"/>
        <v>29</v>
      </c>
      <c r="B35" s="8" t="s">
        <v>58</v>
      </c>
      <c r="C35" s="11">
        <f t="shared" si="50"/>
        <v>29903</v>
      </c>
      <c r="D35" s="11">
        <f>ROUND(+D15*D26,0)</f>
        <v>0</v>
      </c>
      <c r="E35" s="11">
        <f t="shared" ref="E35:O35" si="55">ROUND(+E15*E26,0)</f>
        <v>0</v>
      </c>
      <c r="F35" s="11">
        <f t="shared" si="55"/>
        <v>0</v>
      </c>
      <c r="G35" s="11">
        <f t="shared" si="55"/>
        <v>4592</v>
      </c>
      <c r="H35" s="11">
        <f t="shared" si="55"/>
        <v>4585</v>
      </c>
      <c r="I35" s="11">
        <f t="shared" si="55"/>
        <v>4705</v>
      </c>
      <c r="J35" s="11">
        <f t="shared" si="55"/>
        <v>5271</v>
      </c>
      <c r="K35" s="11">
        <f t="shared" si="55"/>
        <v>5485</v>
      </c>
      <c r="L35" s="11">
        <f t="shared" si="55"/>
        <v>5265</v>
      </c>
      <c r="M35" s="11">
        <f t="shared" si="55"/>
        <v>0</v>
      </c>
      <c r="N35" s="11">
        <f t="shared" si="55"/>
        <v>0</v>
      </c>
      <c r="O35" s="11">
        <f t="shared" si="55"/>
        <v>0</v>
      </c>
    </row>
    <row r="36" spans="1:15" x14ac:dyDescent="0.3">
      <c r="A36" s="72">
        <f t="shared" si="1"/>
        <v>30</v>
      </c>
      <c r="B36" s="8" t="s">
        <v>59</v>
      </c>
      <c r="C36" s="11">
        <f t="shared" si="50"/>
        <v>5273</v>
      </c>
      <c r="D36" s="11">
        <f>ROUND(+D18*D27,0)</f>
        <v>438</v>
      </c>
      <c r="E36" s="11">
        <f t="shared" ref="E36:O36" si="56">ROUND(+E18*E27,0)</f>
        <v>422</v>
      </c>
      <c r="F36" s="11">
        <f t="shared" si="56"/>
        <v>441</v>
      </c>
      <c r="G36" s="11">
        <f t="shared" si="56"/>
        <v>363</v>
      </c>
      <c r="H36" s="11">
        <f t="shared" si="56"/>
        <v>384</v>
      </c>
      <c r="I36" s="11">
        <f t="shared" si="56"/>
        <v>438</v>
      </c>
      <c r="J36" s="11">
        <f t="shared" si="56"/>
        <v>478</v>
      </c>
      <c r="K36" s="11">
        <f t="shared" si="56"/>
        <v>570</v>
      </c>
      <c r="L36" s="11">
        <f t="shared" si="56"/>
        <v>520</v>
      </c>
      <c r="M36" s="11">
        <f t="shared" si="56"/>
        <v>446</v>
      </c>
      <c r="N36" s="11">
        <f t="shared" si="56"/>
        <v>377</v>
      </c>
      <c r="O36" s="11">
        <f t="shared" si="56"/>
        <v>396</v>
      </c>
    </row>
    <row r="37" spans="1:15" x14ac:dyDescent="0.3">
      <c r="A37" s="72">
        <f t="shared" si="1"/>
        <v>31</v>
      </c>
      <c r="B37" s="5" t="s">
        <v>64</v>
      </c>
      <c r="C37" s="11">
        <f>SUM(C30:C36)</f>
        <v>599114</v>
      </c>
      <c r="D37" s="11">
        <f t="shared" ref="D37:O37" si="57">SUM(D30:D36)</f>
        <v>56739</v>
      </c>
      <c r="E37" s="11">
        <f t="shared" si="57"/>
        <v>54281</v>
      </c>
      <c r="F37" s="11">
        <f t="shared" si="57"/>
        <v>57584</v>
      </c>
      <c r="G37" s="11">
        <f t="shared" si="57"/>
        <v>46189</v>
      </c>
      <c r="H37" s="11">
        <f t="shared" si="57"/>
        <v>46442</v>
      </c>
      <c r="I37" s="11">
        <f t="shared" si="57"/>
        <v>45815</v>
      </c>
      <c r="J37" s="11">
        <f t="shared" si="57"/>
        <v>47132</v>
      </c>
      <c r="K37" s="11">
        <f t="shared" si="57"/>
        <v>51388</v>
      </c>
      <c r="L37" s="11">
        <f t="shared" si="57"/>
        <v>49064</v>
      </c>
      <c r="M37" s="11">
        <f t="shared" si="57"/>
        <v>51048</v>
      </c>
      <c r="N37" s="11">
        <f t="shared" si="57"/>
        <v>45645</v>
      </c>
      <c r="O37" s="11">
        <f t="shared" si="57"/>
        <v>47787</v>
      </c>
    </row>
    <row r="38" spans="1:15" x14ac:dyDescent="0.3">
      <c r="A38" s="72">
        <f t="shared" si="1"/>
        <v>32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3">
      <c r="A39" s="72">
        <f t="shared" si="1"/>
        <v>33</v>
      </c>
      <c r="B39" s="12" t="s">
        <v>20</v>
      </c>
      <c r="C39" s="6">
        <f>SUM(D39:O39)</f>
        <v>-214472</v>
      </c>
      <c r="D39" s="7">
        <f>+'Sch 40 Campus Svc'!D57</f>
        <v>-38289</v>
      </c>
      <c r="E39" s="14">
        <f>+'Sch 40 Campus Svc'!E57</f>
        <v>-55839</v>
      </c>
      <c r="F39" s="14">
        <f>+'Sch 40 Campus Svc'!F57</f>
        <v>-55698</v>
      </c>
      <c r="G39" s="14">
        <f>+'Sch 40 Campus Svc'!G57</f>
        <v>29609</v>
      </c>
      <c r="H39" s="14">
        <f>+'Sch 40 Campus Svc'!H57</f>
        <v>-10727</v>
      </c>
      <c r="I39" s="14">
        <f>+'Sch 40 Campus Svc'!I57</f>
        <v>26179</v>
      </c>
      <c r="J39" s="14">
        <f>+'Sch 40 Campus Svc'!J57</f>
        <v>-5432</v>
      </c>
      <c r="K39" s="14">
        <f>+'Sch 40 Campus Svc'!K57</f>
        <v>-63328</v>
      </c>
      <c r="L39" s="14">
        <f>+'Sch 40 Campus Svc'!L57</f>
        <v>-30001</v>
      </c>
      <c r="M39" s="14">
        <f>+'Sch 40 Campus Svc'!M57</f>
        <v>93989</v>
      </c>
      <c r="N39" s="14">
        <f>+'Sch 40 Campus Svc'!N57</f>
        <v>-110856</v>
      </c>
      <c r="O39" s="14">
        <f>+'Sch 40 Campus Svc'!O57</f>
        <v>5921</v>
      </c>
    </row>
    <row r="40" spans="1:15" x14ac:dyDescent="0.3">
      <c r="A40" s="72">
        <f t="shared" si="1"/>
        <v>34</v>
      </c>
      <c r="B40" s="12" t="s">
        <v>21</v>
      </c>
      <c r="D40" s="10">
        <f t="shared" ref="D40:O40" si="58">+D37/D12</f>
        <v>8.5756519136857667E-2</v>
      </c>
      <c r="E40" s="10">
        <f t="shared" si="58"/>
        <v>8.7695687997802807E-2</v>
      </c>
      <c r="F40" s="10">
        <f t="shared" si="58"/>
        <v>8.8163515272142695E-2</v>
      </c>
      <c r="G40" s="10">
        <f t="shared" si="58"/>
        <v>8.1639903493499949E-2</v>
      </c>
      <c r="H40" s="10">
        <f t="shared" si="58"/>
        <v>8.1550874913298863E-2</v>
      </c>
      <c r="I40" s="10">
        <f t="shared" si="58"/>
        <v>8.2256095371467552E-2</v>
      </c>
      <c r="J40" s="10">
        <f t="shared" si="58"/>
        <v>8.2967187720039429E-2</v>
      </c>
      <c r="K40" s="10">
        <f t="shared" si="58"/>
        <v>8.1603226779730989E-2</v>
      </c>
      <c r="L40" s="10">
        <f t="shared" si="58"/>
        <v>8.2092124416484016E-2</v>
      </c>
      <c r="M40" s="10">
        <f t="shared" si="58"/>
        <v>9.024980994643142E-2</v>
      </c>
      <c r="N40" s="10">
        <f t="shared" si="58"/>
        <v>9.2563676184295909E-2</v>
      </c>
      <c r="O40" s="10">
        <f t="shared" si="58"/>
        <v>8.8578101540343651E-2</v>
      </c>
    </row>
    <row r="41" spans="1:15" x14ac:dyDescent="0.3">
      <c r="A41" s="72">
        <f t="shared" si="1"/>
        <v>35</v>
      </c>
      <c r="B41" s="12" t="s">
        <v>22</v>
      </c>
      <c r="C41" s="11">
        <f>SUM(D41:O41)</f>
        <v>-18734</v>
      </c>
      <c r="D41" s="7">
        <f>ROUND(+D39*D40,0)</f>
        <v>-3284</v>
      </c>
      <c r="E41" s="7">
        <f t="shared" ref="E41:O41" si="59">ROUND(+E39*E40,0)</f>
        <v>-4897</v>
      </c>
      <c r="F41" s="7">
        <f t="shared" si="59"/>
        <v>-4911</v>
      </c>
      <c r="G41" s="7">
        <f t="shared" si="59"/>
        <v>2417</v>
      </c>
      <c r="H41" s="7">
        <f t="shared" si="59"/>
        <v>-875</v>
      </c>
      <c r="I41" s="7">
        <f t="shared" si="59"/>
        <v>2153</v>
      </c>
      <c r="J41" s="7">
        <f t="shared" si="59"/>
        <v>-451</v>
      </c>
      <c r="K41" s="7">
        <f t="shared" si="59"/>
        <v>-5168</v>
      </c>
      <c r="L41" s="7">
        <f t="shared" si="59"/>
        <v>-2463</v>
      </c>
      <c r="M41" s="7">
        <f t="shared" si="59"/>
        <v>8482</v>
      </c>
      <c r="N41" s="7">
        <f t="shared" si="59"/>
        <v>-10261</v>
      </c>
      <c r="O41" s="7">
        <f t="shared" si="59"/>
        <v>524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pane xSplit="4" ySplit="5" topLeftCell="G21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4.4" x14ac:dyDescent="0.3"/>
  <cols>
    <col min="1" max="1" width="4.33203125" bestFit="1" customWidth="1"/>
    <col min="2" max="2" width="42.33203125" bestFit="1" customWidth="1"/>
    <col min="3" max="3" width="14" bestFit="1" customWidth="1"/>
    <col min="4" max="15" width="12.6640625" bestFit="1" customWidth="1"/>
    <col min="16" max="16" width="14.109375" customWidth="1"/>
    <col min="17" max="17" width="12.6640625" bestFit="1" customWidth="1"/>
    <col min="18" max="18" width="10.5546875" bestFit="1" customWidth="1"/>
    <col min="19" max="19" width="12.5546875" customWidth="1"/>
    <col min="20" max="20" width="5.88671875" bestFit="1" customWidth="1"/>
    <col min="21" max="21" width="4" bestFit="1" customWidth="1"/>
    <col min="22" max="22" width="18.88671875" bestFit="1" customWidth="1"/>
    <col min="23" max="23" width="8.5546875" bestFit="1" customWidth="1"/>
    <col min="24" max="24" width="4.88671875" bestFit="1" customWidth="1"/>
    <col min="25" max="28" width="7.21875" bestFit="1" customWidth="1"/>
    <col min="29" max="29" width="7.6640625" bestFit="1" customWidth="1"/>
  </cols>
  <sheetData>
    <row r="1" spans="1:29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9" x14ac:dyDescent="0.3">
      <c r="A2" s="98" t="s">
        <v>149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9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9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  <c r="AC5" s="16" t="s">
        <v>75</v>
      </c>
    </row>
    <row r="6" spans="1:29" x14ac:dyDescent="0.3">
      <c r="A6" s="4">
        <v>1</v>
      </c>
      <c r="B6" s="5" t="s">
        <v>41</v>
      </c>
      <c r="C6" s="17">
        <f t="shared" ref="C6" si="0">SUM(D6:O6)</f>
        <v>132</v>
      </c>
      <c r="D6" s="7">
        <f>SUM('[1]Sch 40 Migration (C)'!C13)</f>
        <v>11</v>
      </c>
      <c r="E6" s="14">
        <f>SUM('[1]Sch 40 Migration (C)'!D13)</f>
        <v>10</v>
      </c>
      <c r="F6" s="14">
        <f>SUM('[1]Sch 40 Migration (C)'!E13)</f>
        <v>12</v>
      </c>
      <c r="G6" s="14">
        <f>SUM('[1]Sch 40 Migration (C)'!F13)</f>
        <v>11</v>
      </c>
      <c r="H6" s="14">
        <f>SUM('[1]Sch 40 Migration (C)'!G13)</f>
        <v>11</v>
      </c>
      <c r="I6" s="14">
        <f>SUM('[1]Sch 40 Migration (C)'!H13)</f>
        <v>8</v>
      </c>
      <c r="J6" s="14">
        <f>SUM('[1]Sch 40 Migration (C)'!I13)</f>
        <v>14</v>
      </c>
      <c r="K6" s="14">
        <f>SUM('[1]Sch 40 Migration (C)'!J13)</f>
        <v>11</v>
      </c>
      <c r="L6" s="14">
        <f>SUM('[1]Sch 40 Migration (C)'!K13)</f>
        <v>11</v>
      </c>
      <c r="M6" s="14">
        <f>SUM('[1]Sch 40 Migration (C)'!L13)</f>
        <v>11</v>
      </c>
      <c r="N6" s="14">
        <f>SUM('[1]Sch 40 Migration (C)'!M13)</f>
        <v>10</v>
      </c>
      <c r="O6" s="14">
        <f>SUM('[1]Sch 40 Migration (C)'!N13)</f>
        <v>12</v>
      </c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x14ac:dyDescent="0.3">
      <c r="A7" s="4">
        <f t="shared" ref="A7:A35" si="1">+A6+1</f>
        <v>2</v>
      </c>
      <c r="B7" t="s">
        <v>15</v>
      </c>
      <c r="C7" s="17">
        <f>SUM(C6:C6)</f>
        <v>132</v>
      </c>
      <c r="D7" s="17">
        <f>SUM(D6:D6)</f>
        <v>11</v>
      </c>
      <c r="E7" s="17">
        <f t="shared" ref="E7:O7" si="2">SUM(E6:E6)</f>
        <v>10</v>
      </c>
      <c r="F7" s="17">
        <f t="shared" si="2"/>
        <v>12</v>
      </c>
      <c r="G7" s="17">
        <f t="shared" si="2"/>
        <v>11</v>
      </c>
      <c r="H7" s="17">
        <f t="shared" si="2"/>
        <v>11</v>
      </c>
      <c r="I7" s="17">
        <f t="shared" si="2"/>
        <v>8</v>
      </c>
      <c r="J7" s="17">
        <f t="shared" si="2"/>
        <v>14</v>
      </c>
      <c r="K7" s="17">
        <f t="shared" si="2"/>
        <v>11</v>
      </c>
      <c r="L7" s="17">
        <f t="shared" si="2"/>
        <v>11</v>
      </c>
      <c r="M7" s="17">
        <f t="shared" si="2"/>
        <v>11</v>
      </c>
      <c r="N7" s="17">
        <f t="shared" si="2"/>
        <v>10</v>
      </c>
      <c r="O7" s="17">
        <f t="shared" si="2"/>
        <v>12</v>
      </c>
    </row>
    <row r="8" spans="1:29" x14ac:dyDescent="0.3">
      <c r="A8" s="4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9" x14ac:dyDescent="0.3">
      <c r="A9" s="72">
        <f t="shared" si="1"/>
        <v>4</v>
      </c>
      <c r="B9" s="5" t="s">
        <v>65</v>
      </c>
      <c r="C9" s="17">
        <f t="shared" ref="C9" si="3">SUM(D9:O9)</f>
        <v>45633300</v>
      </c>
      <c r="D9" s="14">
        <f>SUM('[1]Sch 40 Migration (C)'!C14)</f>
        <v>3822900</v>
      </c>
      <c r="E9" s="14">
        <f>SUM('[1]Sch 40 Migration (C)'!D14)</f>
        <v>3436860</v>
      </c>
      <c r="F9" s="14">
        <f>SUM('[1]Sch 40 Migration (C)'!E14)</f>
        <v>3975840</v>
      </c>
      <c r="G9" s="14">
        <f>SUM('[1]Sch 40 Migration (C)'!F14)</f>
        <v>3499620</v>
      </c>
      <c r="H9" s="14">
        <f>SUM('[1]Sch 40 Migration (C)'!G14)</f>
        <v>3722975</v>
      </c>
      <c r="I9" s="14">
        <f>SUM('[1]Sch 40 Migration (C)'!H14)</f>
        <v>2550445</v>
      </c>
      <c r="J9" s="14">
        <f>SUM('[1]Sch 40 Migration (C)'!I14)</f>
        <v>5056860</v>
      </c>
      <c r="K9" s="14">
        <f>SUM('[1]Sch 40 Migration (C)'!J14)</f>
        <v>4361040</v>
      </c>
      <c r="L9" s="14">
        <f>SUM('[1]Sch 40 Migration (C)'!K14)</f>
        <v>4130460</v>
      </c>
      <c r="M9" s="14">
        <f>SUM('[1]Sch 40 Migration (C)'!L14)</f>
        <v>3677160</v>
      </c>
      <c r="N9" s="14">
        <f>SUM('[1]Sch 40 Migration (C)'!M14)</f>
        <v>3361260</v>
      </c>
      <c r="O9" s="14">
        <f>SUM('[1]Sch 40 Migration (C)'!N14)</f>
        <v>4037880</v>
      </c>
    </row>
    <row r="10" spans="1:29" x14ac:dyDescent="0.3">
      <c r="A10" s="72">
        <f t="shared" si="1"/>
        <v>5</v>
      </c>
      <c r="B10" s="5" t="s">
        <v>66</v>
      </c>
      <c r="C10" s="17">
        <f>SUM(C9:C9)</f>
        <v>45633300</v>
      </c>
      <c r="D10" s="17">
        <f>SUM(D9:D9)</f>
        <v>3822900</v>
      </c>
      <c r="E10" s="17">
        <f t="shared" ref="E10:O10" si="4">SUM(E9:E9)</f>
        <v>3436860</v>
      </c>
      <c r="F10" s="17">
        <f t="shared" si="4"/>
        <v>3975840</v>
      </c>
      <c r="G10" s="17">
        <f t="shared" si="4"/>
        <v>3499620</v>
      </c>
      <c r="H10" s="17">
        <f t="shared" si="4"/>
        <v>3722975</v>
      </c>
      <c r="I10" s="17">
        <f t="shared" si="4"/>
        <v>2550445</v>
      </c>
      <c r="J10" s="17">
        <f t="shared" si="4"/>
        <v>5056860</v>
      </c>
      <c r="K10" s="17">
        <f t="shared" si="4"/>
        <v>4361040</v>
      </c>
      <c r="L10" s="17">
        <f t="shared" si="4"/>
        <v>4130460</v>
      </c>
      <c r="M10" s="17">
        <f t="shared" si="4"/>
        <v>3677160</v>
      </c>
      <c r="N10" s="17">
        <f t="shared" si="4"/>
        <v>3361260</v>
      </c>
      <c r="O10" s="17">
        <f t="shared" si="4"/>
        <v>4037880</v>
      </c>
    </row>
    <row r="11" spans="1:29" x14ac:dyDescent="0.3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9" x14ac:dyDescent="0.3">
      <c r="A12" s="72">
        <f t="shared" si="1"/>
        <v>7</v>
      </c>
      <c r="B12" s="5" t="s">
        <v>81</v>
      </c>
      <c r="C12" s="17">
        <f t="shared" ref="C12" si="5">SUM(D12:O12)</f>
        <v>29570</v>
      </c>
      <c r="D12" s="14">
        <f>SUM('[1]Sch 40 Migration (C)'!C15)</f>
        <v>-4585</v>
      </c>
      <c r="E12" s="14">
        <f>SUM('[1]Sch 40 Migration (C)'!D15)</f>
        <v>6215</v>
      </c>
      <c r="F12" s="14">
        <f>SUM('[1]Sch 40 Migration (C)'!E15)</f>
        <v>7260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SUM('[1]Sch 40 Migration (C)'!L15)</f>
        <v>7304</v>
      </c>
      <c r="N12" s="14">
        <f>SUM('[1]Sch 40 Migration (C)'!M15)</f>
        <v>6123</v>
      </c>
      <c r="O12" s="14">
        <f>SUM('[1]Sch 40 Migration (C)'!N15)</f>
        <v>7253</v>
      </c>
    </row>
    <row r="13" spans="1:29" x14ac:dyDescent="0.3">
      <c r="A13" s="72">
        <f t="shared" si="1"/>
        <v>8</v>
      </c>
      <c r="B13" s="5" t="s">
        <v>67</v>
      </c>
      <c r="C13" s="17">
        <f t="shared" ref="C13" si="6">SUM(D13:O13)</f>
        <v>47231</v>
      </c>
      <c r="D13" s="14">
        <v>0</v>
      </c>
      <c r="E13" s="14">
        <v>0</v>
      </c>
      <c r="F13" s="14">
        <v>0</v>
      </c>
      <c r="G13" s="14">
        <f>SUM('[1]Sch 40 Migration (C)'!F15)</f>
        <v>6821</v>
      </c>
      <c r="H13" s="14">
        <f>SUM('[1]Sch 40 Migration (C)'!G15)</f>
        <v>7476</v>
      </c>
      <c r="I13" s="14">
        <f>SUM('[1]Sch 40 Migration (C)'!H15)</f>
        <v>5314</v>
      </c>
      <c r="J13" s="14">
        <f>SUM('[1]Sch 40 Migration (C)'!I15)</f>
        <v>10624</v>
      </c>
      <c r="K13" s="14">
        <f>SUM('[1]Sch 40 Migration (C)'!J15)</f>
        <v>8575</v>
      </c>
      <c r="L13" s="14">
        <f>SUM('[1]Sch 40 Migration (C)'!K15)</f>
        <v>8421</v>
      </c>
      <c r="M13" s="14">
        <v>0</v>
      </c>
      <c r="N13" s="14">
        <v>0</v>
      </c>
      <c r="O13" s="14">
        <v>0</v>
      </c>
    </row>
    <row r="14" spans="1:29" x14ac:dyDescent="0.3">
      <c r="A14" s="72">
        <f>+A12+1</f>
        <v>8</v>
      </c>
      <c r="B14" s="5" t="s">
        <v>45</v>
      </c>
      <c r="C14" s="17">
        <f t="shared" ref="C14:C16" si="7">SUM(D14:O14)</f>
        <v>76801</v>
      </c>
      <c r="D14" s="17">
        <f>SUM(D12:D13)</f>
        <v>-4585</v>
      </c>
      <c r="E14" s="17">
        <f t="shared" ref="E14:O14" si="8">SUM(E12:E13)</f>
        <v>6215</v>
      </c>
      <c r="F14" s="17">
        <f t="shared" si="8"/>
        <v>7260</v>
      </c>
      <c r="G14" s="17">
        <f t="shared" si="8"/>
        <v>6821</v>
      </c>
      <c r="H14" s="17">
        <f t="shared" si="8"/>
        <v>7476</v>
      </c>
      <c r="I14" s="17">
        <f t="shared" si="8"/>
        <v>5314</v>
      </c>
      <c r="J14" s="17">
        <f t="shared" si="8"/>
        <v>10624</v>
      </c>
      <c r="K14" s="17">
        <f t="shared" si="8"/>
        <v>8575</v>
      </c>
      <c r="L14" s="17">
        <f t="shared" si="8"/>
        <v>8421</v>
      </c>
      <c r="M14" s="17">
        <f t="shared" si="8"/>
        <v>7304</v>
      </c>
      <c r="N14" s="17">
        <f t="shared" si="8"/>
        <v>6123</v>
      </c>
      <c r="O14" s="17">
        <f t="shared" si="8"/>
        <v>7253</v>
      </c>
    </row>
    <row r="15" spans="1:29" x14ac:dyDescent="0.3">
      <c r="A15" s="72">
        <f t="shared" si="1"/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9" x14ac:dyDescent="0.3">
      <c r="A16" s="72">
        <f t="shared" si="1"/>
        <v>10</v>
      </c>
      <c r="B16" s="5" t="s">
        <v>46</v>
      </c>
      <c r="C16" s="17">
        <f t="shared" si="7"/>
        <v>16578770</v>
      </c>
      <c r="D16" s="14">
        <f>SUM('[1]Sch 40 Migration (C)'!C16)</f>
        <v>1110101</v>
      </c>
      <c r="E16" s="14">
        <f>SUM('[1]Sch 40 Migration (C)'!D16)</f>
        <v>1025449</v>
      </c>
      <c r="F16" s="14">
        <f>SUM('[1]Sch 40 Migration (C)'!E16)</f>
        <v>1245596</v>
      </c>
      <c r="G16" s="14">
        <f>SUM('[1]Sch 40 Migration (C)'!F16)</f>
        <v>1148349</v>
      </c>
      <c r="H16" s="14">
        <f>SUM('[1]Sch 40 Migration (C)'!G16)</f>
        <v>1307370</v>
      </c>
      <c r="I16" s="14">
        <f>SUM('[1]Sch 40 Migration (C)'!H16)</f>
        <v>1134714</v>
      </c>
      <c r="J16" s="14">
        <f>SUM('[1]Sch 40 Migration (C)'!I16)</f>
        <v>1947459</v>
      </c>
      <c r="K16" s="14">
        <f>SUM('[1]Sch 40 Migration (C)'!J16)</f>
        <v>1943526</v>
      </c>
      <c r="L16" s="14">
        <f>SUM('[1]Sch 40 Migration (C)'!K16)</f>
        <v>1775706</v>
      </c>
      <c r="M16" s="14">
        <f>SUM('[1]Sch 40 Migration (C)'!L16)</f>
        <v>1458793</v>
      </c>
      <c r="N16" s="14">
        <f>SUM('[1]Sch 40 Migration (C)'!M16)</f>
        <v>1141611</v>
      </c>
      <c r="O16" s="14">
        <f>SUM('[1]Sch 40 Migration (C)'!N16)</f>
        <v>1340096</v>
      </c>
    </row>
    <row r="17" spans="1:17" x14ac:dyDescent="0.3">
      <c r="A17" s="72">
        <f t="shared" si="1"/>
        <v>11</v>
      </c>
      <c r="B17" s="5" t="s">
        <v>47</v>
      </c>
      <c r="C17" s="17">
        <f>SUM(C16:C16)</f>
        <v>16578770</v>
      </c>
      <c r="D17" s="17">
        <f>SUM(D16:D16)</f>
        <v>1110101</v>
      </c>
      <c r="E17" s="17">
        <f t="shared" ref="E17:O17" si="9">SUM(E16:E16)</f>
        <v>1025449</v>
      </c>
      <c r="F17" s="17">
        <f t="shared" si="9"/>
        <v>1245596</v>
      </c>
      <c r="G17" s="17">
        <f t="shared" si="9"/>
        <v>1148349</v>
      </c>
      <c r="H17" s="17">
        <f t="shared" si="9"/>
        <v>1307370</v>
      </c>
      <c r="I17" s="17">
        <f t="shared" si="9"/>
        <v>1134714</v>
      </c>
      <c r="J17" s="17">
        <f t="shared" si="9"/>
        <v>1947459</v>
      </c>
      <c r="K17" s="17">
        <f t="shared" si="9"/>
        <v>1943526</v>
      </c>
      <c r="L17" s="17">
        <f t="shared" si="9"/>
        <v>1775706</v>
      </c>
      <c r="M17" s="17">
        <f t="shared" si="9"/>
        <v>1458793</v>
      </c>
      <c r="N17" s="17">
        <f t="shared" si="9"/>
        <v>1141611</v>
      </c>
      <c r="O17" s="17">
        <f t="shared" si="9"/>
        <v>1340096</v>
      </c>
    </row>
    <row r="18" spans="1:17" x14ac:dyDescent="0.3">
      <c r="A18" s="72">
        <f t="shared" si="1"/>
        <v>12</v>
      </c>
      <c r="C18" s="17"/>
      <c r="D18" s="7"/>
    </row>
    <row r="19" spans="1:17" x14ac:dyDescent="0.3">
      <c r="A19" s="72">
        <f t="shared" si="1"/>
        <v>13</v>
      </c>
      <c r="B19" s="8" t="s">
        <v>48</v>
      </c>
      <c r="C19" s="21"/>
      <c r="D19" s="9">
        <v>105.74</v>
      </c>
      <c r="E19" s="10">
        <f t="shared" ref="E19:E23" si="10">+D19</f>
        <v>105.74</v>
      </c>
      <c r="F19" s="10">
        <f t="shared" ref="F19:O23" si="11">+E19</f>
        <v>105.74</v>
      </c>
      <c r="G19" s="10">
        <f t="shared" si="11"/>
        <v>105.74</v>
      </c>
      <c r="H19" s="10">
        <f t="shared" si="11"/>
        <v>105.74</v>
      </c>
      <c r="I19" s="10">
        <f t="shared" si="11"/>
        <v>105.74</v>
      </c>
      <c r="J19" s="10">
        <f t="shared" si="11"/>
        <v>105.74</v>
      </c>
      <c r="K19" s="10">
        <f t="shared" si="11"/>
        <v>105.74</v>
      </c>
      <c r="L19" s="10">
        <f t="shared" si="11"/>
        <v>105.74</v>
      </c>
      <c r="M19" s="10">
        <f t="shared" si="11"/>
        <v>105.74</v>
      </c>
      <c r="N19" s="10">
        <f t="shared" si="11"/>
        <v>105.74</v>
      </c>
      <c r="O19" s="10">
        <f t="shared" si="11"/>
        <v>105.74</v>
      </c>
    </row>
    <row r="20" spans="1:17" x14ac:dyDescent="0.3">
      <c r="A20" s="72">
        <f t="shared" si="1"/>
        <v>14</v>
      </c>
      <c r="B20" s="8" t="s">
        <v>68</v>
      </c>
      <c r="C20" s="21"/>
      <c r="D20" s="9">
        <v>5.7180999999999996E-2</v>
      </c>
      <c r="E20" s="10">
        <f t="shared" si="10"/>
        <v>5.7180999999999996E-2</v>
      </c>
      <c r="F20" s="10">
        <f t="shared" si="11"/>
        <v>5.7180999999999996E-2</v>
      </c>
      <c r="G20" s="10">
        <f t="shared" si="11"/>
        <v>5.7180999999999996E-2</v>
      </c>
      <c r="H20" s="10">
        <f t="shared" si="11"/>
        <v>5.7180999999999996E-2</v>
      </c>
      <c r="I20" s="10">
        <f t="shared" si="11"/>
        <v>5.7180999999999996E-2</v>
      </c>
      <c r="J20" s="10">
        <f t="shared" si="11"/>
        <v>5.7180999999999996E-2</v>
      </c>
      <c r="K20" s="10">
        <f t="shared" si="11"/>
        <v>5.7180999999999996E-2</v>
      </c>
      <c r="L20" s="10">
        <f t="shared" si="11"/>
        <v>5.7180999999999996E-2</v>
      </c>
      <c r="M20" s="10">
        <f t="shared" si="11"/>
        <v>5.7180999999999996E-2</v>
      </c>
      <c r="N20" s="10">
        <f t="shared" si="11"/>
        <v>5.7180999999999996E-2</v>
      </c>
      <c r="O20" s="10">
        <f t="shared" si="11"/>
        <v>5.7180999999999996E-2</v>
      </c>
    </row>
    <row r="21" spans="1:17" x14ac:dyDescent="0.3">
      <c r="A21" s="72">
        <f t="shared" si="1"/>
        <v>15</v>
      </c>
      <c r="B21" s="8" t="s">
        <v>80</v>
      </c>
      <c r="C21" s="21"/>
      <c r="D21" s="9">
        <v>11.91</v>
      </c>
      <c r="E21" s="10">
        <f t="shared" ref="E21" si="12">+D21</f>
        <v>11.91</v>
      </c>
      <c r="F21" s="10">
        <f t="shared" ref="F21" si="13">+E21</f>
        <v>11.91</v>
      </c>
      <c r="G21" s="10">
        <f t="shared" ref="G21" si="14">+F21</f>
        <v>11.91</v>
      </c>
      <c r="H21" s="10">
        <f t="shared" ref="H21" si="15">+G21</f>
        <v>11.91</v>
      </c>
      <c r="I21" s="10">
        <f t="shared" ref="I21" si="16">+H21</f>
        <v>11.91</v>
      </c>
      <c r="J21" s="10">
        <f t="shared" ref="J21" si="17">+I21</f>
        <v>11.91</v>
      </c>
      <c r="K21" s="10">
        <f t="shared" ref="K21" si="18">+J21</f>
        <v>11.91</v>
      </c>
      <c r="L21" s="10">
        <f t="shared" ref="L21" si="19">+K21</f>
        <v>11.91</v>
      </c>
      <c r="M21" s="10">
        <f t="shared" ref="M21" si="20">+L21</f>
        <v>11.91</v>
      </c>
      <c r="N21" s="10">
        <f t="shared" ref="N21" si="21">+M21</f>
        <v>11.91</v>
      </c>
      <c r="O21" s="10">
        <f t="shared" ref="O21" si="22">+N21</f>
        <v>11.91</v>
      </c>
    </row>
    <row r="22" spans="1:17" x14ac:dyDescent="0.3">
      <c r="A22" s="72">
        <f t="shared" si="1"/>
        <v>16</v>
      </c>
      <c r="B22" s="8" t="s">
        <v>69</v>
      </c>
      <c r="C22" s="21"/>
      <c r="D22" s="9">
        <v>7.94</v>
      </c>
      <c r="E22" s="10">
        <f t="shared" si="10"/>
        <v>7.94</v>
      </c>
      <c r="F22" s="10">
        <f t="shared" si="11"/>
        <v>7.94</v>
      </c>
      <c r="G22" s="10">
        <f t="shared" si="11"/>
        <v>7.94</v>
      </c>
      <c r="H22" s="10">
        <f t="shared" si="11"/>
        <v>7.94</v>
      </c>
      <c r="I22" s="10">
        <f t="shared" si="11"/>
        <v>7.94</v>
      </c>
      <c r="J22" s="10">
        <f t="shared" si="11"/>
        <v>7.94</v>
      </c>
      <c r="K22" s="10">
        <f t="shared" si="11"/>
        <v>7.94</v>
      </c>
      <c r="L22" s="10">
        <f t="shared" si="11"/>
        <v>7.94</v>
      </c>
      <c r="M22" s="10">
        <f t="shared" si="11"/>
        <v>7.94</v>
      </c>
      <c r="N22" s="10">
        <f t="shared" si="11"/>
        <v>7.94</v>
      </c>
      <c r="O22" s="10">
        <f t="shared" si="11"/>
        <v>7.94</v>
      </c>
    </row>
    <row r="23" spans="1:17" x14ac:dyDescent="0.3">
      <c r="A23" s="72">
        <f t="shared" si="1"/>
        <v>17</v>
      </c>
      <c r="B23" s="8" t="s">
        <v>52</v>
      </c>
      <c r="C23" s="21"/>
      <c r="D23" s="9">
        <v>1.2600000000000001E-3</v>
      </c>
      <c r="E23" s="10">
        <f t="shared" si="10"/>
        <v>1.2600000000000001E-3</v>
      </c>
      <c r="F23" s="10">
        <f t="shared" si="11"/>
        <v>1.2600000000000001E-3</v>
      </c>
      <c r="G23" s="10">
        <f t="shared" si="11"/>
        <v>1.2600000000000001E-3</v>
      </c>
      <c r="H23" s="10">
        <f t="shared" si="11"/>
        <v>1.2600000000000001E-3</v>
      </c>
      <c r="I23" s="10">
        <f t="shared" si="11"/>
        <v>1.2600000000000001E-3</v>
      </c>
      <c r="J23" s="10">
        <f t="shared" si="11"/>
        <v>1.2600000000000001E-3</v>
      </c>
      <c r="K23" s="10">
        <f t="shared" si="11"/>
        <v>1.2600000000000001E-3</v>
      </c>
      <c r="L23" s="10">
        <f t="shared" si="11"/>
        <v>1.2600000000000001E-3</v>
      </c>
      <c r="M23" s="10">
        <f t="shared" si="11"/>
        <v>1.2600000000000001E-3</v>
      </c>
      <c r="N23" s="10">
        <f t="shared" si="11"/>
        <v>1.2600000000000001E-3</v>
      </c>
      <c r="O23" s="10">
        <f t="shared" si="11"/>
        <v>1.2600000000000001E-3</v>
      </c>
    </row>
    <row r="24" spans="1:17" x14ac:dyDescent="0.3">
      <c r="A24" s="72">
        <f t="shared" si="1"/>
        <v>18</v>
      </c>
      <c r="C24" s="21"/>
    </row>
    <row r="25" spans="1:17" x14ac:dyDescent="0.3">
      <c r="A25" s="72">
        <f t="shared" si="1"/>
        <v>19</v>
      </c>
      <c r="B25" s="1" t="s">
        <v>17</v>
      </c>
      <c r="C25" s="21"/>
    </row>
    <row r="26" spans="1:17" x14ac:dyDescent="0.3">
      <c r="A26" s="72">
        <f t="shared" si="1"/>
        <v>20</v>
      </c>
      <c r="B26" s="8" t="s">
        <v>70</v>
      </c>
      <c r="C26" s="23">
        <f>SUM(D26:O26)</f>
        <v>13956</v>
      </c>
      <c r="D26" s="11">
        <f>ROUND(D6*D19,0)</f>
        <v>1163</v>
      </c>
      <c r="E26" s="11">
        <f t="shared" ref="E26:O26" si="23">ROUND(E6*E19,0)</f>
        <v>1057</v>
      </c>
      <c r="F26" s="11">
        <f t="shared" si="23"/>
        <v>1269</v>
      </c>
      <c r="G26" s="11">
        <f t="shared" si="23"/>
        <v>1163</v>
      </c>
      <c r="H26" s="11">
        <f t="shared" si="23"/>
        <v>1163</v>
      </c>
      <c r="I26" s="11">
        <f t="shared" si="23"/>
        <v>846</v>
      </c>
      <c r="J26" s="11">
        <f t="shared" si="23"/>
        <v>1480</v>
      </c>
      <c r="K26" s="11">
        <f t="shared" si="23"/>
        <v>1163</v>
      </c>
      <c r="L26" s="11">
        <f t="shared" si="23"/>
        <v>1163</v>
      </c>
      <c r="M26" s="11">
        <f t="shared" si="23"/>
        <v>1163</v>
      </c>
      <c r="N26" s="11">
        <f t="shared" si="23"/>
        <v>1057</v>
      </c>
      <c r="O26" s="11">
        <f t="shared" si="23"/>
        <v>1269</v>
      </c>
      <c r="Q26" s="15"/>
    </row>
    <row r="27" spans="1:17" x14ac:dyDescent="0.3">
      <c r="A27" s="4">
        <f t="shared" si="1"/>
        <v>21</v>
      </c>
      <c r="B27" s="8" t="s">
        <v>71</v>
      </c>
      <c r="C27" s="23">
        <f t="shared" ref="C27:C30" si="24">SUM(D27:O27)</f>
        <v>2609358</v>
      </c>
      <c r="D27" s="11">
        <f>ROUND(+D9*D20,0)</f>
        <v>218597</v>
      </c>
      <c r="E27" s="11">
        <f t="shared" ref="E27:O27" si="25">ROUND(+E9*E20,0)</f>
        <v>196523</v>
      </c>
      <c r="F27" s="11">
        <f t="shared" si="25"/>
        <v>227343</v>
      </c>
      <c r="G27" s="11">
        <f t="shared" si="25"/>
        <v>200112</v>
      </c>
      <c r="H27" s="11">
        <f t="shared" si="25"/>
        <v>212883</v>
      </c>
      <c r="I27" s="11">
        <f t="shared" si="25"/>
        <v>145837</v>
      </c>
      <c r="J27" s="11">
        <f t="shared" si="25"/>
        <v>289156</v>
      </c>
      <c r="K27" s="11">
        <f t="shared" si="25"/>
        <v>249369</v>
      </c>
      <c r="L27" s="11">
        <f t="shared" si="25"/>
        <v>236184</v>
      </c>
      <c r="M27" s="11">
        <f t="shared" si="25"/>
        <v>210264</v>
      </c>
      <c r="N27" s="11">
        <f t="shared" si="25"/>
        <v>192200</v>
      </c>
      <c r="O27" s="11">
        <f t="shared" si="25"/>
        <v>230890</v>
      </c>
    </row>
    <row r="28" spans="1:17" x14ac:dyDescent="0.3">
      <c r="A28" s="4">
        <f t="shared" si="1"/>
        <v>22</v>
      </c>
      <c r="B28" s="8" t="s">
        <v>72</v>
      </c>
      <c r="C28" s="23">
        <f t="shared" si="24"/>
        <v>352180</v>
      </c>
      <c r="D28" s="11">
        <f>ROUND(D12*D21,0)</f>
        <v>-54607</v>
      </c>
      <c r="E28" s="11">
        <f t="shared" ref="E28:O28" si="26">ROUND(E12*E21,0)</f>
        <v>74021</v>
      </c>
      <c r="F28" s="11">
        <f t="shared" si="26"/>
        <v>86467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86991</v>
      </c>
      <c r="N28" s="11">
        <f t="shared" si="26"/>
        <v>72925</v>
      </c>
      <c r="O28" s="11">
        <f t="shared" si="26"/>
        <v>86383</v>
      </c>
    </row>
    <row r="29" spans="1:17" x14ac:dyDescent="0.3">
      <c r="A29" s="4">
        <f t="shared" si="1"/>
        <v>23</v>
      </c>
      <c r="B29" s="8" t="s">
        <v>73</v>
      </c>
      <c r="C29" s="23">
        <f t="shared" si="24"/>
        <v>375015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54159</v>
      </c>
      <c r="H29" s="11">
        <f t="shared" si="27"/>
        <v>59359</v>
      </c>
      <c r="I29" s="11">
        <f t="shared" si="27"/>
        <v>42193</v>
      </c>
      <c r="J29" s="11">
        <f t="shared" si="27"/>
        <v>84355</v>
      </c>
      <c r="K29" s="11">
        <f t="shared" si="27"/>
        <v>68086</v>
      </c>
      <c r="L29" s="11">
        <f t="shared" si="27"/>
        <v>66863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7" x14ac:dyDescent="0.3">
      <c r="A30" s="4">
        <f t="shared" si="1"/>
        <v>24</v>
      </c>
      <c r="B30" s="8" t="s">
        <v>59</v>
      </c>
      <c r="C30" s="23">
        <f t="shared" si="24"/>
        <v>20889</v>
      </c>
      <c r="D30" s="11">
        <f>ROUND(D16*D23,0)</f>
        <v>1399</v>
      </c>
      <c r="E30" s="11">
        <f t="shared" ref="E30:O30" si="28">ROUND(E16*E23,0)</f>
        <v>1292</v>
      </c>
      <c r="F30" s="11">
        <f t="shared" si="28"/>
        <v>1569</v>
      </c>
      <c r="G30" s="11">
        <f t="shared" si="28"/>
        <v>1447</v>
      </c>
      <c r="H30" s="11">
        <f t="shared" si="28"/>
        <v>1647</v>
      </c>
      <c r="I30" s="11">
        <f t="shared" si="28"/>
        <v>1430</v>
      </c>
      <c r="J30" s="11">
        <f t="shared" si="28"/>
        <v>2454</v>
      </c>
      <c r="K30" s="11">
        <f t="shared" si="28"/>
        <v>2449</v>
      </c>
      <c r="L30" s="11">
        <f t="shared" si="28"/>
        <v>2237</v>
      </c>
      <c r="M30" s="11">
        <f t="shared" si="28"/>
        <v>1838</v>
      </c>
      <c r="N30" s="11">
        <f t="shared" si="28"/>
        <v>1438</v>
      </c>
      <c r="O30" s="11">
        <f t="shared" si="28"/>
        <v>1689</v>
      </c>
    </row>
    <row r="31" spans="1:17" x14ac:dyDescent="0.3">
      <c r="A31" s="4">
        <f t="shared" si="1"/>
        <v>25</v>
      </c>
      <c r="B31" s="5" t="s">
        <v>74</v>
      </c>
      <c r="C31" s="23">
        <f>SUM(C26:C30)</f>
        <v>3371398</v>
      </c>
      <c r="D31" s="11">
        <f>SUM(D26:D30)</f>
        <v>166552</v>
      </c>
      <c r="E31" s="11">
        <f t="shared" ref="E31:O31" si="29">SUM(E26:E30)</f>
        <v>272893</v>
      </c>
      <c r="F31" s="11">
        <f t="shared" si="29"/>
        <v>316648</v>
      </c>
      <c r="G31" s="11">
        <f t="shared" si="29"/>
        <v>256881</v>
      </c>
      <c r="H31" s="11">
        <f t="shared" si="29"/>
        <v>275052</v>
      </c>
      <c r="I31" s="11">
        <f t="shared" si="29"/>
        <v>190306</v>
      </c>
      <c r="J31" s="11">
        <f t="shared" si="29"/>
        <v>377445</v>
      </c>
      <c r="K31" s="11">
        <f t="shared" si="29"/>
        <v>321067</v>
      </c>
      <c r="L31" s="11">
        <f t="shared" si="29"/>
        <v>306447</v>
      </c>
      <c r="M31" s="11">
        <f t="shared" si="29"/>
        <v>300256</v>
      </c>
      <c r="N31" s="11">
        <f t="shared" si="29"/>
        <v>267620</v>
      </c>
      <c r="O31" s="11">
        <f t="shared" si="29"/>
        <v>320231</v>
      </c>
    </row>
    <row r="32" spans="1:17" x14ac:dyDescent="0.3">
      <c r="A32" s="4">
        <f t="shared" si="1"/>
        <v>26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4">
        <f t="shared" si="1"/>
        <v>27</v>
      </c>
      <c r="B33" s="12" t="s">
        <v>20</v>
      </c>
      <c r="C33" s="6">
        <f>SUM(D33:O33)</f>
        <v>-1431978</v>
      </c>
      <c r="D33" s="7">
        <f>+'Sch 40 Campus Svc'!D58</f>
        <v>-221233</v>
      </c>
      <c r="E33" s="14">
        <f>+'Sch 40 Campus Svc'!E58</f>
        <v>-310051</v>
      </c>
      <c r="F33" s="14">
        <f>+'Sch 40 Campus Svc'!F58</f>
        <v>-339046</v>
      </c>
      <c r="G33" s="14">
        <f>+'Sch 40 Campus Svc'!G58</f>
        <v>183153</v>
      </c>
      <c r="H33" s="14">
        <f>+'Sch 40 Campus Svc'!H58</f>
        <v>-70130</v>
      </c>
      <c r="I33" s="14">
        <f>+'Sch 40 Campus Svc'!I58</f>
        <v>119874</v>
      </c>
      <c r="J33" s="14">
        <f>+'Sch 40 Campus Svc'!J58</f>
        <v>-48352</v>
      </c>
      <c r="K33" s="14">
        <f>+'Sch 40 Campus Svc'!K58</f>
        <v>-438563</v>
      </c>
      <c r="L33" s="14">
        <f>+'Sch 40 Campus Svc'!L58</f>
        <v>-207334</v>
      </c>
      <c r="M33" s="14">
        <f>+'Sch 40 Campus Svc'!M58</f>
        <v>611020</v>
      </c>
      <c r="N33" s="14">
        <f>+'Sch 40 Campus Svc'!N58</f>
        <v>-755630</v>
      </c>
      <c r="O33" s="14">
        <f>+'Sch 40 Campus Svc'!O58</f>
        <v>44314</v>
      </c>
    </row>
    <row r="34" spans="1:15" x14ac:dyDescent="0.3">
      <c r="A34" s="4">
        <f t="shared" si="1"/>
        <v>28</v>
      </c>
      <c r="B34" s="12" t="s">
        <v>21</v>
      </c>
      <c r="D34" s="10">
        <f t="shared" ref="D34:O34" si="30">+D31/D10</f>
        <v>4.3566925632373327E-2</v>
      </c>
      <c r="E34" s="10">
        <f t="shared" si="30"/>
        <v>7.9401837723968971E-2</v>
      </c>
      <c r="F34" s="10">
        <f t="shared" si="30"/>
        <v>7.964304398567347E-2</v>
      </c>
      <c r="G34" s="10">
        <f t="shared" si="30"/>
        <v>7.3402540847291989E-2</v>
      </c>
      <c r="H34" s="10">
        <f t="shared" si="30"/>
        <v>7.3879625836864332E-2</v>
      </c>
      <c r="I34" s="10">
        <f t="shared" si="30"/>
        <v>7.4616782561474568E-2</v>
      </c>
      <c r="J34" s="10">
        <f t="shared" si="30"/>
        <v>7.4640191739537981E-2</v>
      </c>
      <c r="K34" s="10">
        <f t="shared" si="30"/>
        <v>7.3621659053803676E-2</v>
      </c>
      <c r="L34" s="10">
        <f t="shared" si="30"/>
        <v>7.4191978617393711E-2</v>
      </c>
      <c r="M34" s="10">
        <f t="shared" si="30"/>
        <v>8.16543201818795E-2</v>
      </c>
      <c r="N34" s="10">
        <f t="shared" si="30"/>
        <v>7.9618952416653274E-2</v>
      </c>
      <c r="O34" s="10">
        <f t="shared" si="30"/>
        <v>7.9306715405113568E-2</v>
      </c>
    </row>
    <row r="35" spans="1:15" x14ac:dyDescent="0.3">
      <c r="A35" s="4">
        <f t="shared" si="1"/>
        <v>29</v>
      </c>
      <c r="B35" s="12" t="s">
        <v>22</v>
      </c>
      <c r="C35" s="11">
        <f>SUM(D35:O35)</f>
        <v>-102088</v>
      </c>
      <c r="D35" s="11">
        <f>ROUND(+D33*D34,0)</f>
        <v>-9638</v>
      </c>
      <c r="E35" s="11">
        <f t="shared" ref="E35:O35" si="31">ROUND(+E33*E34,0)</f>
        <v>-24619</v>
      </c>
      <c r="F35" s="11">
        <f t="shared" si="31"/>
        <v>-27003</v>
      </c>
      <c r="G35" s="11">
        <f t="shared" si="31"/>
        <v>13444</v>
      </c>
      <c r="H35" s="11">
        <f t="shared" si="31"/>
        <v>-5181</v>
      </c>
      <c r="I35" s="11">
        <f t="shared" si="31"/>
        <v>8945</v>
      </c>
      <c r="J35" s="11">
        <f t="shared" si="31"/>
        <v>-3609</v>
      </c>
      <c r="K35" s="11">
        <f t="shared" si="31"/>
        <v>-32288</v>
      </c>
      <c r="L35" s="11">
        <f t="shared" si="31"/>
        <v>-15383</v>
      </c>
      <c r="M35" s="11">
        <f t="shared" si="31"/>
        <v>49892</v>
      </c>
      <c r="N35" s="11">
        <f t="shared" si="31"/>
        <v>-60162</v>
      </c>
      <c r="O35" s="11">
        <f t="shared" si="31"/>
        <v>3514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7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90" zoomScaleNormal="90" workbookViewId="0">
      <pane xSplit="4" ySplit="5" topLeftCell="F27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4.4" x14ac:dyDescent="0.3"/>
  <cols>
    <col min="1" max="1" width="13.6640625" customWidth="1"/>
    <col min="2" max="2" width="42.5546875" bestFit="1" customWidth="1"/>
    <col min="3" max="3" width="15" bestFit="1" customWidth="1"/>
    <col min="4" max="15" width="13.88671875" bestFit="1" customWidth="1"/>
    <col min="16" max="16" width="15" customWidth="1"/>
    <col min="17" max="17" width="13.88671875" bestFit="1" customWidth="1"/>
    <col min="18" max="18" width="11.6640625" bestFit="1" customWidth="1"/>
    <col min="19" max="19" width="5.21875" customWidth="1"/>
    <col min="20" max="20" width="6.109375" bestFit="1" customWidth="1"/>
    <col min="21" max="21" width="4.44140625" bestFit="1" customWidth="1"/>
    <col min="22" max="22" width="20.5546875" bestFit="1" customWidth="1"/>
    <col min="23" max="23" width="9.33203125" bestFit="1" customWidth="1"/>
    <col min="24" max="24" width="5" bestFit="1" customWidth="1"/>
    <col min="25" max="28" width="7.88671875" bestFit="1" customWidth="1"/>
  </cols>
  <sheetData>
    <row r="1" spans="1:28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3">
      <c r="A2" s="98" t="s">
        <v>151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3">
      <c r="A6" s="24">
        <v>1</v>
      </c>
      <c r="B6" s="5" t="s">
        <v>41</v>
      </c>
      <c r="C6" s="17">
        <f t="shared" ref="C6" si="0">SUM(D6:O6)</f>
        <v>60</v>
      </c>
      <c r="D6" s="7">
        <f>+'[1]Sch 40 Migration (C)'!C17</f>
        <v>5</v>
      </c>
      <c r="E6" s="14">
        <f>+'[1]Sch 40 Migration (C)'!D17</f>
        <v>6</v>
      </c>
      <c r="F6" s="14">
        <f>+'[1]Sch 40 Migration (C)'!E17</f>
        <v>4</v>
      </c>
      <c r="G6" s="14">
        <f>+'[1]Sch 40 Migration (C)'!F17</f>
        <v>5</v>
      </c>
      <c r="H6" s="14">
        <f>+'[1]Sch 40 Migration (C)'!G17</f>
        <v>5</v>
      </c>
      <c r="I6" s="14">
        <f>+'[1]Sch 40 Migration (C)'!H17</f>
        <v>3</v>
      </c>
      <c r="J6" s="14">
        <f>+'[1]Sch 40 Migration (C)'!I17</f>
        <v>7</v>
      </c>
      <c r="K6" s="14">
        <f>+'[1]Sch 40 Migration (C)'!J17</f>
        <v>5</v>
      </c>
      <c r="L6" s="14">
        <f>+'[1]Sch 40 Migration (C)'!K17</f>
        <v>4</v>
      </c>
      <c r="M6" s="14">
        <f>+'[1]Sch 40 Migration (C)'!L17</f>
        <v>7</v>
      </c>
      <c r="N6" s="14">
        <f>+'[1]Sch 40 Migration (C)'!M17</f>
        <v>4</v>
      </c>
      <c r="O6" s="14">
        <f>+'[1]Sch 40 Migration (C)'!N17</f>
        <v>5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3">
      <c r="A7" s="24">
        <f t="shared" ref="A7:A35" si="1">+A6+1</f>
        <v>2</v>
      </c>
      <c r="B7" t="s">
        <v>15</v>
      </c>
      <c r="C7" s="17">
        <f>SUM(C6:C6)</f>
        <v>60</v>
      </c>
      <c r="D7" s="17">
        <f>SUM(D6:D6)</f>
        <v>5</v>
      </c>
      <c r="E7" s="17">
        <f t="shared" ref="E7:O7" si="2">SUM(E6:E6)</f>
        <v>6</v>
      </c>
      <c r="F7" s="17">
        <f t="shared" si="2"/>
        <v>4</v>
      </c>
      <c r="G7" s="17">
        <f t="shared" si="2"/>
        <v>5</v>
      </c>
      <c r="H7" s="17">
        <f t="shared" si="2"/>
        <v>5</v>
      </c>
      <c r="I7" s="17">
        <f t="shared" si="2"/>
        <v>3</v>
      </c>
      <c r="J7" s="17">
        <f t="shared" si="2"/>
        <v>7</v>
      </c>
      <c r="K7" s="17">
        <f t="shared" si="2"/>
        <v>5</v>
      </c>
      <c r="L7" s="17">
        <f t="shared" si="2"/>
        <v>4</v>
      </c>
      <c r="M7" s="17">
        <f t="shared" si="2"/>
        <v>7</v>
      </c>
      <c r="N7" s="17">
        <f t="shared" si="2"/>
        <v>4</v>
      </c>
      <c r="O7" s="17">
        <f t="shared" si="2"/>
        <v>5</v>
      </c>
    </row>
    <row r="8" spans="1:28" x14ac:dyDescent="0.3">
      <c r="A8" s="72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3">
      <c r="A9" s="72">
        <f t="shared" si="1"/>
        <v>4</v>
      </c>
      <c r="B9" s="5" t="s">
        <v>65</v>
      </c>
      <c r="C9" s="17">
        <f t="shared" ref="C9" si="3">SUM(D9:O9)</f>
        <v>113613600</v>
      </c>
      <c r="D9" s="14">
        <f>+'[1]Sch 40 Migration (C)'!C18</f>
        <v>9168000</v>
      </c>
      <c r="E9" s="14">
        <f>+'[1]Sch 40 Migration (C)'!D18</f>
        <v>11556000</v>
      </c>
      <c r="F9" s="14">
        <f>+'[1]Sch 40 Migration (C)'!E18</f>
        <v>7070400</v>
      </c>
      <c r="G9" s="14">
        <f>+'[1]Sch 40 Migration (C)'!F18</f>
        <v>8762400</v>
      </c>
      <c r="H9" s="14">
        <f>+'[1]Sch 40 Migration (C)'!G18</f>
        <v>9108000</v>
      </c>
      <c r="I9" s="14">
        <f>+'[1]Sch 40 Migration (C)'!H18</f>
        <v>5971200</v>
      </c>
      <c r="J9" s="14">
        <f>+'[1]Sch 40 Migration (C)'!I18</f>
        <v>13627200</v>
      </c>
      <c r="K9" s="14">
        <f>+'[1]Sch 40 Migration (C)'!J18</f>
        <v>10075200</v>
      </c>
      <c r="L9" s="14">
        <f>+'[1]Sch 40 Migration (C)'!K18</f>
        <v>8582400</v>
      </c>
      <c r="M9" s="14">
        <f>+'[1]Sch 40 Migration (C)'!L18</f>
        <v>13231200</v>
      </c>
      <c r="N9" s="14">
        <f>+'[1]Sch 40 Migration (C)'!M18</f>
        <v>7255200</v>
      </c>
      <c r="O9" s="14">
        <f>+'[1]Sch 40 Migration (C)'!N18</f>
        <v>9206400</v>
      </c>
    </row>
    <row r="10" spans="1:28" x14ac:dyDescent="0.3">
      <c r="A10" s="72">
        <f t="shared" si="1"/>
        <v>5</v>
      </c>
      <c r="B10" s="5" t="s">
        <v>82</v>
      </c>
      <c r="C10" s="17">
        <f>SUM(C9:C9)</f>
        <v>113613600</v>
      </c>
      <c r="D10" s="17">
        <f>SUM(D9:D9)</f>
        <v>9168000</v>
      </c>
      <c r="E10" s="17">
        <f t="shared" ref="E10:O10" si="4">SUM(E9:E9)</f>
        <v>11556000</v>
      </c>
      <c r="F10" s="17">
        <f t="shared" si="4"/>
        <v>7070400</v>
      </c>
      <c r="G10" s="17">
        <f t="shared" si="4"/>
        <v>8762400</v>
      </c>
      <c r="H10" s="17">
        <f t="shared" si="4"/>
        <v>9108000</v>
      </c>
      <c r="I10" s="17">
        <f t="shared" si="4"/>
        <v>5971200</v>
      </c>
      <c r="J10" s="17">
        <f t="shared" si="4"/>
        <v>13627200</v>
      </c>
      <c r="K10" s="17">
        <f t="shared" si="4"/>
        <v>10075200</v>
      </c>
      <c r="L10" s="17">
        <f t="shared" si="4"/>
        <v>8582400</v>
      </c>
      <c r="M10" s="17">
        <f t="shared" si="4"/>
        <v>13231200</v>
      </c>
      <c r="N10" s="17">
        <f t="shared" si="4"/>
        <v>7255200</v>
      </c>
      <c r="O10" s="17">
        <f t="shared" si="4"/>
        <v>9206400</v>
      </c>
    </row>
    <row r="11" spans="1:28" x14ac:dyDescent="0.3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8" x14ac:dyDescent="0.3">
      <c r="A12" s="72">
        <f t="shared" si="1"/>
        <v>7</v>
      </c>
      <c r="B12" s="5" t="s">
        <v>85</v>
      </c>
      <c r="C12" s="17">
        <f t="shared" ref="C12" si="5">SUM(D12:O12)</f>
        <v>108665</v>
      </c>
      <c r="D12" s="14">
        <f>+'[1]Sch 40 Migration (C)'!C19</f>
        <v>17078</v>
      </c>
      <c r="E12" s="14">
        <f>+'[1]Sch 40 Migration (C)'!D19</f>
        <v>20670</v>
      </c>
      <c r="F12" s="14">
        <f>+'[1]Sch 40 Migration (C)'!E19</f>
        <v>13212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+'[1]Sch 40 Migration (C)'!L19</f>
        <v>25783</v>
      </c>
      <c r="N12" s="14">
        <f>+'[1]Sch 40 Migration (C)'!M19</f>
        <v>13949</v>
      </c>
      <c r="O12" s="14">
        <f>+'[1]Sch 40 Migration (C)'!N19</f>
        <v>17973</v>
      </c>
    </row>
    <row r="13" spans="1:28" x14ac:dyDescent="0.3">
      <c r="A13" s="72">
        <f t="shared" si="1"/>
        <v>8</v>
      </c>
      <c r="B13" s="5" t="s">
        <v>83</v>
      </c>
      <c r="C13" s="17">
        <f t="shared" ref="C13" si="6">SUM(D13:O13)</f>
        <v>111412</v>
      </c>
      <c r="D13" s="7">
        <v>0</v>
      </c>
      <c r="E13" s="14">
        <v>0</v>
      </c>
      <c r="F13" s="14">
        <v>0</v>
      </c>
      <c r="G13" s="14">
        <f>+'[1]Sch 40 Migration (C)'!F19</f>
        <v>17785</v>
      </c>
      <c r="H13" s="14">
        <f>+'[1]Sch 40 Migration (C)'!G19</f>
        <v>18519</v>
      </c>
      <c r="I13" s="14">
        <f>+'[1]Sch 40 Migration (C)'!H19</f>
        <v>12214</v>
      </c>
      <c r="J13" s="14">
        <f>+'[1]Sch 40 Migration (C)'!I19</f>
        <v>27235</v>
      </c>
      <c r="K13" s="14">
        <f>+'[1]Sch 40 Migration (C)'!J19</f>
        <v>19651</v>
      </c>
      <c r="L13" s="14">
        <f>+'[1]Sch 40 Migration (C)'!K19</f>
        <v>16008</v>
      </c>
      <c r="M13" s="14">
        <v>0</v>
      </c>
      <c r="N13" s="14">
        <v>0</v>
      </c>
      <c r="O13" s="14">
        <v>0</v>
      </c>
    </row>
    <row r="14" spans="1:28" x14ac:dyDescent="0.3">
      <c r="A14" s="72">
        <f t="shared" si="1"/>
        <v>9</v>
      </c>
      <c r="B14" s="5" t="s">
        <v>45</v>
      </c>
      <c r="C14" s="17">
        <f t="shared" ref="C14:C16" si="7">SUM(D14:O14)</f>
        <v>220077</v>
      </c>
      <c r="D14" s="17">
        <f>SUM(D12:D13)</f>
        <v>17078</v>
      </c>
      <c r="E14" s="17">
        <f t="shared" ref="E14:O14" si="8">SUM(E12:E13)</f>
        <v>20670</v>
      </c>
      <c r="F14" s="17">
        <f t="shared" si="8"/>
        <v>13212</v>
      </c>
      <c r="G14" s="17">
        <f t="shared" si="8"/>
        <v>17785</v>
      </c>
      <c r="H14" s="17">
        <f t="shared" si="8"/>
        <v>18519</v>
      </c>
      <c r="I14" s="17">
        <f t="shared" si="8"/>
        <v>12214</v>
      </c>
      <c r="J14" s="17">
        <f t="shared" si="8"/>
        <v>27235</v>
      </c>
      <c r="K14" s="17">
        <f t="shared" si="8"/>
        <v>19651</v>
      </c>
      <c r="L14" s="17">
        <f t="shared" si="8"/>
        <v>16008</v>
      </c>
      <c r="M14" s="17">
        <f t="shared" si="8"/>
        <v>25783</v>
      </c>
      <c r="N14" s="17">
        <f t="shared" si="8"/>
        <v>13949</v>
      </c>
      <c r="O14" s="17">
        <f t="shared" si="8"/>
        <v>17973</v>
      </c>
    </row>
    <row r="15" spans="1:28" x14ac:dyDescent="0.3">
      <c r="A15" s="72">
        <f t="shared" si="1"/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8" x14ac:dyDescent="0.3">
      <c r="A16" s="72">
        <f t="shared" si="1"/>
        <v>11</v>
      </c>
      <c r="B16" s="5" t="s">
        <v>46</v>
      </c>
      <c r="C16" s="17">
        <f t="shared" si="7"/>
        <v>42501579</v>
      </c>
      <c r="D16" s="14">
        <f>+'[1]Sch 40 Migration (C)'!C20</f>
        <v>3316795</v>
      </c>
      <c r="E16" s="14">
        <f>+'[1]Sch 40 Migration (C)'!D20</f>
        <v>3441600</v>
      </c>
      <c r="F16" s="14">
        <f>+'[1]Sch 40 Migration (C)'!E20</f>
        <v>3338400</v>
      </c>
      <c r="G16" s="14">
        <f>+'[1]Sch 40 Migration (C)'!F20</f>
        <v>3249600</v>
      </c>
      <c r="H16" s="14">
        <f>+'[1]Sch 40 Migration (C)'!G20</f>
        <v>3403203</v>
      </c>
      <c r="I16" s="14">
        <f>+'[1]Sch 40 Migration (C)'!H20</f>
        <v>1173604</v>
      </c>
      <c r="J16" s="14">
        <f>+'[1]Sch 40 Migration (C)'!I20</f>
        <v>6297600</v>
      </c>
      <c r="K16" s="14">
        <f>+'[1]Sch 40 Migration (C)'!J20</f>
        <v>3895200</v>
      </c>
      <c r="L16" s="14">
        <f>+'[1]Sch 40 Migration (C)'!K20</f>
        <v>2330400</v>
      </c>
      <c r="M16" s="14">
        <f>+'[1]Sch 40 Migration (C)'!L20</f>
        <v>5258383</v>
      </c>
      <c r="N16" s="14">
        <f>+'[1]Sch 40 Migration (C)'!M20</f>
        <v>3530402</v>
      </c>
      <c r="O16" s="14">
        <f>+'[1]Sch 40 Migration (C)'!N20</f>
        <v>3266392</v>
      </c>
    </row>
    <row r="17" spans="1:15" x14ac:dyDescent="0.3">
      <c r="A17" s="72">
        <f t="shared" si="1"/>
        <v>12</v>
      </c>
      <c r="B17" s="5" t="s">
        <v>47</v>
      </c>
      <c r="C17" s="17">
        <f>SUM(C16:C16)</f>
        <v>42501579</v>
      </c>
      <c r="D17" s="17">
        <f>SUM(D16:D16)</f>
        <v>3316795</v>
      </c>
      <c r="E17" s="17">
        <f t="shared" ref="E17:O17" si="9">SUM(E16:E16)</f>
        <v>3441600</v>
      </c>
      <c r="F17" s="17">
        <f t="shared" si="9"/>
        <v>3338400</v>
      </c>
      <c r="G17" s="17">
        <f t="shared" si="9"/>
        <v>3249600</v>
      </c>
      <c r="H17" s="17">
        <f t="shared" si="9"/>
        <v>3403203</v>
      </c>
      <c r="I17" s="17">
        <f t="shared" si="9"/>
        <v>1173604</v>
      </c>
      <c r="J17" s="17">
        <f t="shared" si="9"/>
        <v>6297600</v>
      </c>
      <c r="K17" s="17">
        <f t="shared" si="9"/>
        <v>3895200</v>
      </c>
      <c r="L17" s="17">
        <f t="shared" si="9"/>
        <v>2330400</v>
      </c>
      <c r="M17" s="17">
        <f t="shared" si="9"/>
        <v>5258383</v>
      </c>
      <c r="N17" s="17">
        <f t="shared" si="9"/>
        <v>3530402</v>
      </c>
      <c r="O17" s="17">
        <f t="shared" si="9"/>
        <v>3266392</v>
      </c>
    </row>
    <row r="18" spans="1:15" x14ac:dyDescent="0.3">
      <c r="A18" s="72">
        <f t="shared" si="1"/>
        <v>13</v>
      </c>
      <c r="C18" s="21"/>
      <c r="D18" s="7"/>
    </row>
    <row r="19" spans="1:15" x14ac:dyDescent="0.3">
      <c r="A19" s="72">
        <f t="shared" si="1"/>
        <v>14</v>
      </c>
      <c r="B19" s="8" t="s">
        <v>48</v>
      </c>
      <c r="C19" s="21"/>
      <c r="D19" s="9">
        <v>343.66</v>
      </c>
      <c r="E19" s="10">
        <f t="shared" ref="E19:E23" si="10">+D19</f>
        <v>343.66</v>
      </c>
      <c r="F19" s="10">
        <f t="shared" ref="F19:O23" si="11">+E19</f>
        <v>343.66</v>
      </c>
      <c r="G19" s="10">
        <f t="shared" si="11"/>
        <v>343.66</v>
      </c>
      <c r="H19" s="10">
        <f t="shared" si="11"/>
        <v>343.66</v>
      </c>
      <c r="I19" s="10">
        <f t="shared" si="11"/>
        <v>343.66</v>
      </c>
      <c r="J19" s="10">
        <f t="shared" si="11"/>
        <v>343.66</v>
      </c>
      <c r="K19" s="10">
        <f t="shared" si="11"/>
        <v>343.66</v>
      </c>
      <c r="L19" s="10">
        <f t="shared" si="11"/>
        <v>343.66</v>
      </c>
      <c r="M19" s="10">
        <f t="shared" si="11"/>
        <v>343.66</v>
      </c>
      <c r="N19" s="10">
        <f t="shared" si="11"/>
        <v>343.66</v>
      </c>
      <c r="O19" s="10">
        <f t="shared" si="11"/>
        <v>343.66</v>
      </c>
    </row>
    <row r="20" spans="1:15" x14ac:dyDescent="0.3">
      <c r="A20" s="72">
        <f t="shared" si="1"/>
        <v>15</v>
      </c>
      <c r="B20" s="8" t="s">
        <v>68</v>
      </c>
      <c r="C20" s="21"/>
      <c r="D20" s="9">
        <v>5.5014E-2</v>
      </c>
      <c r="E20" s="10">
        <f t="shared" si="10"/>
        <v>5.5014E-2</v>
      </c>
      <c r="F20" s="10">
        <f t="shared" si="11"/>
        <v>5.5014E-2</v>
      </c>
      <c r="G20" s="10">
        <f t="shared" si="11"/>
        <v>5.5014E-2</v>
      </c>
      <c r="H20" s="10">
        <f t="shared" si="11"/>
        <v>5.5014E-2</v>
      </c>
      <c r="I20" s="10">
        <f t="shared" si="11"/>
        <v>5.5014E-2</v>
      </c>
      <c r="J20" s="10">
        <f t="shared" si="11"/>
        <v>5.5014E-2</v>
      </c>
      <c r="K20" s="10">
        <f t="shared" si="11"/>
        <v>5.5014E-2</v>
      </c>
      <c r="L20" s="10">
        <f t="shared" si="11"/>
        <v>5.5014E-2</v>
      </c>
      <c r="M20" s="10">
        <f t="shared" si="11"/>
        <v>5.5014E-2</v>
      </c>
      <c r="N20" s="10">
        <f t="shared" si="11"/>
        <v>5.5014E-2</v>
      </c>
      <c r="O20" s="10">
        <f t="shared" si="11"/>
        <v>5.5014E-2</v>
      </c>
    </row>
    <row r="21" spans="1:15" x14ac:dyDescent="0.3">
      <c r="A21" s="72">
        <f t="shared" si="1"/>
        <v>16</v>
      </c>
      <c r="B21" s="8" t="s">
        <v>80</v>
      </c>
      <c r="C21" s="21"/>
      <c r="D21" s="9">
        <v>11.46</v>
      </c>
      <c r="E21" s="10">
        <f t="shared" ref="E21" si="12">+D21</f>
        <v>11.46</v>
      </c>
      <c r="F21" s="10">
        <f t="shared" ref="F21" si="13">+E21</f>
        <v>11.46</v>
      </c>
      <c r="G21" s="10">
        <f t="shared" ref="G21" si="14">+F21</f>
        <v>11.46</v>
      </c>
      <c r="H21" s="10">
        <f t="shared" ref="H21" si="15">+G21</f>
        <v>11.46</v>
      </c>
      <c r="I21" s="10">
        <f t="shared" ref="I21" si="16">+H21</f>
        <v>11.46</v>
      </c>
      <c r="J21" s="10">
        <f t="shared" ref="J21" si="17">+I21</f>
        <v>11.46</v>
      </c>
      <c r="K21" s="10">
        <f t="shared" ref="K21" si="18">+J21</f>
        <v>11.46</v>
      </c>
      <c r="L21" s="10">
        <f t="shared" ref="L21" si="19">+K21</f>
        <v>11.46</v>
      </c>
      <c r="M21" s="10">
        <f t="shared" ref="M21" si="20">+L21</f>
        <v>11.46</v>
      </c>
      <c r="N21" s="10">
        <f t="shared" ref="N21" si="21">+M21</f>
        <v>11.46</v>
      </c>
      <c r="O21" s="10">
        <f t="shared" ref="O21" si="22">+N21</f>
        <v>11.46</v>
      </c>
    </row>
    <row r="22" spans="1:15" x14ac:dyDescent="0.3">
      <c r="A22" s="72">
        <f t="shared" si="1"/>
        <v>17</v>
      </c>
      <c r="B22" s="8" t="s">
        <v>69</v>
      </c>
      <c r="C22" s="21"/>
      <c r="D22" s="9">
        <v>7.64</v>
      </c>
      <c r="E22" s="10">
        <f t="shared" si="10"/>
        <v>7.64</v>
      </c>
      <c r="F22" s="10">
        <f t="shared" si="11"/>
        <v>7.64</v>
      </c>
      <c r="G22" s="10">
        <f t="shared" si="11"/>
        <v>7.64</v>
      </c>
      <c r="H22" s="10">
        <f t="shared" si="11"/>
        <v>7.64</v>
      </c>
      <c r="I22" s="10">
        <f t="shared" si="11"/>
        <v>7.64</v>
      </c>
      <c r="J22" s="10">
        <f t="shared" si="11"/>
        <v>7.64</v>
      </c>
      <c r="K22" s="10">
        <f t="shared" si="11"/>
        <v>7.64</v>
      </c>
      <c r="L22" s="10">
        <f t="shared" si="11"/>
        <v>7.64</v>
      </c>
      <c r="M22" s="10">
        <f t="shared" si="11"/>
        <v>7.64</v>
      </c>
      <c r="N22" s="10">
        <f t="shared" si="11"/>
        <v>7.64</v>
      </c>
      <c r="O22" s="10">
        <f t="shared" si="11"/>
        <v>7.64</v>
      </c>
    </row>
    <row r="23" spans="1:15" x14ac:dyDescent="0.3">
      <c r="A23" s="72">
        <f t="shared" si="1"/>
        <v>18</v>
      </c>
      <c r="B23" s="8" t="s">
        <v>52</v>
      </c>
      <c r="C23" s="21"/>
      <c r="D23" s="9">
        <v>1.07E-3</v>
      </c>
      <c r="E23" s="10">
        <f t="shared" si="10"/>
        <v>1.07E-3</v>
      </c>
      <c r="F23" s="10">
        <f t="shared" si="11"/>
        <v>1.07E-3</v>
      </c>
      <c r="G23" s="10">
        <f t="shared" si="11"/>
        <v>1.07E-3</v>
      </c>
      <c r="H23" s="10">
        <f t="shared" si="11"/>
        <v>1.07E-3</v>
      </c>
      <c r="I23" s="10">
        <f t="shared" si="11"/>
        <v>1.07E-3</v>
      </c>
      <c r="J23" s="10">
        <f t="shared" si="11"/>
        <v>1.07E-3</v>
      </c>
      <c r="K23" s="10">
        <f t="shared" si="11"/>
        <v>1.07E-3</v>
      </c>
      <c r="L23" s="10">
        <f t="shared" si="11"/>
        <v>1.07E-3</v>
      </c>
      <c r="M23" s="10">
        <f t="shared" si="11"/>
        <v>1.07E-3</v>
      </c>
      <c r="N23" s="10">
        <f t="shared" si="11"/>
        <v>1.07E-3</v>
      </c>
      <c r="O23" s="10">
        <f t="shared" si="11"/>
        <v>1.07E-3</v>
      </c>
    </row>
    <row r="24" spans="1:15" x14ac:dyDescent="0.3">
      <c r="A24" s="72">
        <f t="shared" si="1"/>
        <v>19</v>
      </c>
      <c r="C24" s="21"/>
    </row>
    <row r="25" spans="1:15" x14ac:dyDescent="0.3">
      <c r="A25" s="72">
        <f t="shared" si="1"/>
        <v>20</v>
      </c>
      <c r="B25" s="1" t="s">
        <v>17</v>
      </c>
      <c r="C25" s="21"/>
    </row>
    <row r="26" spans="1:15" x14ac:dyDescent="0.3">
      <c r="A26" s="72">
        <f t="shared" si="1"/>
        <v>21</v>
      </c>
      <c r="B26" s="8" t="s">
        <v>76</v>
      </c>
      <c r="C26" s="23">
        <f>SUM(D26:O26)</f>
        <v>20620</v>
      </c>
      <c r="D26" s="11">
        <f>ROUND(+D6*D19,0)</f>
        <v>1718</v>
      </c>
      <c r="E26" s="11">
        <f t="shared" ref="E26:O26" si="23">ROUND(+E6*E19,0)</f>
        <v>2062</v>
      </c>
      <c r="F26" s="11">
        <f t="shared" si="23"/>
        <v>1375</v>
      </c>
      <c r="G26" s="11">
        <f t="shared" si="23"/>
        <v>1718</v>
      </c>
      <c r="H26" s="11">
        <f t="shared" si="23"/>
        <v>1718</v>
      </c>
      <c r="I26" s="11">
        <f t="shared" si="23"/>
        <v>1031</v>
      </c>
      <c r="J26" s="11">
        <f t="shared" si="23"/>
        <v>2406</v>
      </c>
      <c r="K26" s="11">
        <f t="shared" si="23"/>
        <v>1718</v>
      </c>
      <c r="L26" s="11">
        <f t="shared" si="23"/>
        <v>1375</v>
      </c>
      <c r="M26" s="11">
        <f t="shared" si="23"/>
        <v>2406</v>
      </c>
      <c r="N26" s="11">
        <f t="shared" si="23"/>
        <v>1375</v>
      </c>
      <c r="O26" s="11">
        <f t="shared" si="23"/>
        <v>1718</v>
      </c>
    </row>
    <row r="27" spans="1:15" x14ac:dyDescent="0.3">
      <c r="A27" s="72">
        <f t="shared" si="1"/>
        <v>22</v>
      </c>
      <c r="B27" s="8" t="s">
        <v>77</v>
      </c>
      <c r="C27" s="23">
        <f t="shared" ref="C27:C30" si="24">SUM(D27:O27)</f>
        <v>6250340</v>
      </c>
      <c r="D27" s="11">
        <f>ROUND(+D9*D20,0)</f>
        <v>504368</v>
      </c>
      <c r="E27" s="11">
        <f t="shared" ref="E27:O27" si="25">ROUND(+E9*E20,0)</f>
        <v>635742</v>
      </c>
      <c r="F27" s="11">
        <f t="shared" si="25"/>
        <v>388971</v>
      </c>
      <c r="G27" s="11">
        <f t="shared" si="25"/>
        <v>482055</v>
      </c>
      <c r="H27" s="11">
        <f t="shared" si="25"/>
        <v>501068</v>
      </c>
      <c r="I27" s="11">
        <f t="shared" si="25"/>
        <v>328500</v>
      </c>
      <c r="J27" s="11">
        <f t="shared" si="25"/>
        <v>749687</v>
      </c>
      <c r="K27" s="11">
        <f t="shared" si="25"/>
        <v>554277</v>
      </c>
      <c r="L27" s="11">
        <f t="shared" si="25"/>
        <v>472152</v>
      </c>
      <c r="M27" s="11">
        <f t="shared" si="25"/>
        <v>727901</v>
      </c>
      <c r="N27" s="11">
        <f t="shared" si="25"/>
        <v>399138</v>
      </c>
      <c r="O27" s="11">
        <f t="shared" si="25"/>
        <v>506481</v>
      </c>
    </row>
    <row r="28" spans="1:15" x14ac:dyDescent="0.3">
      <c r="A28" s="72">
        <f t="shared" si="1"/>
        <v>23</v>
      </c>
      <c r="B28" s="8" t="s">
        <v>78</v>
      </c>
      <c r="C28" s="23">
        <f t="shared" si="24"/>
        <v>1245302</v>
      </c>
      <c r="D28" s="11">
        <f>ROUND(+D12*D21,0)</f>
        <v>195714</v>
      </c>
      <c r="E28" s="11">
        <f t="shared" ref="E28:O28" si="26">ROUND(+E12*E21,0)</f>
        <v>236878</v>
      </c>
      <c r="F28" s="11">
        <f t="shared" si="26"/>
        <v>151410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295473</v>
      </c>
      <c r="N28" s="11">
        <f t="shared" si="26"/>
        <v>159856</v>
      </c>
      <c r="O28" s="11">
        <f t="shared" si="26"/>
        <v>205971</v>
      </c>
    </row>
    <row r="29" spans="1:15" x14ac:dyDescent="0.3">
      <c r="A29" s="24">
        <f t="shared" si="1"/>
        <v>24</v>
      </c>
      <c r="B29" s="8" t="s">
        <v>79</v>
      </c>
      <c r="C29" s="23">
        <f t="shared" si="24"/>
        <v>851187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135877</v>
      </c>
      <c r="H29" s="11">
        <f t="shared" si="27"/>
        <v>141485</v>
      </c>
      <c r="I29" s="11">
        <f t="shared" si="27"/>
        <v>93315</v>
      </c>
      <c r="J29" s="11">
        <f t="shared" si="27"/>
        <v>208075</v>
      </c>
      <c r="K29" s="11">
        <f t="shared" si="27"/>
        <v>150134</v>
      </c>
      <c r="L29" s="11">
        <f t="shared" si="27"/>
        <v>122301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5" x14ac:dyDescent="0.3">
      <c r="A30" s="24">
        <f t="shared" si="1"/>
        <v>25</v>
      </c>
      <c r="B30" s="8" t="s">
        <v>59</v>
      </c>
      <c r="C30" s="23">
        <f t="shared" si="24"/>
        <v>45477</v>
      </c>
      <c r="D30" s="11">
        <f>ROUND(+D16*D23,0)</f>
        <v>3549</v>
      </c>
      <c r="E30" s="11">
        <f t="shared" ref="E30:O30" si="28">ROUND(+E16*E23,0)</f>
        <v>3683</v>
      </c>
      <c r="F30" s="11">
        <f t="shared" si="28"/>
        <v>3572</v>
      </c>
      <c r="G30" s="11">
        <f t="shared" si="28"/>
        <v>3477</v>
      </c>
      <c r="H30" s="11">
        <f t="shared" si="28"/>
        <v>3641</v>
      </c>
      <c r="I30" s="11">
        <f t="shared" si="28"/>
        <v>1256</v>
      </c>
      <c r="J30" s="11">
        <f t="shared" si="28"/>
        <v>6738</v>
      </c>
      <c r="K30" s="11">
        <f t="shared" si="28"/>
        <v>4168</v>
      </c>
      <c r="L30" s="11">
        <f t="shared" si="28"/>
        <v>2494</v>
      </c>
      <c r="M30" s="11">
        <f t="shared" si="28"/>
        <v>5626</v>
      </c>
      <c r="N30" s="11">
        <f t="shared" si="28"/>
        <v>3778</v>
      </c>
      <c r="O30" s="11">
        <f t="shared" si="28"/>
        <v>3495</v>
      </c>
    </row>
    <row r="31" spans="1:15" x14ac:dyDescent="0.3">
      <c r="A31" s="24">
        <f t="shared" si="1"/>
        <v>26</v>
      </c>
      <c r="B31" s="5" t="s">
        <v>84</v>
      </c>
      <c r="C31" s="23">
        <f>SUM(C26:C30)</f>
        <v>8412926</v>
      </c>
      <c r="D31" s="11">
        <f>SUM(D26:D30)</f>
        <v>705349</v>
      </c>
      <c r="E31" s="11">
        <f t="shared" ref="E31:O31" si="29">SUM(E26:E30)</f>
        <v>878365</v>
      </c>
      <c r="F31" s="11">
        <f t="shared" si="29"/>
        <v>545328</v>
      </c>
      <c r="G31" s="11">
        <f t="shared" si="29"/>
        <v>623127</v>
      </c>
      <c r="H31" s="11">
        <f t="shared" si="29"/>
        <v>647912</v>
      </c>
      <c r="I31" s="11">
        <f t="shared" si="29"/>
        <v>424102</v>
      </c>
      <c r="J31" s="11">
        <f t="shared" si="29"/>
        <v>966906</v>
      </c>
      <c r="K31" s="11">
        <f t="shared" si="29"/>
        <v>710297</v>
      </c>
      <c r="L31" s="11">
        <f t="shared" si="29"/>
        <v>598322</v>
      </c>
      <c r="M31" s="11">
        <f t="shared" si="29"/>
        <v>1031406</v>
      </c>
      <c r="N31" s="11">
        <f t="shared" si="29"/>
        <v>564147</v>
      </c>
      <c r="O31" s="11">
        <f t="shared" si="29"/>
        <v>717665</v>
      </c>
    </row>
    <row r="32" spans="1:15" x14ac:dyDescent="0.3">
      <c r="A32" s="24">
        <f t="shared" si="1"/>
        <v>27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3">
      <c r="A33" s="24">
        <f t="shared" si="1"/>
        <v>28</v>
      </c>
      <c r="B33" s="12" t="s">
        <v>20</v>
      </c>
      <c r="C33" s="6">
        <f>SUM(D33:O33)</f>
        <v>-2514031</v>
      </c>
      <c r="D33" s="7">
        <f>+'Sch 40 Campus Svc'!D59</f>
        <v>-530557</v>
      </c>
      <c r="E33" s="14">
        <f>+'Sch 40 Campus Svc'!E59</f>
        <v>-1042506</v>
      </c>
      <c r="F33" s="14">
        <f>+'Sch 40 Campus Svc'!F59</f>
        <v>-602939</v>
      </c>
      <c r="G33" s="14">
        <f>+'Sch 40 Campus Svc'!G59</f>
        <v>458582</v>
      </c>
      <c r="H33" s="14">
        <f>+'Sch 40 Campus Svc'!H59</f>
        <v>-171567</v>
      </c>
      <c r="I33" s="14">
        <f>+'Sch 40 Campus Svc'!I59</f>
        <v>280653</v>
      </c>
      <c r="J33" s="14">
        <f>+'Sch 40 Campus Svc'!J59</f>
        <v>-130299</v>
      </c>
      <c r="K33" s="14">
        <f>+'Sch 40 Campus Svc'!K59</f>
        <v>-1013200</v>
      </c>
      <c r="L33" s="14">
        <f>+'Sch 40 Campus Svc'!L59</f>
        <v>-430805</v>
      </c>
      <c r="M33" s="14">
        <f>+'Sch 40 Campus Svc'!M59</f>
        <v>2198581</v>
      </c>
      <c r="N33" s="14">
        <f>+'Sch 40 Campus Svc'!N59</f>
        <v>-1631009</v>
      </c>
      <c r="O33" s="14">
        <f>+'Sch 40 Campus Svc'!O59</f>
        <v>101035</v>
      </c>
    </row>
    <row r="34" spans="1:15" x14ac:dyDescent="0.3">
      <c r="A34" s="24">
        <f t="shared" si="1"/>
        <v>29</v>
      </c>
      <c r="B34" s="12" t="s">
        <v>21</v>
      </c>
      <c r="D34" s="10">
        <f t="shared" ref="D34:O34" si="30">+D31/D10</f>
        <v>7.6935972949389184E-2</v>
      </c>
      <c r="E34" s="10">
        <f t="shared" si="30"/>
        <v>7.6009432329525783E-2</v>
      </c>
      <c r="F34" s="10">
        <f t="shared" si="30"/>
        <v>7.7128309572301421E-2</v>
      </c>
      <c r="G34" s="10">
        <f t="shared" si="30"/>
        <v>7.1113735962749933E-2</v>
      </c>
      <c r="H34" s="10">
        <f t="shared" si="30"/>
        <v>7.1136583223539746E-2</v>
      </c>
      <c r="I34" s="10">
        <f t="shared" si="30"/>
        <v>7.1024584673097538E-2</v>
      </c>
      <c r="J34" s="10">
        <f t="shared" si="30"/>
        <v>7.0954121169425857E-2</v>
      </c>
      <c r="K34" s="10">
        <f t="shared" si="30"/>
        <v>7.0499543433380982E-2</v>
      </c>
      <c r="L34" s="10">
        <f t="shared" si="30"/>
        <v>6.9714998135719616E-2</v>
      </c>
      <c r="M34" s="10">
        <f t="shared" si="30"/>
        <v>7.7952566660620351E-2</v>
      </c>
      <c r="N34" s="10">
        <f t="shared" si="30"/>
        <v>7.7757608336089981E-2</v>
      </c>
      <c r="O34" s="10">
        <f t="shared" si="30"/>
        <v>7.7952837156760518E-2</v>
      </c>
    </row>
    <row r="35" spans="1:15" x14ac:dyDescent="0.3">
      <c r="A35" s="24">
        <f t="shared" si="1"/>
        <v>30</v>
      </c>
      <c r="B35" s="12" t="s">
        <v>22</v>
      </c>
      <c r="C35" s="11">
        <f>SUM(D35:O35)</f>
        <v>-184495</v>
      </c>
      <c r="D35" s="11">
        <f>ROUND(+D33*D34,0)</f>
        <v>-40819</v>
      </c>
      <c r="E35" s="11">
        <f t="shared" ref="E35:O35" si="31">ROUND(+E33*E34,0)</f>
        <v>-79240</v>
      </c>
      <c r="F35" s="11">
        <f t="shared" si="31"/>
        <v>-46504</v>
      </c>
      <c r="G35" s="11">
        <f t="shared" si="31"/>
        <v>32611</v>
      </c>
      <c r="H35" s="11">
        <f t="shared" si="31"/>
        <v>-12205</v>
      </c>
      <c r="I35" s="11">
        <f t="shared" si="31"/>
        <v>19933</v>
      </c>
      <c r="J35" s="11">
        <f t="shared" si="31"/>
        <v>-9245</v>
      </c>
      <c r="K35" s="11">
        <f t="shared" si="31"/>
        <v>-71430</v>
      </c>
      <c r="L35" s="11">
        <f t="shared" si="31"/>
        <v>-30034</v>
      </c>
      <c r="M35" s="11">
        <f t="shared" si="31"/>
        <v>171385</v>
      </c>
      <c r="N35" s="11">
        <f t="shared" si="31"/>
        <v>-126823</v>
      </c>
      <c r="O35" s="11">
        <f t="shared" si="31"/>
        <v>7876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1" orientation="landscape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zoomScale="90" zoomScaleNormal="90" workbookViewId="0">
      <pane xSplit="4" ySplit="5" topLeftCell="E15" activePane="bottomRight" state="frozen"/>
      <selection sqref="A1:T37"/>
      <selection pane="topRight" sqref="A1:T37"/>
      <selection pane="bottomLeft" sqref="A1:T37"/>
      <selection pane="bottomRight" activeCell="D38" sqref="D38:O38"/>
    </sheetView>
  </sheetViews>
  <sheetFormatPr defaultRowHeight="14.4" x14ac:dyDescent="0.3"/>
  <cols>
    <col min="1" max="1" width="4.5546875" bestFit="1" customWidth="1"/>
    <col min="2" max="2" width="39.6640625" bestFit="1" customWidth="1"/>
    <col min="3" max="3" width="15" bestFit="1" customWidth="1"/>
    <col min="4" max="15" width="13.88671875" bestFit="1" customWidth="1"/>
    <col min="16" max="16" width="13.33203125" customWidth="1"/>
    <col min="17" max="17" width="13.88671875" bestFit="1" customWidth="1"/>
    <col min="18" max="18" width="11.6640625" bestFit="1" customWidth="1"/>
    <col min="19" max="19" width="9.109375" bestFit="1" customWidth="1"/>
    <col min="20" max="20" width="6.109375" bestFit="1" customWidth="1"/>
    <col min="21" max="21" width="4.44140625" bestFit="1" customWidth="1"/>
    <col min="22" max="22" width="20.5546875" bestFit="1" customWidth="1"/>
    <col min="23" max="23" width="9.33203125" bestFit="1" customWidth="1"/>
    <col min="24" max="24" width="5" bestFit="1" customWidth="1"/>
    <col min="25" max="28" width="7.88671875" bestFit="1" customWidth="1"/>
  </cols>
  <sheetData>
    <row r="1" spans="1:28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3">
      <c r="A2" s="98" t="s">
        <v>150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3">
      <c r="A6" s="25">
        <v>1</v>
      </c>
      <c r="B6" s="5" t="s">
        <v>88</v>
      </c>
      <c r="C6" s="17">
        <f t="shared" ref="C6:C8" si="0">SUM(D6:O6)</f>
        <v>-426</v>
      </c>
      <c r="D6" s="14">
        <f>-SUM('[1]Sch 40 Campus Svc'!D6:D8)</f>
        <v>-34</v>
      </c>
      <c r="E6" s="14">
        <f>-SUM('[1]Sch 40 Campus Svc'!E6:E8)</f>
        <v>-31</v>
      </c>
      <c r="F6" s="14">
        <f>-SUM('[1]Sch 40 Campus Svc'!F6:F8)</f>
        <v>-38</v>
      </c>
      <c r="G6" s="14">
        <f>-SUM('[1]Sch 40 Campus Svc'!G6:G8)</f>
        <v>-32</v>
      </c>
      <c r="H6" s="14">
        <f>-SUM('[1]Sch 40 Campus Svc'!H6:H8)</f>
        <v>-36</v>
      </c>
      <c r="I6" s="14">
        <f>-SUM('[1]Sch 40 Campus Svc'!I6:I8)</f>
        <v>-33</v>
      </c>
      <c r="J6" s="14">
        <f>-SUM('[1]Sch 40 Campus Svc'!J6:J8)</f>
        <v>-38</v>
      </c>
      <c r="K6" s="14">
        <f>-SUM('[1]Sch 40 Campus Svc'!K6:K8)</f>
        <v>-35</v>
      </c>
      <c r="L6" s="14">
        <f>-SUM('[1]Sch 40 Campus Svc'!L6:L8)</f>
        <v>-38</v>
      </c>
      <c r="M6" s="14">
        <f>-SUM('[1]Sch 40 Campus Svc'!M6:M8)</f>
        <v>-36</v>
      </c>
      <c r="N6" s="14">
        <f>-SUM('[1]Sch 40 Campus Svc'!N6:N8)</f>
        <v>-36</v>
      </c>
      <c r="O6" s="14">
        <f>-SUM('[1]Sch 40 Campus Svc'!O6:O8)</f>
        <v>-39</v>
      </c>
    </row>
    <row r="7" spans="1:28" x14ac:dyDescent="0.3">
      <c r="A7" s="25">
        <f>+A6+1</f>
        <v>2</v>
      </c>
      <c r="B7" s="5" t="s">
        <v>89</v>
      </c>
      <c r="C7" s="17">
        <f t="shared" si="0"/>
        <v>-812</v>
      </c>
      <c r="D7" s="14">
        <f>-SUM('[1]Sch 40 Campus Svc'!D9:D11)</f>
        <v>-59</v>
      </c>
      <c r="E7" s="14">
        <f>-SUM('[1]Sch 40 Campus Svc'!E9:E11)</f>
        <v>-64</v>
      </c>
      <c r="F7" s="14">
        <f>-SUM('[1]Sch 40 Campus Svc'!F9:F11)</f>
        <v>-77</v>
      </c>
      <c r="G7" s="14">
        <f>-SUM('[1]Sch 40 Campus Svc'!G9:G11)</f>
        <v>-72</v>
      </c>
      <c r="H7" s="14">
        <f>-SUM('[1]Sch 40 Campus Svc'!H9:H11)</f>
        <v>-67</v>
      </c>
      <c r="I7" s="14">
        <f>-SUM('[1]Sch 40 Campus Svc'!I9:I11)</f>
        <v>-60</v>
      </c>
      <c r="J7" s="14">
        <f>-SUM('[1]Sch 40 Campus Svc'!J9:J11)</f>
        <v>-72</v>
      </c>
      <c r="K7" s="14">
        <f>-SUM('[1]Sch 40 Campus Svc'!K9:K11)</f>
        <v>-65</v>
      </c>
      <c r="L7" s="14">
        <f>-SUM('[1]Sch 40 Campus Svc'!L9:L11)</f>
        <v>-70</v>
      </c>
      <c r="M7" s="14">
        <f>-SUM('[1]Sch 40 Campus Svc'!M9:M11)</f>
        <v>-68</v>
      </c>
      <c r="N7" s="14">
        <f>-SUM('[1]Sch 40 Campus Svc'!N9:N11)</f>
        <v>-67</v>
      </c>
      <c r="O7" s="14">
        <f>-SUM('[1]Sch 40 Campus Svc'!O9:O11)</f>
        <v>-71</v>
      </c>
    </row>
    <row r="8" spans="1:28" x14ac:dyDescent="0.3">
      <c r="A8" s="72">
        <f t="shared" ref="A8:A61" si="1">+A7+1</f>
        <v>3</v>
      </c>
      <c r="B8" s="5" t="s">
        <v>90</v>
      </c>
      <c r="C8" s="17">
        <f t="shared" si="0"/>
        <v>-379</v>
      </c>
      <c r="D8" s="14">
        <f>-SUM('[1]Sch 40 Campus Svc'!D12:D14)</f>
        <v>-35</v>
      </c>
      <c r="E8" s="14">
        <f>-SUM('[1]Sch 40 Campus Svc'!E12:E14)</f>
        <v>-32</v>
      </c>
      <c r="F8" s="14">
        <f>-SUM('[1]Sch 40 Campus Svc'!F12:F14)</f>
        <v>-31</v>
      </c>
      <c r="G8" s="14">
        <f>-SUM('[1]Sch 40 Campus Svc'!G12:G14)</f>
        <v>-30</v>
      </c>
      <c r="H8" s="14">
        <f>-SUM('[1]Sch 40 Campus Svc'!H12:H14)</f>
        <v>-33</v>
      </c>
      <c r="I8" s="14">
        <f>-SUM('[1]Sch 40 Campus Svc'!I12:I14)</f>
        <v>-30</v>
      </c>
      <c r="J8" s="14">
        <f>-SUM('[1]Sch 40 Campus Svc'!J12:J14)</f>
        <v>-31</v>
      </c>
      <c r="K8" s="14">
        <f>-SUM('[1]Sch 40 Campus Svc'!K12:K14)</f>
        <v>-32</v>
      </c>
      <c r="L8" s="14">
        <f>-SUM('[1]Sch 40 Campus Svc'!L12:L14)</f>
        <v>-31</v>
      </c>
      <c r="M8" s="14">
        <f>-SUM('[1]Sch 40 Campus Svc'!M12:M14)</f>
        <v>-26</v>
      </c>
      <c r="N8" s="14">
        <f>-SUM('[1]Sch 40 Campus Svc'!N12:N14)</f>
        <v>-37</v>
      </c>
      <c r="O8" s="14">
        <f>-SUM('[1]Sch 40 Campus Svc'!O12:O14)</f>
        <v>-31</v>
      </c>
    </row>
    <row r="9" spans="1:28" x14ac:dyDescent="0.3">
      <c r="A9" s="72">
        <f t="shared" si="1"/>
        <v>4</v>
      </c>
      <c r="B9" t="s">
        <v>15</v>
      </c>
      <c r="C9" s="17">
        <f>SUM(C6:C8)</f>
        <v>-1617</v>
      </c>
      <c r="D9" s="17">
        <f>SUM(D6:D8)</f>
        <v>-128</v>
      </c>
      <c r="E9" s="17">
        <f t="shared" ref="E9:O9" si="2">SUM(E6:E8)</f>
        <v>-127</v>
      </c>
      <c r="F9" s="17">
        <f t="shared" si="2"/>
        <v>-146</v>
      </c>
      <c r="G9" s="17">
        <f t="shared" si="2"/>
        <v>-134</v>
      </c>
      <c r="H9" s="17">
        <f t="shared" si="2"/>
        <v>-136</v>
      </c>
      <c r="I9" s="17">
        <f t="shared" si="2"/>
        <v>-123</v>
      </c>
      <c r="J9" s="17">
        <f t="shared" si="2"/>
        <v>-141</v>
      </c>
      <c r="K9" s="17">
        <f t="shared" si="2"/>
        <v>-132</v>
      </c>
      <c r="L9" s="17">
        <f t="shared" si="2"/>
        <v>-139</v>
      </c>
      <c r="M9" s="17">
        <f t="shared" si="2"/>
        <v>-130</v>
      </c>
      <c r="N9" s="17">
        <f t="shared" si="2"/>
        <v>-140</v>
      </c>
      <c r="O9" s="17">
        <f t="shared" si="2"/>
        <v>-141</v>
      </c>
    </row>
    <row r="10" spans="1:28" x14ac:dyDescent="0.3">
      <c r="A10" s="72">
        <f t="shared" si="1"/>
        <v>5</v>
      </c>
      <c r="C10" s="21"/>
      <c r="D10" s="14">
        <f>+D54</f>
        <v>0</v>
      </c>
      <c r="E10" s="14">
        <f t="shared" ref="E10:O10" si="3">+E54</f>
        <v>0</v>
      </c>
      <c r="F10" s="14">
        <f t="shared" si="3"/>
        <v>0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0</v>
      </c>
      <c r="K10" s="14">
        <f t="shared" si="3"/>
        <v>0</v>
      </c>
      <c r="L10" s="14">
        <f t="shared" si="3"/>
        <v>0</v>
      </c>
      <c r="M10" s="14">
        <f t="shared" si="3"/>
        <v>0</v>
      </c>
      <c r="N10" s="14">
        <f t="shared" si="3"/>
        <v>0</v>
      </c>
      <c r="O10" s="14">
        <f t="shared" si="3"/>
        <v>0</v>
      </c>
    </row>
    <row r="11" spans="1:28" x14ac:dyDescent="0.3">
      <c r="A11" s="72">
        <f t="shared" si="1"/>
        <v>6</v>
      </c>
      <c r="B11" s="5" t="s">
        <v>91</v>
      </c>
      <c r="C11" s="17">
        <f t="shared" ref="C11:C12" si="4">SUM(D11:O11)</f>
        <v>-224282125</v>
      </c>
      <c r="D11" s="14">
        <f>-SUM('[1]Sch 40 Campus Svc'!D17:D19)</f>
        <v>-20386727</v>
      </c>
      <c r="E11" s="14">
        <f>-SUM('[1]Sch 40 Campus Svc'!E17:E19)</f>
        <v>-17488230</v>
      </c>
      <c r="F11" s="14">
        <f>-SUM('[1]Sch 40 Campus Svc'!F17:F19)</f>
        <v>-21377557</v>
      </c>
      <c r="G11" s="14">
        <f>-SUM('[1]Sch 40 Campus Svc'!G17:G19)</f>
        <v>-19597357</v>
      </c>
      <c r="H11" s="14">
        <f>-SUM('[1]Sch 40 Campus Svc'!H17:H19)</f>
        <v>-16927081</v>
      </c>
      <c r="I11" s="14">
        <f>-SUM('[1]Sch 40 Campus Svc'!I17:I19)</f>
        <v>-15013982</v>
      </c>
      <c r="J11" s="14">
        <f>-SUM('[1]Sch 40 Campus Svc'!J17:J19)</f>
        <v>-20570326</v>
      </c>
      <c r="K11" s="14">
        <f>-SUM('[1]Sch 40 Campus Svc'!K17:K19)</f>
        <v>-19046509</v>
      </c>
      <c r="L11" s="14">
        <f>-SUM('[1]Sch 40 Campus Svc'!L17:L19)</f>
        <v>-20227371</v>
      </c>
      <c r="M11" s="14">
        <f>-SUM('[1]Sch 40 Campus Svc'!M17:M19)</f>
        <v>-16459937</v>
      </c>
      <c r="N11" s="14">
        <f>-SUM('[1]Sch 40 Campus Svc'!N17:N19)</f>
        <v>-17971188</v>
      </c>
      <c r="O11" s="14">
        <f>-SUM('[1]Sch 40 Campus Svc'!O17:O19)</f>
        <v>-19215860</v>
      </c>
    </row>
    <row r="12" spans="1:28" x14ac:dyDescent="0.3">
      <c r="A12" s="72">
        <f t="shared" si="1"/>
        <v>7</v>
      </c>
      <c r="B12" s="5" t="s">
        <v>92</v>
      </c>
      <c r="C12" s="17">
        <f t="shared" si="4"/>
        <v>-294263322</v>
      </c>
      <c r="D12" s="14">
        <f>-SUM('[1]Sch 40 Campus Svc'!D20:D22)+3</f>
        <v>-25359000</v>
      </c>
      <c r="E12" s="14">
        <f>-SUM('[1]Sch 40 Campus Svc'!E20:E22)+1</f>
        <v>-26441600</v>
      </c>
      <c r="F12" s="14">
        <f>-SUM('[1]Sch 40 Campus Svc'!F20:F22)-2</f>
        <v>-23125711</v>
      </c>
      <c r="G12" s="14">
        <f>-SUM('[1]Sch 40 Campus Svc'!G20:G22)-2</f>
        <v>-22953695</v>
      </c>
      <c r="H12" s="14">
        <f>-SUM('[1]Sch 40 Campus Svc'!H20:H22)-3</f>
        <v>-25170941</v>
      </c>
      <c r="I12" s="14">
        <f>-SUM('[1]Sch 40 Campus Svc'!I20:I22)+2</f>
        <v>-21440410</v>
      </c>
      <c r="J12" s="14">
        <f>-SUM('[1]Sch 40 Campus Svc'!J20:J22)+4</f>
        <v>-28147045</v>
      </c>
      <c r="K12" s="14">
        <f>-SUM('[1]Sch 40 Campus Svc'!K20:K22)+4</f>
        <v>-27649640</v>
      </c>
      <c r="L12" s="14">
        <f>-SUM('[1]Sch 40 Campus Svc'!L20:L22)-2</f>
        <v>-23152027</v>
      </c>
      <c r="M12" s="14">
        <f>-SUM('[1]Sch 40 Campus Svc'!M20:M22)+1</f>
        <v>-18586150</v>
      </c>
      <c r="N12" s="14">
        <f>-SUM('[1]Sch 40 Campus Svc'!N20:N22)-3</f>
        <v>-29185169</v>
      </c>
      <c r="O12" s="14">
        <f>-SUM('[1]Sch 40 Campus Svc'!O20:O22)-1</f>
        <v>-23051934</v>
      </c>
    </row>
    <row r="13" spans="1:28" x14ac:dyDescent="0.3">
      <c r="A13" s="72">
        <f t="shared" si="1"/>
        <v>8</v>
      </c>
      <c r="B13" t="s">
        <v>16</v>
      </c>
      <c r="C13" s="17">
        <f>SUM(C11:C12)</f>
        <v>-518545447</v>
      </c>
      <c r="D13" s="17">
        <f>SUM(D11:D12)</f>
        <v>-45745727</v>
      </c>
      <c r="E13" s="17">
        <f t="shared" ref="E13:O13" si="5">SUM(E11:E12)</f>
        <v>-43929830</v>
      </c>
      <c r="F13" s="17">
        <f t="shared" si="5"/>
        <v>-44503268</v>
      </c>
      <c r="G13" s="17">
        <f t="shared" si="5"/>
        <v>-42551052</v>
      </c>
      <c r="H13" s="17">
        <f t="shared" si="5"/>
        <v>-42098022</v>
      </c>
      <c r="I13" s="17">
        <f t="shared" si="5"/>
        <v>-36454392</v>
      </c>
      <c r="J13" s="17">
        <f t="shared" si="5"/>
        <v>-48717371</v>
      </c>
      <c r="K13" s="17">
        <f t="shared" si="5"/>
        <v>-46696149</v>
      </c>
      <c r="L13" s="17">
        <f t="shared" si="5"/>
        <v>-43379398</v>
      </c>
      <c r="M13" s="17">
        <f t="shared" si="5"/>
        <v>-35046087</v>
      </c>
      <c r="N13" s="17">
        <f t="shared" si="5"/>
        <v>-47156357</v>
      </c>
      <c r="O13" s="17">
        <f t="shared" si="5"/>
        <v>-42267794</v>
      </c>
    </row>
    <row r="14" spans="1:28" x14ac:dyDescent="0.3">
      <c r="A14" s="72">
        <f t="shared" si="1"/>
        <v>9</v>
      </c>
      <c r="C14" s="2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8" x14ac:dyDescent="0.3">
      <c r="A15" s="72">
        <f t="shared" si="1"/>
        <v>10</v>
      </c>
      <c r="B15" s="5" t="s">
        <v>93</v>
      </c>
      <c r="C15" s="17">
        <f t="shared" ref="C15:C16" si="6">SUM(D15:O15)</f>
        <v>-511790</v>
      </c>
      <c r="D15" s="14">
        <f>-SUM('[1]Sch 40 Campus Svc'!D25:D27)</f>
        <v>-32049</v>
      </c>
      <c r="E15" s="14">
        <f>-SUM('[1]Sch 40 Campus Svc'!E25:E27)</f>
        <v>-40345</v>
      </c>
      <c r="F15" s="14">
        <f>-SUM('[1]Sch 40 Campus Svc'!F25:F27)</f>
        <v>-49142</v>
      </c>
      <c r="G15" s="14">
        <f>-SUM('[1]Sch 40 Campus Svc'!G25:G27)</f>
        <v>-44695</v>
      </c>
      <c r="H15" s="14">
        <f>-SUM('[1]Sch 40 Campus Svc'!H25:H27)</f>
        <v>-41930</v>
      </c>
      <c r="I15" s="14">
        <f>-SUM('[1]Sch 40 Campus Svc'!I25:I27)</f>
        <v>-36289</v>
      </c>
      <c r="J15" s="14">
        <f>-SUM('[1]Sch 40 Campus Svc'!J25:J27)</f>
        <v>-47527</v>
      </c>
      <c r="K15" s="14">
        <f>-SUM('[1]Sch 40 Campus Svc'!K25:K27)</f>
        <v>-43733</v>
      </c>
      <c r="L15" s="14">
        <f>-SUM('[1]Sch 40 Campus Svc'!L25:L27)</f>
        <v>-47323</v>
      </c>
      <c r="M15" s="14">
        <f>-SUM('[1]Sch 40 Campus Svc'!M25:M27)</f>
        <v>-40349</v>
      </c>
      <c r="N15" s="14">
        <f>-SUM('[1]Sch 40 Campus Svc'!N25:N27)</f>
        <v>-42199</v>
      </c>
      <c r="O15" s="14">
        <f>-SUM('[1]Sch 40 Campus Svc'!O25:O27)</f>
        <v>-46209</v>
      </c>
    </row>
    <row r="16" spans="1:28" x14ac:dyDescent="0.3">
      <c r="A16" s="72">
        <f t="shared" si="1"/>
        <v>11</v>
      </c>
      <c r="B16" s="5" t="s">
        <v>94</v>
      </c>
      <c r="C16" s="17">
        <f t="shared" si="6"/>
        <v>-603022</v>
      </c>
      <c r="D16" s="14">
        <f>-SUM('[1]Sch 40 Campus Svc'!D28:D30)</f>
        <v>-46729</v>
      </c>
      <c r="E16" s="14">
        <f>-SUM('[1]Sch 40 Campus Svc'!E28:E30)</f>
        <v>-51876</v>
      </c>
      <c r="F16" s="14">
        <f>-SUM('[1]Sch 40 Campus Svc'!F28:F30)</f>
        <v>-38771</v>
      </c>
      <c r="G16" s="14">
        <f>-SUM('[1]Sch 40 Campus Svc'!G28:G30)</f>
        <v>-46355</v>
      </c>
      <c r="H16" s="14">
        <f>-SUM('[1]Sch 40 Campus Svc'!H28:H30)</f>
        <v>-55645</v>
      </c>
      <c r="I16" s="14">
        <f>-SUM('[1]Sch 40 Campus Svc'!I28:I30)</f>
        <v>-49201</v>
      </c>
      <c r="J16" s="14">
        <f>-SUM('[1]Sch 40 Campus Svc'!J28:J30)</f>
        <v>-56866</v>
      </c>
      <c r="K16" s="14">
        <f>-SUM('[1]Sch 40 Campus Svc'!K28:K30)</f>
        <v>-63647</v>
      </c>
      <c r="L16" s="14">
        <f>-SUM('[1]Sch 40 Campus Svc'!L28:L30)</f>
        <v>-46951</v>
      </c>
      <c r="M16" s="14">
        <f>-SUM('[1]Sch 40 Campus Svc'!M28:M30)</f>
        <v>-41174</v>
      </c>
      <c r="N16" s="14">
        <f>-SUM('[1]Sch 40 Campus Svc'!N28:N30)</f>
        <v>-58450</v>
      </c>
      <c r="O16" s="14">
        <f>-SUM('[1]Sch 40 Campus Svc'!O28:O30)</f>
        <v>-47357</v>
      </c>
    </row>
    <row r="17" spans="1:15" x14ac:dyDescent="0.3">
      <c r="A17" s="72">
        <f t="shared" si="1"/>
        <v>12</v>
      </c>
      <c r="B17" s="5" t="s">
        <v>45</v>
      </c>
      <c r="C17" s="22">
        <f>SUM(C15:C16)</f>
        <v>-1114812</v>
      </c>
      <c r="D17" s="22">
        <f>SUM(D15:D16)</f>
        <v>-78778</v>
      </c>
      <c r="E17" s="22">
        <f t="shared" ref="E17:O17" si="7">SUM(E15:E16)</f>
        <v>-92221</v>
      </c>
      <c r="F17" s="22">
        <f t="shared" si="7"/>
        <v>-87913</v>
      </c>
      <c r="G17" s="22">
        <f t="shared" si="7"/>
        <v>-91050</v>
      </c>
      <c r="H17" s="22">
        <f t="shared" si="7"/>
        <v>-97575</v>
      </c>
      <c r="I17" s="22">
        <f t="shared" si="7"/>
        <v>-85490</v>
      </c>
      <c r="J17" s="22">
        <f t="shared" si="7"/>
        <v>-104393</v>
      </c>
      <c r="K17" s="22">
        <f t="shared" si="7"/>
        <v>-107380</v>
      </c>
      <c r="L17" s="22">
        <f t="shared" si="7"/>
        <v>-94274</v>
      </c>
      <c r="M17" s="22">
        <f t="shared" si="7"/>
        <v>-81523</v>
      </c>
      <c r="N17" s="22">
        <f t="shared" si="7"/>
        <v>-100649</v>
      </c>
      <c r="O17" s="22">
        <f t="shared" si="7"/>
        <v>-93566</v>
      </c>
    </row>
    <row r="18" spans="1:15" x14ac:dyDescent="0.3">
      <c r="A18" s="72">
        <f t="shared" si="1"/>
        <v>13</v>
      </c>
      <c r="C18" s="2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3">
      <c r="A19" s="72">
        <f t="shared" si="1"/>
        <v>14</v>
      </c>
      <c r="B19" s="5" t="s">
        <v>95</v>
      </c>
      <c r="C19" s="17">
        <f t="shared" ref="C19:C20" si="8">SUM(D19:O19)</f>
        <v>-50335315</v>
      </c>
      <c r="D19" s="14">
        <f>-SUM('[1]Sch 40 Campus Svc'!D33:D35)</f>
        <v>-4116865</v>
      </c>
      <c r="E19" s="14">
        <f>-SUM('[1]Sch 40 Campus Svc'!E33:E35)</f>
        <v>-3675899</v>
      </c>
      <c r="F19" s="14">
        <f>-SUM('[1]Sch 40 Campus Svc'!F33:F35)</f>
        <v>-3987451</v>
      </c>
      <c r="G19" s="14">
        <f>-SUM('[1]Sch 40 Campus Svc'!G33:G35)</f>
        <v>-4017830</v>
      </c>
      <c r="H19" s="14">
        <f>-SUM('[1]Sch 40 Campus Svc'!H33:H35)</f>
        <v>-3945436</v>
      </c>
      <c r="I19" s="14">
        <f>-SUM('[1]Sch 40 Campus Svc'!I33:I35)</f>
        <v>-3966490</v>
      </c>
      <c r="J19" s="14">
        <f>-SUM('[1]Sch 40 Campus Svc'!J33:J35)</f>
        <v>-4544781</v>
      </c>
      <c r="K19" s="14">
        <f>-SUM('[1]Sch 40 Campus Svc'!K33:K35)</f>
        <v>-4874865</v>
      </c>
      <c r="L19" s="14">
        <f>-SUM('[1]Sch 40 Campus Svc'!L33:L35)</f>
        <v>-5006730</v>
      </c>
      <c r="M19" s="14">
        <f>-SUM('[1]Sch 40 Campus Svc'!M33:M35)</f>
        <v>-4303563</v>
      </c>
      <c r="N19" s="14">
        <f>-SUM('[1]Sch 40 Campus Svc'!N33:N35)</f>
        <v>-3912135</v>
      </c>
      <c r="O19" s="14">
        <f>-SUM('[1]Sch 40 Campus Svc'!O33:O35)</f>
        <v>-3983270</v>
      </c>
    </row>
    <row r="20" spans="1:15" x14ac:dyDescent="0.3">
      <c r="A20" s="72">
        <f t="shared" si="1"/>
        <v>15</v>
      </c>
      <c r="B20" s="5" t="s">
        <v>96</v>
      </c>
      <c r="C20" s="17">
        <f t="shared" si="8"/>
        <v>-78655483</v>
      </c>
      <c r="D20" s="14">
        <f>-SUM('[1]Sch 40 Campus Svc'!D36:D38)</f>
        <v>-6385757</v>
      </c>
      <c r="E20" s="14">
        <f>-SUM('[1]Sch 40 Campus Svc'!E36:E38)</f>
        <v>-6071465</v>
      </c>
      <c r="F20" s="14">
        <f>-SUM('[1]Sch 40 Campus Svc'!F36:F38)</f>
        <v>-6155409</v>
      </c>
      <c r="G20" s="14">
        <f>-SUM('[1]Sch 40 Campus Svc'!G36:G38)</f>
        <v>-6108873</v>
      </c>
      <c r="H20" s="14">
        <f>-SUM('[1]Sch 40 Campus Svc'!H36:H38)</f>
        <v>-6872844</v>
      </c>
      <c r="I20" s="14">
        <f>-SUM('[1]Sch 40 Campus Svc'!I36:I38)</f>
        <v>-4754246</v>
      </c>
      <c r="J20" s="14">
        <f>-SUM('[1]Sch 40 Campus Svc'!J36:J38)</f>
        <v>-10244252</v>
      </c>
      <c r="K20" s="14">
        <f>-SUM('[1]Sch 40 Campus Svc'!K36:K38)</f>
        <v>-8064075</v>
      </c>
      <c r="L20" s="14">
        <f>-SUM('[1]Sch 40 Campus Svc'!L36:L38)</f>
        <v>-4382655</v>
      </c>
      <c r="M20" s="14">
        <f>-SUM('[1]Sch 40 Campus Svc'!M36:M38)</f>
        <v>-7192779</v>
      </c>
      <c r="N20" s="14">
        <f>-SUM('[1]Sch 40 Campus Svc'!N36:N38)</f>
        <v>-6619315</v>
      </c>
      <c r="O20" s="14">
        <f>-SUM('[1]Sch 40 Campus Svc'!O36:O38)</f>
        <v>-5803813</v>
      </c>
    </row>
    <row r="21" spans="1:15" x14ac:dyDescent="0.3">
      <c r="A21" s="72">
        <f t="shared" si="1"/>
        <v>16</v>
      </c>
      <c r="B21" s="5" t="s">
        <v>47</v>
      </c>
      <c r="C21" s="17">
        <f>SUM(C19:C20)</f>
        <v>-128990798</v>
      </c>
      <c r="D21" s="17">
        <f>SUM(D19:D20)</f>
        <v>-10502622</v>
      </c>
      <c r="E21" s="17">
        <f t="shared" ref="E21:O21" si="9">SUM(E19:E20)</f>
        <v>-9747364</v>
      </c>
      <c r="F21" s="17">
        <f t="shared" si="9"/>
        <v>-10142860</v>
      </c>
      <c r="G21" s="17">
        <f t="shared" si="9"/>
        <v>-10126703</v>
      </c>
      <c r="H21" s="17">
        <f t="shared" si="9"/>
        <v>-10818280</v>
      </c>
      <c r="I21" s="17">
        <f t="shared" si="9"/>
        <v>-8720736</v>
      </c>
      <c r="J21" s="17">
        <f t="shared" si="9"/>
        <v>-14789033</v>
      </c>
      <c r="K21" s="17">
        <f t="shared" si="9"/>
        <v>-12938940</v>
      </c>
      <c r="L21" s="17">
        <f t="shared" si="9"/>
        <v>-9389385</v>
      </c>
      <c r="M21" s="17">
        <f t="shared" si="9"/>
        <v>-11496342</v>
      </c>
      <c r="N21" s="17">
        <f t="shared" si="9"/>
        <v>-10531450</v>
      </c>
      <c r="O21" s="17">
        <f t="shared" si="9"/>
        <v>-9787083</v>
      </c>
    </row>
    <row r="22" spans="1:15" x14ac:dyDescent="0.3">
      <c r="A22" s="72">
        <f t="shared" si="1"/>
        <v>17</v>
      </c>
      <c r="D22" s="2"/>
    </row>
    <row r="23" spans="1:15" x14ac:dyDescent="0.3">
      <c r="A23" s="72">
        <f t="shared" si="1"/>
        <v>18</v>
      </c>
      <c r="B23" s="8" t="s">
        <v>97</v>
      </c>
      <c r="C23" s="21"/>
      <c r="D23" s="9">
        <v>52.3</v>
      </c>
      <c r="E23" s="10">
        <f t="shared" ref="E23:O31" si="10">+D23</f>
        <v>52.3</v>
      </c>
      <c r="F23" s="10">
        <f t="shared" ref="F23:O30" si="11">+E23</f>
        <v>52.3</v>
      </c>
      <c r="G23" s="10">
        <f t="shared" si="11"/>
        <v>52.3</v>
      </c>
      <c r="H23" s="10">
        <f t="shared" si="11"/>
        <v>52.3</v>
      </c>
      <c r="I23" s="10">
        <f t="shared" si="11"/>
        <v>52.3</v>
      </c>
      <c r="J23" s="10">
        <f t="shared" si="11"/>
        <v>52.3</v>
      </c>
      <c r="K23" s="10">
        <f t="shared" si="11"/>
        <v>52.3</v>
      </c>
      <c r="L23" s="10">
        <f t="shared" si="11"/>
        <v>52.3</v>
      </c>
      <c r="M23" s="10">
        <f t="shared" si="11"/>
        <v>52.3</v>
      </c>
      <c r="N23" s="10">
        <f t="shared" si="11"/>
        <v>52.3</v>
      </c>
      <c r="O23" s="10">
        <f t="shared" si="11"/>
        <v>52.3</v>
      </c>
    </row>
    <row r="24" spans="1:15" x14ac:dyDescent="0.3">
      <c r="A24" s="72">
        <f t="shared" si="1"/>
        <v>19</v>
      </c>
      <c r="B24" s="8" t="s">
        <v>98</v>
      </c>
      <c r="C24" s="21"/>
      <c r="D24" s="9">
        <v>105.74</v>
      </c>
      <c r="E24" s="10">
        <f t="shared" si="10"/>
        <v>105.74</v>
      </c>
      <c r="F24" s="10">
        <f t="shared" si="11"/>
        <v>105.74</v>
      </c>
      <c r="G24" s="10">
        <f t="shared" si="11"/>
        <v>105.74</v>
      </c>
      <c r="H24" s="10">
        <f t="shared" si="11"/>
        <v>105.74</v>
      </c>
      <c r="I24" s="10">
        <f t="shared" si="11"/>
        <v>105.74</v>
      </c>
      <c r="J24" s="10">
        <f t="shared" si="11"/>
        <v>105.74</v>
      </c>
      <c r="K24" s="10">
        <f t="shared" si="11"/>
        <v>105.74</v>
      </c>
      <c r="L24" s="10">
        <f t="shared" si="11"/>
        <v>105.74</v>
      </c>
      <c r="M24" s="10">
        <f t="shared" si="11"/>
        <v>105.74</v>
      </c>
      <c r="N24" s="10">
        <f t="shared" si="11"/>
        <v>105.74</v>
      </c>
      <c r="O24" s="10">
        <f t="shared" si="11"/>
        <v>105.74</v>
      </c>
    </row>
    <row r="25" spans="1:15" x14ac:dyDescent="0.3">
      <c r="A25" s="72">
        <f t="shared" si="1"/>
        <v>20</v>
      </c>
      <c r="B25" s="8" t="s">
        <v>99</v>
      </c>
      <c r="C25" s="21"/>
      <c r="D25" s="9">
        <v>343.66</v>
      </c>
      <c r="E25" s="10">
        <f t="shared" si="10"/>
        <v>343.66</v>
      </c>
      <c r="F25" s="10">
        <f t="shared" si="11"/>
        <v>343.66</v>
      </c>
      <c r="G25" s="10">
        <f t="shared" si="11"/>
        <v>343.66</v>
      </c>
      <c r="H25" s="10">
        <f t="shared" si="11"/>
        <v>343.66</v>
      </c>
      <c r="I25" s="10">
        <f t="shared" si="11"/>
        <v>343.66</v>
      </c>
      <c r="J25" s="10">
        <f t="shared" si="11"/>
        <v>343.66</v>
      </c>
      <c r="K25" s="10">
        <f t="shared" si="11"/>
        <v>343.66</v>
      </c>
      <c r="L25" s="10">
        <f t="shared" si="11"/>
        <v>343.66</v>
      </c>
      <c r="M25" s="10">
        <f t="shared" si="11"/>
        <v>343.66</v>
      </c>
      <c r="N25" s="10">
        <f t="shared" si="11"/>
        <v>343.66</v>
      </c>
      <c r="O25" s="10">
        <f t="shared" si="11"/>
        <v>343.66</v>
      </c>
    </row>
    <row r="26" spans="1:15" x14ac:dyDescent="0.3">
      <c r="A26" s="72">
        <f t="shared" si="1"/>
        <v>21</v>
      </c>
      <c r="B26" s="8" t="s">
        <v>100</v>
      </c>
      <c r="C26" s="21"/>
      <c r="D26" s="9">
        <v>5.3848E-2</v>
      </c>
      <c r="E26" s="10">
        <f t="shared" si="10"/>
        <v>5.3848E-2</v>
      </c>
      <c r="F26" s="10">
        <f t="shared" si="11"/>
        <v>5.3848E-2</v>
      </c>
      <c r="G26" s="10">
        <f t="shared" si="11"/>
        <v>5.3848E-2</v>
      </c>
      <c r="H26" s="10">
        <f t="shared" si="11"/>
        <v>5.3848E-2</v>
      </c>
      <c r="I26" s="10">
        <f t="shared" si="11"/>
        <v>5.3848E-2</v>
      </c>
      <c r="J26" s="10">
        <f t="shared" si="11"/>
        <v>5.3848E-2</v>
      </c>
      <c r="K26" s="10">
        <f t="shared" si="11"/>
        <v>5.3848E-2</v>
      </c>
      <c r="L26" s="10">
        <f t="shared" si="11"/>
        <v>5.3848E-2</v>
      </c>
      <c r="M26" s="10">
        <f t="shared" si="11"/>
        <v>5.3848E-2</v>
      </c>
      <c r="N26" s="10">
        <f t="shared" si="11"/>
        <v>5.3848E-2</v>
      </c>
      <c r="O26" s="10">
        <f t="shared" si="11"/>
        <v>5.3848E-2</v>
      </c>
    </row>
    <row r="27" spans="1:15" x14ac:dyDescent="0.3">
      <c r="A27" s="72">
        <f t="shared" si="1"/>
        <v>22</v>
      </c>
      <c r="B27" s="8" t="s">
        <v>101</v>
      </c>
      <c r="C27" s="21"/>
      <c r="D27" s="9">
        <v>5.1728999999999997E-2</v>
      </c>
      <c r="E27" s="10">
        <f t="shared" si="10"/>
        <v>5.1728999999999997E-2</v>
      </c>
      <c r="F27" s="10">
        <f t="shared" si="11"/>
        <v>5.1728999999999997E-2</v>
      </c>
      <c r="G27" s="10">
        <f t="shared" si="11"/>
        <v>5.1728999999999997E-2</v>
      </c>
      <c r="H27" s="10">
        <f t="shared" si="11"/>
        <v>5.1728999999999997E-2</v>
      </c>
      <c r="I27" s="10">
        <f t="shared" si="11"/>
        <v>5.1728999999999997E-2</v>
      </c>
      <c r="J27" s="10">
        <f t="shared" si="11"/>
        <v>5.1728999999999997E-2</v>
      </c>
      <c r="K27" s="10">
        <f t="shared" si="11"/>
        <v>5.1728999999999997E-2</v>
      </c>
      <c r="L27" s="10">
        <f t="shared" si="11"/>
        <v>5.1728999999999997E-2</v>
      </c>
      <c r="M27" s="10">
        <f t="shared" si="11"/>
        <v>5.1728999999999997E-2</v>
      </c>
      <c r="N27" s="10">
        <f t="shared" si="11"/>
        <v>5.1728999999999997E-2</v>
      </c>
      <c r="O27" s="10">
        <f t="shared" si="11"/>
        <v>5.1728999999999997E-2</v>
      </c>
    </row>
    <row r="28" spans="1:15" x14ac:dyDescent="0.3">
      <c r="A28" s="72">
        <f t="shared" si="1"/>
        <v>23</v>
      </c>
      <c r="B28" s="8" t="s">
        <v>102</v>
      </c>
      <c r="C28" s="21"/>
      <c r="D28" s="9">
        <v>6.13</v>
      </c>
      <c r="E28" s="10">
        <f t="shared" si="10"/>
        <v>6.13</v>
      </c>
      <c r="F28" s="10">
        <f t="shared" si="11"/>
        <v>6.13</v>
      </c>
      <c r="G28" s="10">
        <f t="shared" si="11"/>
        <v>6.13</v>
      </c>
      <c r="H28" s="10">
        <f t="shared" si="11"/>
        <v>6.13</v>
      </c>
      <c r="I28" s="10">
        <f t="shared" si="11"/>
        <v>6.13</v>
      </c>
      <c r="J28" s="10">
        <f t="shared" si="11"/>
        <v>6.13</v>
      </c>
      <c r="K28" s="10">
        <f t="shared" si="11"/>
        <v>6.13</v>
      </c>
      <c r="L28" s="10">
        <f t="shared" si="11"/>
        <v>6.13</v>
      </c>
      <c r="M28" s="10">
        <f t="shared" si="11"/>
        <v>6.13</v>
      </c>
      <c r="N28" s="10">
        <f t="shared" si="11"/>
        <v>6.13</v>
      </c>
      <c r="O28" s="10">
        <f t="shared" si="11"/>
        <v>6.13</v>
      </c>
    </row>
    <row r="29" spans="1:15" x14ac:dyDescent="0.3">
      <c r="A29" s="72">
        <f t="shared" si="1"/>
        <v>24</v>
      </c>
      <c r="B29" s="8" t="s">
        <v>103</v>
      </c>
      <c r="C29" s="21"/>
      <c r="D29" s="9">
        <v>5.88</v>
      </c>
      <c r="E29" s="10">
        <f t="shared" si="10"/>
        <v>5.88</v>
      </c>
      <c r="F29" s="10">
        <f t="shared" si="11"/>
        <v>5.88</v>
      </c>
      <c r="G29" s="10">
        <f t="shared" si="11"/>
        <v>5.88</v>
      </c>
      <c r="H29" s="10">
        <f t="shared" si="11"/>
        <v>5.88</v>
      </c>
      <c r="I29" s="10">
        <f t="shared" si="11"/>
        <v>5.88</v>
      </c>
      <c r="J29" s="10">
        <f t="shared" si="11"/>
        <v>5.88</v>
      </c>
      <c r="K29" s="10">
        <f t="shared" si="11"/>
        <v>5.88</v>
      </c>
      <c r="L29" s="10">
        <f t="shared" si="11"/>
        <v>5.88</v>
      </c>
      <c r="M29" s="10">
        <f t="shared" si="11"/>
        <v>5.88</v>
      </c>
      <c r="N29" s="10">
        <f t="shared" si="11"/>
        <v>5.88</v>
      </c>
      <c r="O29" s="10">
        <f t="shared" si="11"/>
        <v>5.88</v>
      </c>
    </row>
    <row r="30" spans="1:15" x14ac:dyDescent="0.3">
      <c r="A30" s="72">
        <f t="shared" si="1"/>
        <v>25</v>
      </c>
      <c r="B30" s="8" t="s">
        <v>104</v>
      </c>
      <c r="C30" s="21"/>
      <c r="D30" s="9">
        <v>1.2600000000000001E-3</v>
      </c>
      <c r="E30" s="10">
        <f t="shared" si="10"/>
        <v>1.2600000000000001E-3</v>
      </c>
      <c r="F30" s="10">
        <f t="shared" si="11"/>
        <v>1.2600000000000001E-3</v>
      </c>
      <c r="G30" s="10">
        <f t="shared" si="11"/>
        <v>1.2600000000000001E-3</v>
      </c>
      <c r="H30" s="10">
        <f t="shared" si="11"/>
        <v>1.2600000000000001E-3</v>
      </c>
      <c r="I30" s="10">
        <f t="shared" si="11"/>
        <v>1.2600000000000001E-3</v>
      </c>
      <c r="J30" s="10">
        <f t="shared" si="11"/>
        <v>1.2600000000000001E-3</v>
      </c>
      <c r="K30" s="10">
        <f t="shared" si="11"/>
        <v>1.2600000000000001E-3</v>
      </c>
      <c r="L30" s="10">
        <f t="shared" si="11"/>
        <v>1.2600000000000001E-3</v>
      </c>
      <c r="M30" s="10">
        <f t="shared" si="11"/>
        <v>1.2600000000000001E-3</v>
      </c>
      <c r="N30" s="10">
        <f t="shared" si="11"/>
        <v>1.2600000000000001E-3</v>
      </c>
      <c r="O30" s="10">
        <f t="shared" si="11"/>
        <v>1.2600000000000001E-3</v>
      </c>
    </row>
    <row r="31" spans="1:15" x14ac:dyDescent="0.3">
      <c r="A31" s="72">
        <f t="shared" si="1"/>
        <v>26</v>
      </c>
      <c r="B31" s="8" t="s">
        <v>105</v>
      </c>
      <c r="C31" s="21"/>
      <c r="D31" s="9">
        <v>1.07E-3</v>
      </c>
      <c r="E31" s="10">
        <f t="shared" si="10"/>
        <v>1.07E-3</v>
      </c>
      <c r="F31" s="10">
        <f t="shared" si="10"/>
        <v>1.07E-3</v>
      </c>
      <c r="G31" s="10">
        <f t="shared" si="10"/>
        <v>1.07E-3</v>
      </c>
      <c r="H31" s="10">
        <f t="shared" si="10"/>
        <v>1.07E-3</v>
      </c>
      <c r="I31" s="10">
        <f t="shared" si="10"/>
        <v>1.07E-3</v>
      </c>
      <c r="J31" s="10">
        <f t="shared" si="10"/>
        <v>1.07E-3</v>
      </c>
      <c r="K31" s="10">
        <f t="shared" si="10"/>
        <v>1.07E-3</v>
      </c>
      <c r="L31" s="10">
        <f t="shared" si="10"/>
        <v>1.07E-3</v>
      </c>
      <c r="M31" s="10">
        <f t="shared" si="10"/>
        <v>1.07E-3</v>
      </c>
      <c r="N31" s="10">
        <f t="shared" si="10"/>
        <v>1.07E-3</v>
      </c>
      <c r="O31" s="10">
        <f t="shared" si="10"/>
        <v>1.07E-3</v>
      </c>
    </row>
    <row r="32" spans="1:15" x14ac:dyDescent="0.3">
      <c r="A32" s="72">
        <f t="shared" si="1"/>
        <v>27</v>
      </c>
      <c r="C32" s="21"/>
    </row>
    <row r="33" spans="1:15" x14ac:dyDescent="0.3">
      <c r="A33" s="72">
        <f t="shared" si="1"/>
        <v>28</v>
      </c>
      <c r="B33" s="1" t="s">
        <v>17</v>
      </c>
      <c r="C33" s="21"/>
    </row>
    <row r="34" spans="1:15" x14ac:dyDescent="0.3">
      <c r="A34" s="72">
        <f t="shared" si="1"/>
        <v>29</v>
      </c>
      <c r="B34" s="8" t="s">
        <v>86</v>
      </c>
      <c r="C34" s="23">
        <f t="shared" ref="C34:C38" si="12">SUM(D34:O34)</f>
        <v>-238389</v>
      </c>
      <c r="D34" s="11">
        <f>ROUND(+D6*D23+D7*D24++D8*D25,0)</f>
        <v>-20045</v>
      </c>
      <c r="E34" s="11">
        <f t="shared" ref="E34:O34" si="13">ROUND(+E6*E23+E7*E24++E8*E25,0)</f>
        <v>-19386</v>
      </c>
      <c r="F34" s="11">
        <f t="shared" si="13"/>
        <v>-20783</v>
      </c>
      <c r="G34" s="11">
        <f t="shared" si="13"/>
        <v>-19597</v>
      </c>
      <c r="H34" s="11">
        <f t="shared" si="13"/>
        <v>-20308</v>
      </c>
      <c r="I34" s="11">
        <f t="shared" si="13"/>
        <v>-18380</v>
      </c>
      <c r="J34" s="11">
        <f t="shared" si="13"/>
        <v>-20254</v>
      </c>
      <c r="K34" s="11">
        <f t="shared" si="13"/>
        <v>-19701</v>
      </c>
      <c r="L34" s="11">
        <f t="shared" si="13"/>
        <v>-20043</v>
      </c>
      <c r="M34" s="11">
        <f t="shared" si="13"/>
        <v>-18008</v>
      </c>
      <c r="N34" s="11">
        <f t="shared" si="13"/>
        <v>-21683</v>
      </c>
      <c r="O34" s="11">
        <f t="shared" si="13"/>
        <v>-20201</v>
      </c>
    </row>
    <row r="35" spans="1:15" x14ac:dyDescent="0.3">
      <c r="A35" s="72">
        <f t="shared" si="1"/>
        <v>30</v>
      </c>
      <c r="B35" s="8" t="s">
        <v>87</v>
      </c>
      <c r="C35" s="23">
        <f t="shared" si="12"/>
        <v>-27299092</v>
      </c>
      <c r="D35" s="11">
        <f>ROUND(D11*D26+D12*D27,0)</f>
        <v>-2409580</v>
      </c>
      <c r="E35" s="11">
        <f t="shared" ref="E35:O35" si="14">ROUND(E11*E26+E12*E27,0)</f>
        <v>-2309504</v>
      </c>
      <c r="F35" s="11">
        <f t="shared" si="14"/>
        <v>-2347409</v>
      </c>
      <c r="G35" s="11">
        <f t="shared" si="14"/>
        <v>-2242650</v>
      </c>
      <c r="H35" s="11">
        <f t="shared" si="14"/>
        <v>-2213557</v>
      </c>
      <c r="I35" s="11">
        <f t="shared" si="14"/>
        <v>-1917564</v>
      </c>
      <c r="J35" s="11">
        <f t="shared" si="14"/>
        <v>-2563689</v>
      </c>
      <c r="K35" s="11">
        <f t="shared" si="14"/>
        <v>-2455905</v>
      </c>
      <c r="L35" s="11">
        <f t="shared" si="14"/>
        <v>-2286835</v>
      </c>
      <c r="M35" s="11">
        <f t="shared" si="14"/>
        <v>-1847778</v>
      </c>
      <c r="N35" s="11">
        <f t="shared" si="14"/>
        <v>-2477432</v>
      </c>
      <c r="O35" s="11">
        <f t="shared" si="14"/>
        <v>-2227189</v>
      </c>
    </row>
    <row r="36" spans="1:15" x14ac:dyDescent="0.3">
      <c r="A36" s="72">
        <f t="shared" si="1"/>
        <v>31</v>
      </c>
      <c r="B36" s="8" t="s">
        <v>106</v>
      </c>
      <c r="C36" s="23">
        <f t="shared" si="12"/>
        <v>-6683043</v>
      </c>
      <c r="D36" s="11">
        <f>ROUND(+D15*D28+D16*D29,0)</f>
        <v>-471227</v>
      </c>
      <c r="E36" s="11">
        <f t="shared" ref="E36:O36" si="15">ROUND(+E15*E28+E16*E29,0)</f>
        <v>-552346</v>
      </c>
      <c r="F36" s="11">
        <f t="shared" si="15"/>
        <v>-529214</v>
      </c>
      <c r="G36" s="11">
        <f t="shared" si="15"/>
        <v>-546548</v>
      </c>
      <c r="H36" s="11">
        <f t="shared" si="15"/>
        <v>-584224</v>
      </c>
      <c r="I36" s="11">
        <f t="shared" si="15"/>
        <v>-511753</v>
      </c>
      <c r="J36" s="11">
        <f t="shared" si="15"/>
        <v>-625713</v>
      </c>
      <c r="K36" s="11">
        <f t="shared" si="15"/>
        <v>-642328</v>
      </c>
      <c r="L36" s="11">
        <f t="shared" si="15"/>
        <v>-566162</v>
      </c>
      <c r="M36" s="11">
        <f t="shared" si="15"/>
        <v>-489442</v>
      </c>
      <c r="N36" s="11">
        <f t="shared" si="15"/>
        <v>-602366</v>
      </c>
      <c r="O36" s="11">
        <f t="shared" si="15"/>
        <v>-561720</v>
      </c>
    </row>
    <row r="37" spans="1:15" x14ac:dyDescent="0.3">
      <c r="A37" s="72">
        <f t="shared" si="1"/>
        <v>32</v>
      </c>
      <c r="B37" s="8" t="s">
        <v>59</v>
      </c>
      <c r="C37" s="23">
        <f t="shared" si="12"/>
        <v>-147584</v>
      </c>
      <c r="D37" s="11">
        <f>ROUND(+D19*D30+D20*D31,0)</f>
        <v>-12020</v>
      </c>
      <c r="E37" s="11">
        <f t="shared" ref="E37:O37" si="16">ROUND(+E19*E30+E20*E31,0)</f>
        <v>-11128</v>
      </c>
      <c r="F37" s="11">
        <f t="shared" si="16"/>
        <v>-11610</v>
      </c>
      <c r="G37" s="11">
        <f t="shared" si="16"/>
        <v>-11599</v>
      </c>
      <c r="H37" s="11">
        <f t="shared" si="16"/>
        <v>-12325</v>
      </c>
      <c r="I37" s="11">
        <f t="shared" si="16"/>
        <v>-10085</v>
      </c>
      <c r="J37" s="11">
        <f t="shared" si="16"/>
        <v>-16688</v>
      </c>
      <c r="K37" s="11">
        <f t="shared" si="16"/>
        <v>-14771</v>
      </c>
      <c r="L37" s="11">
        <f t="shared" si="16"/>
        <v>-10998</v>
      </c>
      <c r="M37" s="11">
        <f t="shared" si="16"/>
        <v>-13119</v>
      </c>
      <c r="N37" s="11">
        <f t="shared" si="16"/>
        <v>-12012</v>
      </c>
      <c r="O37" s="11">
        <f t="shared" si="16"/>
        <v>-11229</v>
      </c>
    </row>
    <row r="38" spans="1:15" x14ac:dyDescent="0.3">
      <c r="A38" s="72">
        <f t="shared" si="1"/>
        <v>33</v>
      </c>
      <c r="B38" s="8" t="s">
        <v>107</v>
      </c>
      <c r="C38" s="23">
        <f t="shared" si="12"/>
        <v>-3641915.07</v>
      </c>
      <c r="D38" s="11">
        <f>-'[1]Sch 40 Dist Demand Rev (C)'!D64</f>
        <v>-255837.7</v>
      </c>
      <c r="E38" s="11">
        <f>-'[1]Sch 40 Dist Demand Rev (C)'!E64</f>
        <v>-281548.33</v>
      </c>
      <c r="F38" s="11">
        <f>-'[1]Sch 40 Dist Demand Rev (C)'!F64</f>
        <v>-302459.52999999997</v>
      </c>
      <c r="G38" s="11">
        <f>-'[1]Sch 40 Dist Demand Rev (C)'!G64</f>
        <v>-296000.73000000004</v>
      </c>
      <c r="H38" s="11">
        <f>-'[1]Sch 40 Dist Demand Rev (C)'!H64</f>
        <v>-322273.39999999997</v>
      </c>
      <c r="I38" s="11">
        <f>-'[1]Sch 40 Dist Demand Rev (C)'!I64</f>
        <v>-290121.5</v>
      </c>
      <c r="J38" s="11">
        <f>-'[1]Sch 40 Dist Demand Rev (C)'!J64</f>
        <v>-325309.97000000003</v>
      </c>
      <c r="K38" s="11">
        <f>-'[1]Sch 40 Dist Demand Rev (C)'!K64</f>
        <v>-347967.48000000004</v>
      </c>
      <c r="L38" s="11">
        <f>-'[1]Sch 40 Dist Demand Rev (C)'!L64</f>
        <v>-322109.61000000004</v>
      </c>
      <c r="M38" s="11">
        <f>-'[1]Sch 40 Dist Demand Rev (C)'!M64</f>
        <v>-257033.95</v>
      </c>
      <c r="N38" s="11">
        <f>-'[1]Sch 40 Dist Demand Rev (C)'!N64</f>
        <v>-334819.08999999997</v>
      </c>
      <c r="O38" s="11">
        <f>-'[1]Sch 40 Dist Demand Rev (C)'!O64</f>
        <v>-306433.77999999997</v>
      </c>
    </row>
    <row r="39" spans="1:15" x14ac:dyDescent="0.3">
      <c r="A39" s="72">
        <f t="shared" si="1"/>
        <v>34</v>
      </c>
      <c r="B39" s="5" t="s">
        <v>108</v>
      </c>
      <c r="C39" s="23">
        <f>SUM(C34:C38)</f>
        <v>-38010023.07</v>
      </c>
      <c r="D39" s="23">
        <f>SUM(D34:D38)</f>
        <v>-3168709.7</v>
      </c>
      <c r="E39" s="23">
        <f t="shared" ref="E39:O39" si="17">SUM(E34:E38)</f>
        <v>-3173912.33</v>
      </c>
      <c r="F39" s="23">
        <f t="shared" si="17"/>
        <v>-3211475.53</v>
      </c>
      <c r="G39" s="23">
        <f t="shared" si="17"/>
        <v>-3116394.73</v>
      </c>
      <c r="H39" s="23">
        <f t="shared" si="17"/>
        <v>-3152687.4</v>
      </c>
      <c r="I39" s="23">
        <f t="shared" si="17"/>
        <v>-2747903.5</v>
      </c>
      <c r="J39" s="23">
        <f t="shared" si="17"/>
        <v>-3551653.97</v>
      </c>
      <c r="K39" s="23">
        <f t="shared" si="17"/>
        <v>-3480672.48</v>
      </c>
      <c r="L39" s="23">
        <f t="shared" si="17"/>
        <v>-3206147.61</v>
      </c>
      <c r="M39" s="23">
        <f t="shared" si="17"/>
        <v>-2625380.9500000002</v>
      </c>
      <c r="N39" s="23">
        <f t="shared" si="17"/>
        <v>-3448312.09</v>
      </c>
      <c r="O39" s="23">
        <f t="shared" si="17"/>
        <v>-3126772.78</v>
      </c>
    </row>
    <row r="40" spans="1:15" x14ac:dyDescent="0.3">
      <c r="A40" s="72">
        <f t="shared" si="1"/>
        <v>35</v>
      </c>
      <c r="C40" s="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3">
      <c r="A41" s="72">
        <f t="shared" si="1"/>
        <v>36</v>
      </c>
      <c r="B41" s="12" t="s">
        <v>20</v>
      </c>
      <c r="C41" s="6">
        <f>SUM(D41:O41)</f>
        <v>18911070.058978755</v>
      </c>
      <c r="D41" s="14">
        <f>-+'[1]Sch 40 Campus Svc'!D77</f>
        <v>2647329.3317060322</v>
      </c>
      <c r="E41" s="14">
        <f>-+'[1]Sch 40 Campus Svc'!E77</f>
        <v>3963059.3000909127</v>
      </c>
      <c r="F41" s="14">
        <f>-+'[1]Sch 40 Campus Svc'!F77</f>
        <v>3795085.7180909067</v>
      </c>
      <c r="G41" s="14">
        <f>-+'[1]Sch 40 Campus Svc'!G77</f>
        <v>-2226916.5209999997</v>
      </c>
      <c r="H41" s="14">
        <f>-+'[1]Sch 40 Campus Svc'!H77</f>
        <v>792999.13918181881</v>
      </c>
      <c r="I41" s="14">
        <f>-+'[1]Sch 40 Campus Svc'!I77</f>
        <v>-1713397.8181818184</v>
      </c>
      <c r="J41" s="14">
        <f>-+'[1]Sch 40 Campus Svc'!J77</f>
        <v>465821</v>
      </c>
      <c r="K41" s="14">
        <f>-+'[1]Sch 40 Campus Svc'!K77</f>
        <v>4695941</v>
      </c>
      <c r="L41" s="14">
        <f>-+'[1]Sch 40 Campus Svc'!L77</f>
        <v>2177486</v>
      </c>
      <c r="M41" s="14">
        <f>-+'[1]Sch 40 Campus Svc'!M77</f>
        <v>-5823482</v>
      </c>
      <c r="N41" s="14">
        <f>-+'[1]Sch 40 Campus Svc'!N77</f>
        <v>10601011.454545453</v>
      </c>
      <c r="O41" s="14">
        <f>-+'[1]Sch 40 Campus Svc'!O77</f>
        <v>-463866.5454545496</v>
      </c>
    </row>
    <row r="42" spans="1:15" x14ac:dyDescent="0.3">
      <c r="A42" s="72">
        <f t="shared" si="1"/>
        <v>37</v>
      </c>
      <c r="B42" s="12" t="s">
        <v>21</v>
      </c>
      <c r="C42" s="10"/>
      <c r="D42" s="10">
        <f t="shared" ref="D42:O42" si="18">+D39/D13</f>
        <v>6.9267883752290135E-2</v>
      </c>
      <c r="E42" s="10">
        <f t="shared" si="18"/>
        <v>7.2249592816544028E-2</v>
      </c>
      <c r="F42" s="10">
        <f t="shared" si="18"/>
        <v>7.2162689939983732E-2</v>
      </c>
      <c r="G42" s="10">
        <f t="shared" si="18"/>
        <v>7.3238958463353626E-2</v>
      </c>
      <c r="H42" s="10">
        <f t="shared" si="18"/>
        <v>7.48892050082543E-2</v>
      </c>
      <c r="I42" s="10">
        <f t="shared" si="18"/>
        <v>7.5379216309519034E-2</v>
      </c>
      <c r="J42" s="10">
        <f t="shared" si="18"/>
        <v>7.2903235480420325E-2</v>
      </c>
      <c r="K42" s="10">
        <f t="shared" si="18"/>
        <v>7.4538747938293584E-2</v>
      </c>
      <c r="L42" s="10">
        <f t="shared" si="18"/>
        <v>7.390945374576198E-2</v>
      </c>
      <c r="M42" s="10">
        <f t="shared" si="18"/>
        <v>7.4912241985817141E-2</v>
      </c>
      <c r="N42" s="10">
        <f t="shared" si="18"/>
        <v>7.3125073889825712E-2</v>
      </c>
      <c r="O42" s="10">
        <f t="shared" si="18"/>
        <v>7.3975300911138159E-2</v>
      </c>
    </row>
    <row r="43" spans="1:15" x14ac:dyDescent="0.3">
      <c r="A43" s="72">
        <f t="shared" si="1"/>
        <v>38</v>
      </c>
      <c r="B43" s="12" t="s">
        <v>22</v>
      </c>
      <c r="C43" s="11">
        <f>SUM(D43:O43)</f>
        <v>1360265</v>
      </c>
      <c r="D43" s="11">
        <f>ROUND(+D41*D42,0)</f>
        <v>183375</v>
      </c>
      <c r="E43" s="11">
        <f t="shared" ref="E43:O43" si="19">ROUND(+E41*E42,0)</f>
        <v>286329</v>
      </c>
      <c r="F43" s="11">
        <f t="shared" si="19"/>
        <v>273864</v>
      </c>
      <c r="G43" s="11">
        <f t="shared" si="19"/>
        <v>-163097</v>
      </c>
      <c r="H43" s="11">
        <f t="shared" si="19"/>
        <v>59387</v>
      </c>
      <c r="I43" s="11">
        <f t="shared" si="19"/>
        <v>-129155</v>
      </c>
      <c r="J43" s="11">
        <f t="shared" si="19"/>
        <v>33960</v>
      </c>
      <c r="K43" s="11">
        <f t="shared" si="19"/>
        <v>350030</v>
      </c>
      <c r="L43" s="11">
        <f t="shared" si="19"/>
        <v>160937</v>
      </c>
      <c r="M43" s="11">
        <f t="shared" si="19"/>
        <v>-436250</v>
      </c>
      <c r="N43" s="11">
        <f t="shared" si="19"/>
        <v>775200</v>
      </c>
      <c r="O43" s="11">
        <f t="shared" si="19"/>
        <v>-34315</v>
      </c>
    </row>
    <row r="44" spans="1:15" x14ac:dyDescent="0.3">
      <c r="A44" s="78">
        <f t="shared" si="1"/>
        <v>39</v>
      </c>
    </row>
    <row r="45" spans="1:15" x14ac:dyDescent="0.3">
      <c r="A45" s="78">
        <f t="shared" si="1"/>
        <v>40</v>
      </c>
    </row>
    <row r="46" spans="1:15" x14ac:dyDescent="0.3">
      <c r="A46" s="78">
        <f t="shared" si="1"/>
        <v>41</v>
      </c>
    </row>
    <row r="47" spans="1:15" x14ac:dyDescent="0.3">
      <c r="A47" s="78">
        <f t="shared" si="1"/>
        <v>42</v>
      </c>
      <c r="B47" s="5" t="s">
        <v>154</v>
      </c>
    </row>
    <row r="48" spans="1:15" x14ac:dyDescent="0.3">
      <c r="A48" s="78">
        <f t="shared" si="1"/>
        <v>43</v>
      </c>
      <c r="B48" s="8" t="s">
        <v>155</v>
      </c>
      <c r="C48" s="17">
        <f t="shared" ref="C48" si="20">SUM(D48:O48)</f>
        <v>885452</v>
      </c>
      <c r="D48" s="13">
        <f>+'[1]Sch 40 Migration (C)'!C7</f>
        <v>81070</v>
      </c>
      <c r="E48" s="13">
        <f>+'[1]Sch 40 Migration (C)'!D7</f>
        <v>78770</v>
      </c>
      <c r="F48" s="13">
        <f>+'[1]Sch 40 Migration (C)'!E7</f>
        <v>74240</v>
      </c>
      <c r="G48" s="13">
        <f>+'[1]Sch 40 Migration (C)'!F7</f>
        <v>69920</v>
      </c>
      <c r="H48" s="13">
        <f>+'[1]Sch 40 Migration (C)'!G7</f>
        <v>70670</v>
      </c>
      <c r="I48" s="13">
        <f>+'[1]Sch 40 Migration (C)'!H7</f>
        <v>65940</v>
      </c>
      <c r="J48" s="13">
        <f>+'[1]Sch 40 Migration (C)'!I7</f>
        <v>75103</v>
      </c>
      <c r="K48" s="13">
        <f>+'[1]Sch 40 Migration (C)'!J7</f>
        <v>74291</v>
      </c>
      <c r="L48" s="13">
        <f>+'[1]Sch 40 Migration (C)'!K7</f>
        <v>68291</v>
      </c>
      <c r="M48" s="13">
        <f>+'[1]Sch 40 Migration (C)'!L7</f>
        <v>67306</v>
      </c>
      <c r="N48" s="13">
        <f>+'[1]Sch 40 Migration (C)'!M7</f>
        <v>80440</v>
      </c>
      <c r="O48" s="13">
        <f>+'[1]Sch 40 Migration (C)'!N7</f>
        <v>79411</v>
      </c>
    </row>
    <row r="49" spans="1:15" x14ac:dyDescent="0.3">
      <c r="A49" s="78">
        <f t="shared" si="1"/>
        <v>44</v>
      </c>
      <c r="B49" s="8" t="s">
        <v>156</v>
      </c>
      <c r="C49" s="17">
        <f t="shared" ref="C49:C51" si="21">SUM(D49:O49)</f>
        <v>7019699</v>
      </c>
      <c r="D49" s="13">
        <f>+'[1]Sch 40 Migration (C)'!C10</f>
        <v>661629</v>
      </c>
      <c r="E49" s="13">
        <f>+'[1]Sch 40 Migration (C)'!D10</f>
        <v>618970</v>
      </c>
      <c r="F49" s="13">
        <f>+'[1]Sch 40 Migration (C)'!E10</f>
        <v>653150</v>
      </c>
      <c r="G49" s="13">
        <f>+'[1]Sch 40 Migration (C)'!F10</f>
        <v>565765</v>
      </c>
      <c r="H49" s="13">
        <f>+'[1]Sch 40 Migration (C)'!G10</f>
        <v>569485</v>
      </c>
      <c r="I49" s="13">
        <f>+'[1]Sch 40 Migration (C)'!H10</f>
        <v>556980</v>
      </c>
      <c r="J49" s="13">
        <f>+'[1]Sch 40 Migration (C)'!I10</f>
        <v>568080</v>
      </c>
      <c r="K49" s="13">
        <f>+'[1]Sch 40 Migration (C)'!J10</f>
        <v>629730</v>
      </c>
      <c r="L49" s="13">
        <f>+'[1]Sch 40 Migration (C)'!K10</f>
        <v>597670</v>
      </c>
      <c r="M49" s="13">
        <f>+'[1]Sch 40 Migration (C)'!L10</f>
        <v>565630</v>
      </c>
      <c r="N49" s="13">
        <f>+'[1]Sch 40 Migration (C)'!M10</f>
        <v>493120</v>
      </c>
      <c r="O49" s="13">
        <f>+'[1]Sch 40 Migration (C)'!N10</f>
        <v>539490</v>
      </c>
    </row>
    <row r="50" spans="1:15" x14ac:dyDescent="0.3">
      <c r="A50" s="78">
        <f t="shared" si="1"/>
        <v>45</v>
      </c>
      <c r="B50" s="8" t="s">
        <v>157</v>
      </c>
      <c r="C50" s="17">
        <f t="shared" si="21"/>
        <v>45633300</v>
      </c>
      <c r="D50" s="13">
        <f>+'[1]Sch 40 Migration (C)'!C14</f>
        <v>3822900</v>
      </c>
      <c r="E50" s="13">
        <f>+'[1]Sch 40 Migration (C)'!D14</f>
        <v>3436860</v>
      </c>
      <c r="F50" s="13">
        <f>+'[1]Sch 40 Migration (C)'!E14</f>
        <v>3975840</v>
      </c>
      <c r="G50" s="13">
        <f>+'[1]Sch 40 Migration (C)'!F14</f>
        <v>3499620</v>
      </c>
      <c r="H50" s="13">
        <f>+'[1]Sch 40 Migration (C)'!G14</f>
        <v>3722975</v>
      </c>
      <c r="I50" s="13">
        <f>+'[1]Sch 40 Migration (C)'!H14</f>
        <v>2550445</v>
      </c>
      <c r="J50" s="13">
        <f>+'[1]Sch 40 Migration (C)'!I14</f>
        <v>5056860</v>
      </c>
      <c r="K50" s="13">
        <f>+'[1]Sch 40 Migration (C)'!J14</f>
        <v>4361040</v>
      </c>
      <c r="L50" s="13">
        <f>+'[1]Sch 40 Migration (C)'!K14</f>
        <v>4130460</v>
      </c>
      <c r="M50" s="13">
        <f>+'[1]Sch 40 Migration (C)'!L14</f>
        <v>3677160</v>
      </c>
      <c r="N50" s="13">
        <f>+'[1]Sch 40 Migration (C)'!M14</f>
        <v>3361260</v>
      </c>
      <c r="O50" s="13">
        <f>+'[1]Sch 40 Migration (C)'!N14</f>
        <v>4037880</v>
      </c>
    </row>
    <row r="51" spans="1:15" x14ac:dyDescent="0.3">
      <c r="A51" s="78">
        <f t="shared" si="1"/>
        <v>46</v>
      </c>
      <c r="B51" s="8" t="s">
        <v>158</v>
      </c>
      <c r="C51" s="17">
        <f t="shared" si="21"/>
        <v>113613600</v>
      </c>
      <c r="D51" s="13">
        <f>+'[1]Sch 40 Migration (C)'!C18</f>
        <v>9168000</v>
      </c>
      <c r="E51" s="13">
        <f>+'[1]Sch 40 Migration (C)'!D18</f>
        <v>11556000</v>
      </c>
      <c r="F51" s="13">
        <f>+'[1]Sch 40 Migration (C)'!E18</f>
        <v>7070400</v>
      </c>
      <c r="G51" s="13">
        <f>+'[1]Sch 40 Migration (C)'!F18</f>
        <v>8762400</v>
      </c>
      <c r="H51" s="13">
        <f>+'[1]Sch 40 Migration (C)'!G18</f>
        <v>9108000</v>
      </c>
      <c r="I51" s="13">
        <f>+'[1]Sch 40 Migration (C)'!H18</f>
        <v>5971200</v>
      </c>
      <c r="J51" s="13">
        <f>+'[1]Sch 40 Migration (C)'!I18</f>
        <v>13627200</v>
      </c>
      <c r="K51" s="13">
        <f>+'[1]Sch 40 Migration (C)'!J18</f>
        <v>10075200</v>
      </c>
      <c r="L51" s="13">
        <f>+'[1]Sch 40 Migration (C)'!K18</f>
        <v>8582400</v>
      </c>
      <c r="M51" s="13">
        <f>+'[1]Sch 40 Migration (C)'!L18</f>
        <v>13231200</v>
      </c>
      <c r="N51" s="13">
        <f>+'[1]Sch 40 Migration (C)'!M18</f>
        <v>7255200</v>
      </c>
      <c r="O51" s="13">
        <f>+'[1]Sch 40 Migration (C)'!N18</f>
        <v>9206400</v>
      </c>
    </row>
    <row r="52" spans="1:15" x14ac:dyDescent="0.3">
      <c r="A52" s="78">
        <f t="shared" si="1"/>
        <v>47</v>
      </c>
      <c r="B52" s="8" t="s">
        <v>159</v>
      </c>
      <c r="C52" s="17">
        <f t="shared" ref="C52" si="22">SUM(D52:O52)</f>
        <v>351393396</v>
      </c>
      <c r="D52" s="13">
        <f>+'[1]Sch 40 Migration (C)'!C22</f>
        <v>32012128</v>
      </c>
      <c r="E52" s="13">
        <f>+'[1]Sch 40 Migration (C)'!D22</f>
        <v>28239230</v>
      </c>
      <c r="F52" s="13">
        <f>+'[1]Sch 40 Migration (C)'!E22</f>
        <v>32729638</v>
      </c>
      <c r="G52" s="13">
        <f>+'[1]Sch 40 Migration (C)'!F22</f>
        <v>29653347</v>
      </c>
      <c r="H52" s="13">
        <f>+'[1]Sch 40 Migration (C)'!G22</f>
        <v>28626892</v>
      </c>
      <c r="I52" s="13">
        <f>+'[1]Sch 40 Migration (C)'!H22</f>
        <v>27309827</v>
      </c>
      <c r="J52" s="13">
        <f>+'[1]Sch 40 Migration (C)'!I22</f>
        <v>29390128</v>
      </c>
      <c r="K52" s="13">
        <f>+'[1]Sch 40 Migration (C)'!J22</f>
        <v>31555888</v>
      </c>
      <c r="L52" s="13">
        <f>+'[1]Sch 40 Migration (C)'!K22</f>
        <v>30000577</v>
      </c>
      <c r="M52" s="13">
        <f>+'[1]Sch 40 Migration (C)'!L22</f>
        <v>17504791</v>
      </c>
      <c r="N52" s="13">
        <f>+'[1]Sch 40 Migration (C)'!M22</f>
        <v>35966337</v>
      </c>
      <c r="O52" s="13">
        <f>+'[1]Sch 40 Migration (C)'!N22</f>
        <v>28404613</v>
      </c>
    </row>
    <row r="53" spans="1:15" x14ac:dyDescent="0.3">
      <c r="A53" s="78">
        <f t="shared" si="1"/>
        <v>48</v>
      </c>
      <c r="B53" s="27" t="s">
        <v>117</v>
      </c>
      <c r="C53" s="13">
        <f>SUM(C48:C52)</f>
        <v>518545447</v>
      </c>
      <c r="D53" s="13">
        <f>SUM(D48:D52)</f>
        <v>45745727</v>
      </c>
      <c r="E53" s="13">
        <f t="shared" ref="E53:O53" si="23">SUM(E48:E52)</f>
        <v>43929830</v>
      </c>
      <c r="F53" s="13">
        <f t="shared" si="23"/>
        <v>44503268</v>
      </c>
      <c r="G53" s="13">
        <f t="shared" si="23"/>
        <v>42551052</v>
      </c>
      <c r="H53" s="13">
        <f t="shared" si="23"/>
        <v>42098022</v>
      </c>
      <c r="I53" s="13">
        <f t="shared" si="23"/>
        <v>36454392</v>
      </c>
      <c r="J53" s="13">
        <f t="shared" si="23"/>
        <v>48717371</v>
      </c>
      <c r="K53" s="13">
        <f t="shared" si="23"/>
        <v>46696149</v>
      </c>
      <c r="L53" s="13">
        <f t="shared" si="23"/>
        <v>43379398</v>
      </c>
      <c r="M53" s="13">
        <f t="shared" si="23"/>
        <v>35046087</v>
      </c>
      <c r="N53" s="13">
        <f t="shared" si="23"/>
        <v>47156357</v>
      </c>
      <c r="O53" s="13">
        <f t="shared" si="23"/>
        <v>42267794</v>
      </c>
    </row>
    <row r="54" spans="1:15" x14ac:dyDescent="0.3">
      <c r="A54" s="78">
        <f t="shared" si="1"/>
        <v>49</v>
      </c>
      <c r="D54" s="13">
        <f>+D53+D13</f>
        <v>0</v>
      </c>
      <c r="E54" s="13">
        <f t="shared" ref="E54:O54" si="24">+E53+E13</f>
        <v>0</v>
      </c>
      <c r="F54" s="13">
        <f t="shared" si="24"/>
        <v>0</v>
      </c>
      <c r="G54" s="13">
        <f t="shared" si="24"/>
        <v>0</v>
      </c>
      <c r="H54" s="13">
        <f t="shared" si="24"/>
        <v>0</v>
      </c>
      <c r="I54" s="13">
        <f t="shared" si="24"/>
        <v>0</v>
      </c>
      <c r="J54" s="13">
        <f t="shared" si="24"/>
        <v>0</v>
      </c>
      <c r="K54" s="13">
        <f t="shared" si="24"/>
        <v>0</v>
      </c>
      <c r="L54" s="13">
        <f t="shared" si="24"/>
        <v>0</v>
      </c>
      <c r="M54" s="13">
        <f t="shared" si="24"/>
        <v>0</v>
      </c>
      <c r="N54" s="13">
        <f t="shared" si="24"/>
        <v>0</v>
      </c>
      <c r="O54" s="13">
        <f t="shared" si="24"/>
        <v>0</v>
      </c>
    </row>
    <row r="55" spans="1:15" x14ac:dyDescent="0.3">
      <c r="A55" s="78">
        <f t="shared" si="1"/>
        <v>50</v>
      </c>
      <c r="B55" t="s">
        <v>153</v>
      </c>
    </row>
    <row r="56" spans="1:15" x14ac:dyDescent="0.3">
      <c r="A56" s="78">
        <f t="shared" si="1"/>
        <v>51</v>
      </c>
      <c r="B56" s="8" t="s">
        <v>155</v>
      </c>
      <c r="C56" s="17">
        <f t="shared" ref="C56:C60" si="25">SUM(D56:O56)</f>
        <v>-30347</v>
      </c>
      <c r="D56" s="13">
        <f>ROUND(+D48/D$53*-D$41,0)</f>
        <v>-4692</v>
      </c>
      <c r="E56" s="13">
        <f t="shared" ref="E56:O56" si="26">ROUND(+E48/E$53*-E$41,0)</f>
        <v>-7106</v>
      </c>
      <c r="F56" s="13">
        <f t="shared" si="26"/>
        <v>-6331</v>
      </c>
      <c r="G56" s="13">
        <f t="shared" si="26"/>
        <v>3659</v>
      </c>
      <c r="H56" s="13">
        <f t="shared" si="26"/>
        <v>-1331</v>
      </c>
      <c r="I56" s="13">
        <f t="shared" si="26"/>
        <v>3099</v>
      </c>
      <c r="J56" s="13">
        <f t="shared" si="26"/>
        <v>-718</v>
      </c>
      <c r="K56" s="13">
        <f t="shared" si="26"/>
        <v>-7471</v>
      </c>
      <c r="L56" s="13">
        <f t="shared" si="26"/>
        <v>-3428</v>
      </c>
      <c r="M56" s="13">
        <f t="shared" si="26"/>
        <v>11184</v>
      </c>
      <c r="N56" s="13">
        <f t="shared" si="26"/>
        <v>-18083</v>
      </c>
      <c r="O56" s="13">
        <f t="shared" si="26"/>
        <v>871</v>
      </c>
    </row>
    <row r="57" spans="1:15" x14ac:dyDescent="0.3">
      <c r="A57" s="78">
        <f t="shared" si="1"/>
        <v>52</v>
      </c>
      <c r="B57" s="8" t="s">
        <v>156</v>
      </c>
      <c r="C57" s="17">
        <f t="shared" si="25"/>
        <v>-214472</v>
      </c>
      <c r="D57" s="13">
        <f t="shared" ref="D57:O57" si="27">ROUND(+D49/D$53*-D$41,0)</f>
        <v>-38289</v>
      </c>
      <c r="E57" s="13">
        <f t="shared" si="27"/>
        <v>-55839</v>
      </c>
      <c r="F57" s="13">
        <f t="shared" si="27"/>
        <v>-55698</v>
      </c>
      <c r="G57" s="13">
        <f t="shared" si="27"/>
        <v>29609</v>
      </c>
      <c r="H57" s="13">
        <f t="shared" si="27"/>
        <v>-10727</v>
      </c>
      <c r="I57" s="13">
        <f t="shared" si="27"/>
        <v>26179</v>
      </c>
      <c r="J57" s="13">
        <f t="shared" si="27"/>
        <v>-5432</v>
      </c>
      <c r="K57" s="13">
        <f t="shared" si="27"/>
        <v>-63328</v>
      </c>
      <c r="L57" s="13">
        <f t="shared" si="27"/>
        <v>-30001</v>
      </c>
      <c r="M57" s="13">
        <f t="shared" si="27"/>
        <v>93989</v>
      </c>
      <c r="N57" s="13">
        <f t="shared" si="27"/>
        <v>-110856</v>
      </c>
      <c r="O57" s="13">
        <f t="shared" si="27"/>
        <v>5921</v>
      </c>
    </row>
    <row r="58" spans="1:15" x14ac:dyDescent="0.3">
      <c r="A58" s="78">
        <f t="shared" si="1"/>
        <v>53</v>
      </c>
      <c r="B58" s="8" t="s">
        <v>157</v>
      </c>
      <c r="C58" s="17">
        <f t="shared" si="25"/>
        <v>-1431978</v>
      </c>
      <c r="D58" s="13">
        <f t="shared" ref="D58:O58" si="28">ROUND(+D50/D$53*-D$41,0)</f>
        <v>-221233</v>
      </c>
      <c r="E58" s="13">
        <f t="shared" si="28"/>
        <v>-310051</v>
      </c>
      <c r="F58" s="13">
        <f t="shared" si="28"/>
        <v>-339046</v>
      </c>
      <c r="G58" s="13">
        <f t="shared" si="28"/>
        <v>183153</v>
      </c>
      <c r="H58" s="13">
        <f t="shared" si="28"/>
        <v>-70130</v>
      </c>
      <c r="I58" s="13">
        <f t="shared" si="28"/>
        <v>119874</v>
      </c>
      <c r="J58" s="13">
        <f t="shared" si="28"/>
        <v>-48352</v>
      </c>
      <c r="K58" s="13">
        <f t="shared" si="28"/>
        <v>-438563</v>
      </c>
      <c r="L58" s="13">
        <f t="shared" si="28"/>
        <v>-207334</v>
      </c>
      <c r="M58" s="13">
        <f t="shared" si="28"/>
        <v>611020</v>
      </c>
      <c r="N58" s="13">
        <f t="shared" si="28"/>
        <v>-755630</v>
      </c>
      <c r="O58" s="13">
        <f t="shared" si="28"/>
        <v>44314</v>
      </c>
    </row>
    <row r="59" spans="1:15" x14ac:dyDescent="0.3">
      <c r="A59" s="78">
        <f t="shared" si="1"/>
        <v>54</v>
      </c>
      <c r="B59" s="8" t="s">
        <v>158</v>
      </c>
      <c r="C59" s="17">
        <f t="shared" si="25"/>
        <v>-2514031</v>
      </c>
      <c r="D59" s="13">
        <f t="shared" ref="D59:O59" si="29">ROUND(+D51/D$53*-D$41,0)</f>
        <v>-530557</v>
      </c>
      <c r="E59" s="13">
        <f t="shared" si="29"/>
        <v>-1042506</v>
      </c>
      <c r="F59" s="13">
        <f t="shared" si="29"/>
        <v>-602939</v>
      </c>
      <c r="G59" s="13">
        <f t="shared" si="29"/>
        <v>458582</v>
      </c>
      <c r="H59" s="13">
        <f t="shared" si="29"/>
        <v>-171567</v>
      </c>
      <c r="I59" s="13">
        <f t="shared" si="29"/>
        <v>280653</v>
      </c>
      <c r="J59" s="13">
        <f t="shared" si="29"/>
        <v>-130299</v>
      </c>
      <c r="K59" s="13">
        <f t="shared" si="29"/>
        <v>-1013200</v>
      </c>
      <c r="L59" s="13">
        <f t="shared" si="29"/>
        <v>-430805</v>
      </c>
      <c r="M59" s="13">
        <f t="shared" si="29"/>
        <v>2198581</v>
      </c>
      <c r="N59" s="13">
        <f t="shared" si="29"/>
        <v>-1631009</v>
      </c>
      <c r="O59" s="13">
        <f t="shared" si="29"/>
        <v>101035</v>
      </c>
    </row>
    <row r="60" spans="1:15" x14ac:dyDescent="0.3">
      <c r="A60" s="78">
        <f t="shared" si="1"/>
        <v>55</v>
      </c>
      <c r="B60" s="8" t="s">
        <v>159</v>
      </c>
      <c r="C60" s="17">
        <f t="shared" si="25"/>
        <v>-14720240</v>
      </c>
      <c r="D60" s="13">
        <f>ROUND(+D52/D$53*-D$41,0)+1</f>
        <v>-1852558</v>
      </c>
      <c r="E60" s="13">
        <f t="shared" ref="E60:O60" si="30">ROUND(+E52/E$53*-E$41,0)</f>
        <v>-2547557</v>
      </c>
      <c r="F60" s="13">
        <f>ROUND(+F52/F$53*-F$41,0)-1</f>
        <v>-2791072</v>
      </c>
      <c r="G60" s="13">
        <f>ROUND(+G52/G$53*-G$41,0)+1</f>
        <v>1551914</v>
      </c>
      <c r="H60" s="13">
        <f t="shared" si="30"/>
        <v>-539244</v>
      </c>
      <c r="I60" s="13">
        <f t="shared" si="30"/>
        <v>1283593</v>
      </c>
      <c r="J60" s="13">
        <f t="shared" si="30"/>
        <v>-281020</v>
      </c>
      <c r="K60" s="13">
        <f t="shared" si="30"/>
        <v>-3173379</v>
      </c>
      <c r="L60" s="13">
        <f t="shared" si="30"/>
        <v>-1505918</v>
      </c>
      <c r="M60" s="13">
        <f t="shared" si="30"/>
        <v>2908708</v>
      </c>
      <c r="N60" s="13">
        <f t="shared" si="30"/>
        <v>-8085433</v>
      </c>
      <c r="O60" s="13">
        <f t="shared" si="30"/>
        <v>311726</v>
      </c>
    </row>
    <row r="61" spans="1:15" x14ac:dyDescent="0.3">
      <c r="A61" s="78">
        <f t="shared" si="1"/>
        <v>56</v>
      </c>
      <c r="B61" s="27" t="s">
        <v>117</v>
      </c>
      <c r="C61" s="13">
        <f>SUM(C56:C60)</f>
        <v>-18911068</v>
      </c>
      <c r="D61" s="13">
        <f>SUM(D56:D60)</f>
        <v>-2647329</v>
      </c>
      <c r="E61" s="13">
        <f t="shared" ref="E61" si="31">SUM(E56:E60)</f>
        <v>-3963059</v>
      </c>
      <c r="F61" s="13">
        <f t="shared" ref="F61" si="32">SUM(F56:F60)</f>
        <v>-3795086</v>
      </c>
      <c r="G61" s="13">
        <f t="shared" ref="G61" si="33">SUM(G56:G60)</f>
        <v>2226917</v>
      </c>
      <c r="H61" s="13">
        <f t="shared" ref="H61" si="34">SUM(H56:H60)</f>
        <v>-792999</v>
      </c>
      <c r="I61" s="13">
        <f t="shared" ref="I61" si="35">SUM(I56:I60)</f>
        <v>1713398</v>
      </c>
      <c r="J61" s="13">
        <f t="shared" ref="J61" si="36">SUM(J56:J60)</f>
        <v>-465821</v>
      </c>
      <c r="K61" s="13">
        <f t="shared" ref="K61" si="37">SUM(K56:K60)</f>
        <v>-4695941</v>
      </c>
      <c r="L61" s="13">
        <f t="shared" ref="L61" si="38">SUM(L56:L60)</f>
        <v>-2177486</v>
      </c>
      <c r="M61" s="13">
        <f t="shared" ref="M61" si="39">SUM(M56:M60)</f>
        <v>5823482</v>
      </c>
      <c r="N61" s="13">
        <f t="shared" ref="N61" si="40">SUM(N56:N60)</f>
        <v>-10601011</v>
      </c>
      <c r="O61" s="13">
        <f t="shared" ref="O61" si="41">SUM(O56:O60)</f>
        <v>463867</v>
      </c>
    </row>
    <row r="62" spans="1:15" x14ac:dyDescent="0.3">
      <c r="D62" s="77">
        <f>+D61+D41</f>
        <v>0.33170603215694427</v>
      </c>
      <c r="E62" s="77">
        <f t="shared" ref="E62:O62" si="42">+E61+E41</f>
        <v>0.30009091272950172</v>
      </c>
      <c r="F62" s="77">
        <f t="shared" si="42"/>
        <v>-0.28190909326076508</v>
      </c>
      <c r="G62" s="77">
        <f t="shared" si="42"/>
        <v>0.47900000028312206</v>
      </c>
      <c r="H62" s="77">
        <f t="shared" si="42"/>
        <v>0.13918181881308556</v>
      </c>
      <c r="I62" s="77">
        <f t="shared" si="42"/>
        <v>0.18181818164885044</v>
      </c>
      <c r="J62" s="77">
        <f t="shared" si="42"/>
        <v>0</v>
      </c>
      <c r="K62" s="77">
        <f t="shared" si="42"/>
        <v>0</v>
      </c>
      <c r="L62" s="77">
        <f t="shared" si="42"/>
        <v>0</v>
      </c>
      <c r="M62" s="77">
        <f t="shared" si="42"/>
        <v>0</v>
      </c>
      <c r="N62" s="77">
        <f t="shared" si="42"/>
        <v>0.45454545319080353</v>
      </c>
      <c r="O62" s="77">
        <f t="shared" si="42"/>
        <v>0.4545454503968358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4" orientation="landscape" r:id="rId1"/>
  <headerFooter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zoomScale="90" zoomScaleNormal="90" workbookViewId="0">
      <pane xSplit="4" ySplit="5" topLeftCell="E16" activePane="bottomRight" state="frozen"/>
      <selection sqref="A1:T37"/>
      <selection pane="topRight" sqref="A1:T37"/>
      <selection pane="bottomLeft" sqref="A1:T37"/>
      <selection pane="bottomRight" activeCell="D17" sqref="D17"/>
    </sheetView>
  </sheetViews>
  <sheetFormatPr defaultRowHeight="14.4" x14ac:dyDescent="0.3"/>
  <cols>
    <col min="1" max="1" width="4.5546875" bestFit="1" customWidth="1"/>
    <col min="2" max="2" width="50.77734375" bestFit="1" customWidth="1"/>
    <col min="3" max="3" width="15" bestFit="1" customWidth="1"/>
    <col min="4" max="15" width="12.21875" bestFit="1" customWidth="1"/>
    <col min="16" max="16" width="15" customWidth="1"/>
    <col min="17" max="17" width="15.6640625" bestFit="1" customWidth="1"/>
    <col min="18" max="18" width="11.6640625" bestFit="1" customWidth="1"/>
    <col min="19" max="19" width="5.21875" customWidth="1"/>
    <col min="20" max="20" width="6.109375" bestFit="1" customWidth="1"/>
    <col min="21" max="21" width="4.44140625" bestFit="1" customWidth="1"/>
    <col min="22" max="22" width="20.5546875" customWidth="1"/>
    <col min="23" max="23" width="9.33203125" bestFit="1" customWidth="1"/>
    <col min="24" max="24" width="5" bestFit="1" customWidth="1"/>
    <col min="25" max="28" width="7.88671875" bestFit="1" customWidth="1"/>
  </cols>
  <sheetData>
    <row r="1" spans="1:28" x14ac:dyDescent="0.3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3">
      <c r="A2" s="98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3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3.2" x14ac:dyDescent="0.3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3">
      <c r="A6" s="25">
        <v>1</v>
      </c>
      <c r="B6" t="s">
        <v>16</v>
      </c>
      <c r="C6" s="22">
        <f t="shared" ref="C6" si="0">SUM(D6:O6)</f>
        <v>351393396</v>
      </c>
      <c r="D6" s="22">
        <f>+'[1]Sch 40 Migration (C)'!C22</f>
        <v>32012128</v>
      </c>
      <c r="E6" s="22">
        <f>+'[1]Sch 40 Migration (C)'!D22</f>
        <v>28239230</v>
      </c>
      <c r="F6" s="22">
        <f>+'[1]Sch 40 Migration (C)'!E22</f>
        <v>32729638</v>
      </c>
      <c r="G6" s="22">
        <f>+'[1]Sch 40 Migration (C)'!F22</f>
        <v>29653347</v>
      </c>
      <c r="H6" s="22">
        <f>+'[1]Sch 40 Migration (C)'!G22</f>
        <v>28626892</v>
      </c>
      <c r="I6" s="22">
        <f>+'[1]Sch 40 Migration (C)'!H22</f>
        <v>27309827</v>
      </c>
      <c r="J6" s="22">
        <f>+'[1]Sch 40 Migration (C)'!I22</f>
        <v>29390128</v>
      </c>
      <c r="K6" s="22">
        <f>+'[1]Sch 40 Migration (C)'!J22</f>
        <v>31555888</v>
      </c>
      <c r="L6" s="22">
        <f>+'[1]Sch 40 Migration (C)'!K22</f>
        <v>30000577</v>
      </c>
      <c r="M6" s="22">
        <f>+'[1]Sch 40 Migration (C)'!L22</f>
        <v>17504791</v>
      </c>
      <c r="N6" s="22">
        <f>+'[1]Sch 40 Migration (C)'!M22</f>
        <v>35966337</v>
      </c>
      <c r="O6" s="22">
        <f>+'[1]Sch 40 Migration (C)'!N22</f>
        <v>28404613</v>
      </c>
    </row>
    <row r="7" spans="1:28" x14ac:dyDescent="0.3">
      <c r="A7" s="25">
        <f>+A6+1</f>
        <v>2</v>
      </c>
      <c r="C7" s="22"/>
      <c r="D7" s="14">
        <f>+'Sch 40 Campus Svc'!D54</f>
        <v>0</v>
      </c>
      <c r="E7" s="14">
        <f>+'Sch 40 Campus Svc'!E54</f>
        <v>0</v>
      </c>
      <c r="F7" s="14">
        <f>+'Sch 40 Campus Svc'!F54</f>
        <v>0</v>
      </c>
      <c r="G7" s="14">
        <f>+'Sch 40 Campus Svc'!G54</f>
        <v>0</v>
      </c>
      <c r="H7" s="14">
        <f>+'Sch 40 Campus Svc'!H54</f>
        <v>0</v>
      </c>
      <c r="I7" s="14">
        <f>+'Sch 40 Campus Svc'!I54</f>
        <v>0</v>
      </c>
      <c r="J7" s="14">
        <f>+'Sch 40 Campus Svc'!J54</f>
        <v>0</v>
      </c>
      <c r="K7" s="14">
        <f>+'Sch 40 Campus Svc'!K54</f>
        <v>0</v>
      </c>
      <c r="L7" s="14">
        <f>+'Sch 40 Campus Svc'!L54</f>
        <v>0</v>
      </c>
      <c r="M7" s="14">
        <f>+'Sch 40 Campus Svc'!M54</f>
        <v>0</v>
      </c>
      <c r="N7" s="14">
        <f>+'Sch 40 Campus Svc'!N54</f>
        <v>0</v>
      </c>
      <c r="O7" s="14">
        <f>+'Sch 40 Campus Svc'!O54</f>
        <v>0</v>
      </c>
    </row>
    <row r="8" spans="1:28" x14ac:dyDescent="0.3">
      <c r="A8" s="72">
        <f t="shared" ref="A8:A18" si="1">+A7+1</f>
        <v>3</v>
      </c>
      <c r="B8" s="5" t="s">
        <v>41</v>
      </c>
      <c r="C8" s="22">
        <f>SUM(D8:O8)</f>
        <v>1180</v>
      </c>
      <c r="D8" s="22">
        <f>+'[1]Sch 40 Migration (C)'!C21</f>
        <v>92</v>
      </c>
      <c r="E8" s="22">
        <f>+'[1]Sch 40 Migration (C)'!D21</f>
        <v>89</v>
      </c>
      <c r="F8" s="22">
        <f>+'[1]Sch 40 Migration (C)'!E21</f>
        <v>105</v>
      </c>
      <c r="G8" s="22">
        <f>+'[1]Sch 40 Migration (C)'!F21</f>
        <v>98</v>
      </c>
      <c r="H8" s="22">
        <f>+'[1]Sch 40 Migration (C)'!G21</f>
        <v>98</v>
      </c>
      <c r="I8" s="22">
        <f>+'[1]Sch 40 Migration (C)'!H21</f>
        <v>91</v>
      </c>
      <c r="J8" s="22">
        <f>+'[1]Sch 40 Migration (C)'!I21</f>
        <v>100</v>
      </c>
      <c r="K8" s="22">
        <f>+'[1]Sch 40 Migration (C)'!J21</f>
        <v>96</v>
      </c>
      <c r="L8" s="22">
        <f>+'[1]Sch 40 Migration (C)'!K21</f>
        <v>105</v>
      </c>
      <c r="M8" s="22">
        <f>+'[1]Sch 40 Migration (C)'!L21</f>
        <v>97</v>
      </c>
      <c r="N8" s="22">
        <f>+'[1]Sch 40 Migration (C)'!M21</f>
        <v>105</v>
      </c>
      <c r="O8" s="22">
        <f>+'[1]Sch 40 Migration (C)'!N21</f>
        <v>104</v>
      </c>
    </row>
    <row r="9" spans="1:28" x14ac:dyDescent="0.3">
      <c r="A9" s="72">
        <f t="shared" si="1"/>
        <v>4</v>
      </c>
      <c r="C9" s="22"/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28" x14ac:dyDescent="0.3">
      <c r="A10" s="72">
        <f t="shared" si="1"/>
        <v>5</v>
      </c>
      <c r="B10" s="5" t="s">
        <v>161</v>
      </c>
      <c r="C10" s="22">
        <f>SUM(D10:O10)</f>
        <v>799158</v>
      </c>
      <c r="D10" s="22">
        <f>+'[1]Sch 40 Migration (C)'!C23</f>
        <v>64766</v>
      </c>
      <c r="E10" s="22">
        <f>+'[1]Sch 40 Migration (C)'!D23</f>
        <v>63778</v>
      </c>
      <c r="F10" s="22">
        <f>+'[1]Sch 40 Migration (C)'!E23</f>
        <v>65793</v>
      </c>
      <c r="G10" s="22">
        <f>+'[1]Sch 40 Migration (C)'!F23</f>
        <v>64914</v>
      </c>
      <c r="H10" s="22">
        <f>+'[1]Sch 40 Migration (C)'!G23</f>
        <v>70062</v>
      </c>
      <c r="I10" s="22">
        <f>+'[1]Sch 40 Migration (C)'!H23</f>
        <v>66418</v>
      </c>
      <c r="J10" s="22">
        <f>+'[1]Sch 40 Migration (C)'!I23</f>
        <v>64889</v>
      </c>
      <c r="K10" s="22">
        <f>+'[1]Sch 40 Migration (C)'!J23</f>
        <v>77468</v>
      </c>
      <c r="L10" s="22">
        <f>+'[1]Sch 40 Migration (C)'!K23</f>
        <v>68211</v>
      </c>
      <c r="M10" s="22">
        <f>+'[1]Sch 40 Migration (C)'!L23</f>
        <v>46848</v>
      </c>
      <c r="N10" s="22">
        <f>+'[1]Sch 40 Migration (C)'!M23</f>
        <v>79081</v>
      </c>
      <c r="O10" s="22">
        <f>+'[1]Sch 40 Migration (C)'!N23</f>
        <v>66930</v>
      </c>
    </row>
    <row r="11" spans="1:28" x14ac:dyDescent="0.3">
      <c r="A11" s="72">
        <f t="shared" si="1"/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28" x14ac:dyDescent="0.3">
      <c r="A12" s="72">
        <f t="shared" si="1"/>
        <v>7</v>
      </c>
      <c r="B12" t="s">
        <v>165</v>
      </c>
      <c r="C12" s="21"/>
    </row>
    <row r="13" spans="1:28" x14ac:dyDescent="0.3">
      <c r="A13" s="72">
        <f t="shared" si="1"/>
        <v>8</v>
      </c>
      <c r="B13" s="8" t="s">
        <v>48</v>
      </c>
      <c r="C13" s="21"/>
      <c r="D13" s="29">
        <v>2120</v>
      </c>
      <c r="E13" s="11">
        <f t="shared" ref="E13:O13" si="2">+D13</f>
        <v>2120</v>
      </c>
      <c r="F13" s="11">
        <f t="shared" si="2"/>
        <v>2120</v>
      </c>
      <c r="G13" s="11">
        <f t="shared" si="2"/>
        <v>2120</v>
      </c>
      <c r="H13" s="11">
        <f t="shared" si="2"/>
        <v>2120</v>
      </c>
      <c r="I13" s="11">
        <f t="shared" si="2"/>
        <v>2120</v>
      </c>
      <c r="J13" s="11">
        <f t="shared" si="2"/>
        <v>2120</v>
      </c>
      <c r="K13" s="11">
        <f t="shared" si="2"/>
        <v>2120</v>
      </c>
      <c r="L13" s="11">
        <f t="shared" si="2"/>
        <v>2120</v>
      </c>
      <c r="M13" s="11">
        <f t="shared" si="2"/>
        <v>2120</v>
      </c>
      <c r="N13" s="11">
        <f t="shared" si="2"/>
        <v>2120</v>
      </c>
      <c r="O13" s="11">
        <f t="shared" si="2"/>
        <v>2120</v>
      </c>
    </row>
    <row r="14" spans="1:28" x14ac:dyDescent="0.3">
      <c r="A14" s="72">
        <f t="shared" si="1"/>
        <v>9</v>
      </c>
      <c r="C14" s="21"/>
    </row>
    <row r="15" spans="1:28" x14ac:dyDescent="0.3">
      <c r="A15" s="72">
        <f t="shared" si="1"/>
        <v>10</v>
      </c>
      <c r="B15" s="1" t="s">
        <v>17</v>
      </c>
      <c r="C15" s="21"/>
    </row>
    <row r="16" spans="1:28" x14ac:dyDescent="0.3">
      <c r="A16" s="72">
        <f t="shared" si="1"/>
        <v>11</v>
      </c>
      <c r="B16" s="8" t="s">
        <v>111</v>
      </c>
      <c r="C16" s="23">
        <f>SUM(D16:O16)</f>
        <v>2501600</v>
      </c>
      <c r="D16" s="11">
        <f>ROUND(D8*D13,0)</f>
        <v>195040</v>
      </c>
      <c r="E16" s="11">
        <f t="shared" ref="E16:O16" si="3">ROUND(E8*E13,0)</f>
        <v>188680</v>
      </c>
      <c r="F16" s="11">
        <f t="shared" si="3"/>
        <v>222600</v>
      </c>
      <c r="G16" s="11">
        <f t="shared" si="3"/>
        <v>207760</v>
      </c>
      <c r="H16" s="11">
        <f t="shared" si="3"/>
        <v>207760</v>
      </c>
      <c r="I16" s="11">
        <f t="shared" si="3"/>
        <v>192920</v>
      </c>
      <c r="J16" s="11">
        <f t="shared" si="3"/>
        <v>212000</v>
      </c>
      <c r="K16" s="11">
        <f t="shared" si="3"/>
        <v>203520</v>
      </c>
      <c r="L16" s="11">
        <f t="shared" si="3"/>
        <v>222600</v>
      </c>
      <c r="M16" s="11">
        <f t="shared" si="3"/>
        <v>205640</v>
      </c>
      <c r="N16" s="11">
        <f t="shared" si="3"/>
        <v>222600</v>
      </c>
      <c r="O16" s="11">
        <f t="shared" si="3"/>
        <v>220480</v>
      </c>
    </row>
    <row r="17" spans="1:15" x14ac:dyDescent="0.3">
      <c r="A17" s="72">
        <f t="shared" si="1"/>
        <v>12</v>
      </c>
      <c r="B17" s="8" t="s">
        <v>107</v>
      </c>
      <c r="C17" s="23">
        <f t="shared" ref="C17:C18" si="4">SUM(D17:O17)</f>
        <v>3188023</v>
      </c>
      <c r="D17" s="11">
        <f>+'[1]Sch 40 Dist Demand Rev (C)'!D68</f>
        <v>238914</v>
      </c>
      <c r="E17" s="11">
        <f>+'[1]Sch 40 Dist Demand Rev (C)'!E68</f>
        <v>236325</v>
      </c>
      <c r="F17" s="11">
        <f>+'[1]Sch 40 Dist Demand Rev (C)'!F68</f>
        <v>275412</v>
      </c>
      <c r="G17" s="11">
        <f>+'[1]Sch 40 Dist Demand Rev (C)'!G68</f>
        <v>258245</v>
      </c>
      <c r="H17" s="11">
        <f>+'[1]Sch 40 Dist Demand Rev (C)'!H68</f>
        <v>282320</v>
      </c>
      <c r="I17" s="11">
        <f>+'[1]Sch 40 Dist Demand Rev (C)'!I68</f>
        <v>263190</v>
      </c>
      <c r="J17" s="11">
        <f>+'[1]Sch 40 Dist Demand Rev (C)'!J68</f>
        <v>266791</v>
      </c>
      <c r="K17" s="11">
        <f>+'[1]Sch 40 Dist Demand Rev (C)'!K68</f>
        <v>304176</v>
      </c>
      <c r="L17" s="11">
        <f>+'[1]Sch 40 Dist Demand Rev (C)'!L68</f>
        <v>281320</v>
      </c>
      <c r="M17" s="11">
        <f>+'[1]Sch 40 Dist Demand Rev (C)'!M68</f>
        <v>204606</v>
      </c>
      <c r="N17" s="11">
        <f>+'[1]Sch 40 Dist Demand Rev (C)'!N68</f>
        <v>308300</v>
      </c>
      <c r="O17" s="11">
        <f>+'[1]Sch 40 Dist Demand Rev (C)'!O68</f>
        <v>268424</v>
      </c>
    </row>
    <row r="18" spans="1:15" x14ac:dyDescent="0.3">
      <c r="A18" s="72">
        <f t="shared" si="1"/>
        <v>13</v>
      </c>
      <c r="B18" s="8" t="s">
        <v>112</v>
      </c>
      <c r="C18" s="23">
        <f t="shared" si="4"/>
        <v>0</v>
      </c>
      <c r="D18" s="11">
        <v>0</v>
      </c>
      <c r="E18" s="11">
        <f>+D18</f>
        <v>0</v>
      </c>
      <c r="F18" s="11">
        <f t="shared" ref="F18:O18" si="5">+E18</f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</row>
    <row r="19" spans="1:15" x14ac:dyDescent="0.3">
      <c r="A19" s="25">
        <f t="shared" ref="A19:A23" si="6">+A18+1</f>
        <v>14</v>
      </c>
      <c r="B19" s="5" t="s">
        <v>160</v>
      </c>
      <c r="C19" s="23">
        <f t="shared" ref="C19:O19" si="7">SUM(C16:C18)</f>
        <v>5689623</v>
      </c>
      <c r="D19" s="23">
        <f t="shared" si="7"/>
        <v>433954</v>
      </c>
      <c r="E19" s="23">
        <f t="shared" si="7"/>
        <v>425005</v>
      </c>
      <c r="F19" s="23">
        <f t="shared" si="7"/>
        <v>498012</v>
      </c>
      <c r="G19" s="23">
        <f t="shared" si="7"/>
        <v>466005</v>
      </c>
      <c r="H19" s="23">
        <f t="shared" si="7"/>
        <v>490080</v>
      </c>
      <c r="I19" s="23">
        <f t="shared" si="7"/>
        <v>456110</v>
      </c>
      <c r="J19" s="23">
        <f t="shared" si="7"/>
        <v>478791</v>
      </c>
      <c r="K19" s="23">
        <f t="shared" si="7"/>
        <v>507696</v>
      </c>
      <c r="L19" s="23">
        <f t="shared" si="7"/>
        <v>503920</v>
      </c>
      <c r="M19" s="23">
        <f t="shared" si="7"/>
        <v>410246</v>
      </c>
      <c r="N19" s="23">
        <f t="shared" si="7"/>
        <v>530900</v>
      </c>
      <c r="O19" s="23">
        <f t="shared" si="7"/>
        <v>488904</v>
      </c>
    </row>
    <row r="20" spans="1:15" x14ac:dyDescent="0.3">
      <c r="A20" s="25">
        <f t="shared" si="6"/>
        <v>15</v>
      </c>
      <c r="C20" s="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3">
      <c r="A21" s="25">
        <f t="shared" si="6"/>
        <v>16</v>
      </c>
      <c r="B21" s="12" t="s">
        <v>20</v>
      </c>
      <c r="C21" s="6">
        <f>SUM(D21:O21)</f>
        <v>-14720240</v>
      </c>
      <c r="D21" s="22">
        <f>+'Sch 40 Campus Svc'!D60</f>
        <v>-1852558</v>
      </c>
      <c r="E21" s="22">
        <f>+'Sch 40 Campus Svc'!E60</f>
        <v>-2547557</v>
      </c>
      <c r="F21" s="22">
        <f>+'Sch 40 Campus Svc'!F60</f>
        <v>-2791072</v>
      </c>
      <c r="G21" s="22">
        <f>+'Sch 40 Campus Svc'!G60</f>
        <v>1551914</v>
      </c>
      <c r="H21" s="22">
        <f>+'Sch 40 Campus Svc'!H60</f>
        <v>-539244</v>
      </c>
      <c r="I21" s="22">
        <f>+'Sch 40 Campus Svc'!I60</f>
        <v>1283593</v>
      </c>
      <c r="J21" s="22">
        <f>+'Sch 40 Campus Svc'!J60</f>
        <v>-281020</v>
      </c>
      <c r="K21" s="22">
        <f>+'Sch 40 Campus Svc'!K60</f>
        <v>-3173379</v>
      </c>
      <c r="L21" s="22">
        <f>+'Sch 40 Campus Svc'!L60</f>
        <v>-1505918</v>
      </c>
      <c r="M21" s="22">
        <f>+'Sch 40 Campus Svc'!M60</f>
        <v>2908708</v>
      </c>
      <c r="N21" s="22">
        <f>+'Sch 40 Campus Svc'!N60</f>
        <v>-8085433</v>
      </c>
      <c r="O21" s="22">
        <f>+'Sch 40 Campus Svc'!O60</f>
        <v>311726</v>
      </c>
    </row>
    <row r="22" spans="1:15" x14ac:dyDescent="0.3">
      <c r="A22" s="25">
        <f t="shared" si="6"/>
        <v>17</v>
      </c>
      <c r="B22" s="12" t="s">
        <v>21</v>
      </c>
      <c r="D22" s="10">
        <f t="shared" ref="D22:O22" si="8">+D19/D6</f>
        <v>1.3555924804499095E-2</v>
      </c>
      <c r="E22" s="10">
        <f t="shared" si="8"/>
        <v>1.5050162486725027E-2</v>
      </c>
      <c r="F22" s="10">
        <f t="shared" si="8"/>
        <v>1.5215933643995696E-2</v>
      </c>
      <c r="G22" s="10">
        <f t="shared" si="8"/>
        <v>1.5715089429871102E-2</v>
      </c>
      <c r="H22" s="10">
        <f t="shared" si="8"/>
        <v>1.7119567153849605E-2</v>
      </c>
      <c r="I22" s="10">
        <f t="shared" si="8"/>
        <v>1.6701314146003194E-2</v>
      </c>
      <c r="J22" s="10">
        <f t="shared" si="8"/>
        <v>1.6290878352077948E-2</v>
      </c>
      <c r="K22" s="10">
        <f t="shared" si="8"/>
        <v>1.6088788247695645E-2</v>
      </c>
      <c r="L22" s="10">
        <f t="shared" si="8"/>
        <v>1.6797010270835792E-2</v>
      </c>
      <c r="M22" s="10">
        <f t="shared" si="8"/>
        <v>2.3436212406077857E-2</v>
      </c>
      <c r="N22" s="10">
        <f t="shared" si="8"/>
        <v>1.4761025010692637E-2</v>
      </c>
      <c r="O22" s="10">
        <f t="shared" si="8"/>
        <v>1.721213381784149E-2</v>
      </c>
    </row>
    <row r="23" spans="1:15" x14ac:dyDescent="0.3">
      <c r="A23" s="25">
        <f t="shared" si="6"/>
        <v>18</v>
      </c>
      <c r="B23" s="12" t="s">
        <v>22</v>
      </c>
      <c r="C23" s="11">
        <f>SUM(D23:O23)</f>
        <v>-196073</v>
      </c>
      <c r="D23" s="11">
        <f>ROUND(+D21*D22,0)</f>
        <v>-25113</v>
      </c>
      <c r="E23" s="11">
        <f t="shared" ref="E23:O23" si="9">ROUND(+E21*E22,0)</f>
        <v>-38341</v>
      </c>
      <c r="F23" s="11">
        <f t="shared" si="9"/>
        <v>-42469</v>
      </c>
      <c r="G23" s="11">
        <f t="shared" si="9"/>
        <v>24388</v>
      </c>
      <c r="H23" s="11">
        <f t="shared" si="9"/>
        <v>-9232</v>
      </c>
      <c r="I23" s="11">
        <f t="shared" si="9"/>
        <v>21438</v>
      </c>
      <c r="J23" s="11">
        <f t="shared" si="9"/>
        <v>-4578</v>
      </c>
      <c r="K23" s="11">
        <f t="shared" si="9"/>
        <v>-51056</v>
      </c>
      <c r="L23" s="11">
        <f t="shared" si="9"/>
        <v>-25295</v>
      </c>
      <c r="M23" s="11">
        <f t="shared" si="9"/>
        <v>68169</v>
      </c>
      <c r="N23" s="11">
        <f t="shared" si="9"/>
        <v>-119349</v>
      </c>
      <c r="O23" s="11">
        <f t="shared" si="9"/>
        <v>5365</v>
      </c>
    </row>
    <row r="24" spans="1:15" x14ac:dyDescent="0.3">
      <c r="A24" s="25"/>
    </row>
    <row r="25" spans="1:15" x14ac:dyDescent="0.3">
      <c r="A25" s="25"/>
    </row>
    <row r="26" spans="1:15" x14ac:dyDescent="0.3">
      <c r="A26" s="25"/>
    </row>
    <row r="27" spans="1:15" x14ac:dyDescent="0.3">
      <c r="A27" s="25"/>
    </row>
    <row r="28" spans="1:15" x14ac:dyDescent="0.3">
      <c r="A28" s="25"/>
    </row>
  </sheetData>
  <mergeCells count="3">
    <mergeCell ref="A1:O1"/>
    <mergeCell ref="A2:O2"/>
    <mergeCell ref="A3:O3"/>
  </mergeCells>
  <pageMargins left="0.7" right="0.7" top="0.75" bottom="0.75" header="0.3" footer="0.3"/>
  <pageSetup scale="56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BF9EEB2-D212-4C4C-8644-CF2EB87C17A4}"/>
</file>

<file path=customXml/itemProps2.xml><?xml version="1.0" encoding="utf-8"?>
<ds:datastoreItem xmlns:ds="http://schemas.openxmlformats.org/officeDocument/2006/customXml" ds:itemID="{DA009FA4-A5FB-4848-954E-4A634333A7B5}"/>
</file>

<file path=customXml/itemProps3.xml><?xml version="1.0" encoding="utf-8"?>
<ds:datastoreItem xmlns:ds="http://schemas.openxmlformats.org/officeDocument/2006/customXml" ds:itemID="{9308FE44-FDE5-4EF3-B484-FB239C48655D}"/>
</file>

<file path=customXml/itemProps4.xml><?xml version="1.0" encoding="utf-8"?>
<ds:datastoreItem xmlns:ds="http://schemas.openxmlformats.org/officeDocument/2006/customXml" ds:itemID="{8C32075C-E434-4933-9B3F-4ACA234A9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Proforma kWh</vt:lpstr>
      <vt:lpstr>Proforma Revenue</vt:lpstr>
      <vt:lpstr>Temperature Adjustment</vt:lpstr>
      <vt:lpstr>Sch 24 Sm Sec</vt:lpstr>
      <vt:lpstr>Sch 25 Med Sec</vt:lpstr>
      <vt:lpstr>Sch 26 Large Sec</vt:lpstr>
      <vt:lpstr>Sch 31 Pri Gen Svc</vt:lpstr>
      <vt:lpstr>Sch 40 Campus Svc</vt:lpstr>
      <vt:lpstr>Microsoft Special Contract</vt:lpstr>
      <vt:lpstr>'Microsoft Special Contract'!Print_Area</vt:lpstr>
      <vt:lpstr>'Proforma kWh'!Print_Area</vt:lpstr>
      <vt:lpstr>'Proforma Revenue'!Print_Area</vt:lpstr>
      <vt:lpstr>'Sch 24 Sm Sec'!Print_Area</vt:lpstr>
      <vt:lpstr>'Sch 25 Med Sec'!Print_Area</vt:lpstr>
      <vt:lpstr>'Sch 26 Large Sec'!Print_Area</vt:lpstr>
      <vt:lpstr>'Sch 31 Pri Gen Svc'!Print_Area</vt:lpstr>
      <vt:lpstr>'Sch 40 Campus Svc'!Print_Area</vt:lpstr>
      <vt:lpstr>'Temperature Adjustment'!Print_Area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 Rasanen</cp:lastModifiedBy>
  <cp:lastPrinted>2019-06-11T17:03:19Z</cp:lastPrinted>
  <dcterms:created xsi:type="dcterms:W3CDTF">2019-02-07T16:29:10Z</dcterms:created>
  <dcterms:modified xsi:type="dcterms:W3CDTF">2019-06-12T23:50:47Z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