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2020\2020 WA Elec and Gas GRC\Adjustments\3.21E - 3.18G PF ADFIT\"/>
    </mc:Choice>
  </mc:AlternateContent>
  <bookViews>
    <workbookView xWindow="-120" yWindow="-120" windowWidth="29040" windowHeight="15840" activeTab="1"/>
  </bookViews>
  <sheets>
    <sheet name="Table 9.29.2020" sheetId="9" r:id="rId1"/>
    <sheet name="Allocation 9.29.2020" sheetId="10" r:id="rId2"/>
    <sheet name="Meter Add" sheetId="11" r:id="rId3"/>
    <sheet name="Table" sheetId="8" r:id="rId4"/>
    <sheet name="Allocation" sheetId="1" r:id="rId5"/>
    <sheet name="WA E - Analysis" sheetId="2" r:id="rId6"/>
    <sheet name="ID E - Analysis" sheetId="5" r:id="rId7"/>
    <sheet name="WA - G Analysis" sheetId="4" r:id="rId8"/>
    <sheet name="ID G - Analysis" sheetId="6" r:id="rId9"/>
    <sheet name="OR G - Analysis" sheetId="7" r:id="rId10"/>
    <sheet name="Back-up Info" sheetId="3" r:id="rId11"/>
  </sheets>
  <definedNames>
    <definedName name="_xlnm._FilterDatabase" localSheetId="2" hidden="1">'Meter Add'!$A$1:$K$57</definedName>
    <definedName name="_xlnm.Print_Area" localSheetId="1">'Allocation 9.29.2020'!$A$1:$D$40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0" i="10" l="1"/>
  <c r="F4" i="10"/>
  <c r="H4" i="10"/>
  <c r="D34" i="10" l="1"/>
  <c r="E34" i="10"/>
  <c r="K34" i="10"/>
  <c r="Q34" i="10"/>
  <c r="C34" i="10"/>
  <c r="E33" i="10"/>
  <c r="E36" i="10" s="1"/>
  <c r="K33" i="10"/>
  <c r="K36" i="10" s="1"/>
  <c r="Q33" i="10"/>
  <c r="Q36" i="10" s="1"/>
  <c r="C33" i="10"/>
  <c r="C36" i="10" s="1"/>
  <c r="T26" i="10" l="1"/>
  <c r="U26" i="10"/>
  <c r="G67" i="11"/>
  <c r="Q24" i="10" s="1"/>
  <c r="G66" i="11"/>
  <c r="G63" i="11"/>
  <c r="F67" i="11"/>
  <c r="F66" i="11"/>
  <c r="F65" i="11"/>
  <c r="G65" i="11" s="1"/>
  <c r="K24" i="10" s="1"/>
  <c r="F64" i="11"/>
  <c r="G64" i="11" s="1"/>
  <c r="F63" i="11"/>
  <c r="I59" i="11"/>
  <c r="F59" i="11"/>
  <c r="F61" i="11" s="1"/>
  <c r="K2" i="11"/>
  <c r="K3" i="11"/>
  <c r="K4" i="11"/>
  <c r="K5" i="1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E24" i="10" l="1"/>
  <c r="F69" i="11"/>
  <c r="G69" i="11"/>
  <c r="C24" i="10" s="1"/>
  <c r="L24" i="10"/>
  <c r="M24" i="10"/>
  <c r="O24" i="10"/>
  <c r="P24" i="10" l="1"/>
  <c r="N24" i="10"/>
  <c r="I8" i="10" l="1"/>
  <c r="G8" i="10"/>
  <c r="F8" i="10"/>
  <c r="J8" i="10" s="1"/>
  <c r="M8" i="10"/>
  <c r="O8" i="10"/>
  <c r="R8" i="10"/>
  <c r="H8" i="10" l="1"/>
  <c r="D16" i="10" l="1"/>
  <c r="D12" i="10"/>
  <c r="C10" i="10" l="1"/>
  <c r="L8" i="10"/>
  <c r="R12" i="10"/>
  <c r="O12" i="10"/>
  <c r="M12" i="10"/>
  <c r="L12" i="10"/>
  <c r="N12" i="10" s="1"/>
  <c r="I12" i="10"/>
  <c r="G12" i="10"/>
  <c r="F12" i="10"/>
  <c r="J12" i="10" s="1"/>
  <c r="Q4" i="10"/>
  <c r="R4" i="10" s="1"/>
  <c r="K4" i="10"/>
  <c r="R16" i="10"/>
  <c r="O16" i="10"/>
  <c r="M16" i="10"/>
  <c r="L16" i="10"/>
  <c r="N16" i="10" s="1"/>
  <c r="I16" i="10"/>
  <c r="G16" i="10"/>
  <c r="F16" i="10"/>
  <c r="H16" i="10" s="1"/>
  <c r="P16" i="10" l="1"/>
  <c r="P12" i="10"/>
  <c r="P8" i="10"/>
  <c r="N8" i="10"/>
  <c r="H12" i="10"/>
  <c r="J16" i="10"/>
  <c r="D10" i="10" l="1"/>
  <c r="D8" i="10"/>
  <c r="C4" i="10" l="1"/>
  <c r="T8" i="10"/>
  <c r="U8" i="10"/>
  <c r="T12" i="10"/>
  <c r="U12" i="10"/>
  <c r="T16" i="10"/>
  <c r="U16" i="10"/>
  <c r="E4" i="10" l="1"/>
  <c r="G4" i="10" s="1"/>
  <c r="D4" i="10"/>
  <c r="C13" i="10" l="1"/>
  <c r="C23" i="10" s="1"/>
  <c r="D23" i="10" l="1"/>
  <c r="D13" i="10"/>
  <c r="F6" i="1"/>
  <c r="F34" i="10" s="1"/>
  <c r="Q6" i="10" l="1"/>
  <c r="K6" i="10"/>
  <c r="E6" i="10"/>
  <c r="C6" i="10"/>
  <c r="C14" i="10"/>
  <c r="Q14" i="10"/>
  <c r="K14" i="10"/>
  <c r="E14" i="10"/>
  <c r="Q10" i="10"/>
  <c r="K10" i="10"/>
  <c r="E10" i="10"/>
  <c r="Q9" i="10"/>
  <c r="K9" i="10"/>
  <c r="E9" i="10"/>
  <c r="C9" i="10"/>
  <c r="D9" i="10" l="1"/>
  <c r="C11" i="10"/>
  <c r="C15" i="10"/>
  <c r="E11" i="10"/>
  <c r="K11" i="10"/>
  <c r="Q11" i="10"/>
  <c r="D14" i="10"/>
  <c r="R9" i="10"/>
  <c r="O9" i="10"/>
  <c r="M9" i="10"/>
  <c r="L9" i="10"/>
  <c r="I9" i="10"/>
  <c r="Q13" i="10"/>
  <c r="K13" i="10"/>
  <c r="E13" i="10"/>
  <c r="E23" i="10" s="1"/>
  <c r="Q15" i="10" l="1"/>
  <c r="Q23" i="10"/>
  <c r="R23" i="10" s="1"/>
  <c r="K15" i="10"/>
  <c r="K23" i="10"/>
  <c r="I23" i="10"/>
  <c r="F23" i="10"/>
  <c r="G23" i="10"/>
  <c r="E15" i="10"/>
  <c r="G15" i="10" s="1"/>
  <c r="D15" i="10"/>
  <c r="D11" i="10"/>
  <c r="K10" i="9"/>
  <c r="K9" i="9"/>
  <c r="N9" i="10"/>
  <c r="P9" i="10"/>
  <c r="F9" i="10"/>
  <c r="G9" i="10"/>
  <c r="T9" i="10" s="1"/>
  <c r="J23" i="10" l="1"/>
  <c r="H23" i="10"/>
  <c r="O23" i="10"/>
  <c r="M23" i="10"/>
  <c r="T23" i="10" s="1"/>
  <c r="L23" i="10"/>
  <c r="J9" i="10"/>
  <c r="H9" i="10"/>
  <c r="U9" i="10" l="1"/>
  <c r="P23" i="10"/>
  <c r="N23" i="10"/>
  <c r="U23" i="10" s="1"/>
  <c r="O14" i="10"/>
  <c r="M14" i="10"/>
  <c r="I14" i="10"/>
  <c r="G14" i="10"/>
  <c r="T14" i="10" l="1"/>
  <c r="R14" i="10"/>
  <c r="L14" i="10" l="1"/>
  <c r="N14" i="10" s="1"/>
  <c r="F14" i="10"/>
  <c r="J14" i="10" l="1"/>
  <c r="H14" i="10"/>
  <c r="P14" i="10"/>
  <c r="R13" i="10"/>
  <c r="O13" i="10"/>
  <c r="M10" i="10"/>
  <c r="I10" i="10"/>
  <c r="G10" i="10"/>
  <c r="F10" i="10"/>
  <c r="J10" i="10" s="1"/>
  <c r="R10" i="10"/>
  <c r="D6" i="10"/>
  <c r="Q5" i="10"/>
  <c r="K5" i="10"/>
  <c r="Q7" i="10" l="1"/>
  <c r="Q22" i="10"/>
  <c r="K7" i="10"/>
  <c r="K22" i="10"/>
  <c r="R5" i="10"/>
  <c r="M5" i="10"/>
  <c r="U14" i="10"/>
  <c r="O5" i="10"/>
  <c r="H10" i="10"/>
  <c r="G13" i="10"/>
  <c r="F13" i="10"/>
  <c r="H13" i="10" s="1"/>
  <c r="L10" i="10"/>
  <c r="O10" i="10"/>
  <c r="T10" i="10" s="1"/>
  <c r="I13" i="10" l="1"/>
  <c r="P10" i="10"/>
  <c r="N10" i="10"/>
  <c r="U10" i="10" l="1"/>
  <c r="E5" i="10"/>
  <c r="C5" i="10"/>
  <c r="C22" i="10" s="1"/>
  <c r="E22" i="10" l="1"/>
  <c r="G5" i="10"/>
  <c r="C7" i="10"/>
  <c r="C25" i="10" s="1"/>
  <c r="I5" i="10"/>
  <c r="F5" i="10"/>
  <c r="J5" i="10" s="1"/>
  <c r="D5" i="10"/>
  <c r="D22" i="10"/>
  <c r="R6" i="10"/>
  <c r="O6" i="10"/>
  <c r="G6" i="10"/>
  <c r="L5" i="10"/>
  <c r="P5" i="10" s="1"/>
  <c r="O4" i="10"/>
  <c r="M4" i="10"/>
  <c r="L4" i="10"/>
  <c r="P4" i="10" s="1"/>
  <c r="I4" i="10"/>
  <c r="F4" i="1"/>
  <c r="G6" i="1"/>
  <c r="G34" i="10" s="1"/>
  <c r="T5" i="10" l="1"/>
  <c r="D25" i="10"/>
  <c r="C18" i="10"/>
  <c r="E25" i="10"/>
  <c r="E27" i="10" s="1"/>
  <c r="E40" i="10" s="1"/>
  <c r="K25" i="10"/>
  <c r="Q25" i="10"/>
  <c r="C27" i="10"/>
  <c r="E7" i="10"/>
  <c r="D7" i="10"/>
  <c r="D18" i="10" s="1"/>
  <c r="K8" i="9"/>
  <c r="K11" i="9" s="1"/>
  <c r="L7" i="10"/>
  <c r="P7" i="10" s="1"/>
  <c r="H5" i="10"/>
  <c r="T4" i="10"/>
  <c r="O22" i="10"/>
  <c r="M7" i="10"/>
  <c r="O7" i="10"/>
  <c r="N4" i="10"/>
  <c r="R7" i="10"/>
  <c r="R15" i="10"/>
  <c r="R11" i="10"/>
  <c r="G11" i="10"/>
  <c r="I24" i="10"/>
  <c r="R24" i="10"/>
  <c r="F22" i="10"/>
  <c r="F6" i="10"/>
  <c r="I6" i="10"/>
  <c r="L6" i="10"/>
  <c r="D24" i="10"/>
  <c r="N5" i="10"/>
  <c r="M6" i="10"/>
  <c r="J4" i="10"/>
  <c r="K10" i="8"/>
  <c r="K8" i="8"/>
  <c r="C21" i="1"/>
  <c r="C23" i="1" s="1"/>
  <c r="K9" i="8" l="1"/>
  <c r="K11" i="8" s="1"/>
  <c r="C29" i="10"/>
  <c r="D27" i="10"/>
  <c r="D29" i="10"/>
  <c r="O25" i="10"/>
  <c r="O27" i="10" s="1"/>
  <c r="M25" i="10"/>
  <c r="L25" i="10"/>
  <c r="K27" i="10"/>
  <c r="K40" i="10" s="1"/>
  <c r="G25" i="10"/>
  <c r="F25" i="10"/>
  <c r="I25" i="10"/>
  <c r="R25" i="10"/>
  <c r="Q27" i="10"/>
  <c r="N7" i="10"/>
  <c r="U5" i="10"/>
  <c r="U4" i="10"/>
  <c r="M22" i="10"/>
  <c r="G22" i="10"/>
  <c r="L22" i="10"/>
  <c r="L27" i="10" s="1"/>
  <c r="R18" i="10"/>
  <c r="Q18" i="10"/>
  <c r="Q29" i="10" s="1"/>
  <c r="I15" i="10"/>
  <c r="L15" i="10" s="1"/>
  <c r="N15" i="10" s="1"/>
  <c r="F15" i="10"/>
  <c r="E18" i="10"/>
  <c r="E29" i="10" s="1"/>
  <c r="I22" i="10"/>
  <c r="F11" i="10"/>
  <c r="J11" i="10" s="1"/>
  <c r="F7" i="10"/>
  <c r="I7" i="10"/>
  <c r="G7" i="10"/>
  <c r="I11" i="10"/>
  <c r="F24" i="10"/>
  <c r="G24" i="10"/>
  <c r="O11" i="10"/>
  <c r="M11" i="10"/>
  <c r="L11" i="10"/>
  <c r="R22" i="10"/>
  <c r="O15" i="10"/>
  <c r="T6" i="10"/>
  <c r="J6" i="10"/>
  <c r="H6" i="10"/>
  <c r="N6" i="10"/>
  <c r="P6" i="10"/>
  <c r="J22" i="10"/>
  <c r="H22" i="10"/>
  <c r="M13" i="10"/>
  <c r="T13" i="10" s="1"/>
  <c r="L13" i="10"/>
  <c r="J13" i="10"/>
  <c r="C11" i="1"/>
  <c r="C14" i="1"/>
  <c r="D14" i="1" s="1"/>
  <c r="L6" i="1"/>
  <c r="L34" i="10" s="1"/>
  <c r="H6" i="1"/>
  <c r="H34" i="10" s="1"/>
  <c r="D13" i="1"/>
  <c r="T7" i="10" l="1"/>
  <c r="D26" i="9"/>
  <c r="Q40" i="10"/>
  <c r="D25" i="9"/>
  <c r="M27" i="10"/>
  <c r="E12" i="9"/>
  <c r="T25" i="10"/>
  <c r="F27" i="10"/>
  <c r="P25" i="10"/>
  <c r="N25" i="10"/>
  <c r="J25" i="10"/>
  <c r="H25" i="10"/>
  <c r="G27" i="10"/>
  <c r="R27" i="10"/>
  <c r="R29" i="10" s="1"/>
  <c r="I27" i="10"/>
  <c r="J24" i="10"/>
  <c r="N22" i="10"/>
  <c r="T24" i="10"/>
  <c r="T22" i="10"/>
  <c r="P22" i="10"/>
  <c r="D12" i="9"/>
  <c r="T11" i="10"/>
  <c r="M15" i="10"/>
  <c r="T15" i="10" s="1"/>
  <c r="K18" i="10"/>
  <c r="K29" i="10" s="1"/>
  <c r="G18" i="10"/>
  <c r="G29" i="10" s="1"/>
  <c r="I18" i="10"/>
  <c r="H11" i="10"/>
  <c r="H24" i="10"/>
  <c r="H7" i="10"/>
  <c r="J7" i="10"/>
  <c r="J15" i="10"/>
  <c r="H15" i="10"/>
  <c r="F18" i="10"/>
  <c r="F29" i="10" s="1"/>
  <c r="P11" i="10"/>
  <c r="N11" i="10"/>
  <c r="P15" i="10"/>
  <c r="L18" i="10"/>
  <c r="L29" i="10" s="1"/>
  <c r="P13" i="10"/>
  <c r="O18" i="10"/>
  <c r="O29" i="10" s="1"/>
  <c r="U6" i="10"/>
  <c r="N13" i="10"/>
  <c r="M6" i="1"/>
  <c r="M34" i="10" s="1"/>
  <c r="C8" i="1"/>
  <c r="C9" i="1" s="1"/>
  <c r="I29" i="10" l="1"/>
  <c r="D23" i="9"/>
  <c r="E26" i="9"/>
  <c r="D22" i="9"/>
  <c r="D24" i="9"/>
  <c r="D9" i="9"/>
  <c r="D8" i="9"/>
  <c r="D11" i="9"/>
  <c r="P27" i="10"/>
  <c r="U25" i="10"/>
  <c r="T27" i="10"/>
  <c r="N27" i="10"/>
  <c r="J27" i="10"/>
  <c r="H27" i="10"/>
  <c r="U22" i="10"/>
  <c r="U24" i="10"/>
  <c r="M18" i="10"/>
  <c r="M29" i="10" s="1"/>
  <c r="U13" i="10"/>
  <c r="U15" i="10"/>
  <c r="U11" i="10"/>
  <c r="J18" i="10"/>
  <c r="J29" i="10" s="1"/>
  <c r="H18" i="10"/>
  <c r="H29" i="10" s="1"/>
  <c r="U7" i="10"/>
  <c r="P18" i="10"/>
  <c r="N18" i="10"/>
  <c r="D18" i="7"/>
  <c r="H18" i="7" s="1"/>
  <c r="I18" i="7" s="1"/>
  <c r="D17" i="7"/>
  <c r="H17" i="7" s="1"/>
  <c r="I17" i="7" s="1"/>
  <c r="D16" i="7"/>
  <c r="H16" i="7" s="1"/>
  <c r="I16" i="7" s="1"/>
  <c r="D15" i="7"/>
  <c r="H15" i="7" s="1"/>
  <c r="I15" i="7" s="1"/>
  <c r="D14" i="7"/>
  <c r="H14" i="7" s="1"/>
  <c r="I14" i="7" s="1"/>
  <c r="D13" i="7"/>
  <c r="H13" i="7" s="1"/>
  <c r="I13" i="7" s="1"/>
  <c r="D12" i="7"/>
  <c r="H12" i="7" s="1"/>
  <c r="I12" i="7" s="1"/>
  <c r="H6" i="7"/>
  <c r="I6" i="7" s="1"/>
  <c r="J6" i="7" s="1"/>
  <c r="L5" i="7"/>
  <c r="H5" i="7"/>
  <c r="I5" i="7" s="1"/>
  <c r="E5" i="7"/>
  <c r="B6" i="7" s="1"/>
  <c r="E6" i="7" s="1"/>
  <c r="D1" i="7" s="1"/>
  <c r="D18" i="6"/>
  <c r="H18" i="6" s="1"/>
  <c r="I18" i="6" s="1"/>
  <c r="D17" i="6"/>
  <c r="H17" i="6" s="1"/>
  <c r="I17" i="6" s="1"/>
  <c r="D16" i="6"/>
  <c r="H16" i="6" s="1"/>
  <c r="I16" i="6" s="1"/>
  <c r="D15" i="6"/>
  <c r="H15" i="6" s="1"/>
  <c r="I15" i="6" s="1"/>
  <c r="D14" i="6"/>
  <c r="H14" i="6" s="1"/>
  <c r="I14" i="6" s="1"/>
  <c r="D13" i="6"/>
  <c r="H13" i="6" s="1"/>
  <c r="I13" i="6" s="1"/>
  <c r="D12" i="6"/>
  <c r="H12" i="6" s="1"/>
  <c r="I12" i="6" s="1"/>
  <c r="H6" i="6"/>
  <c r="I6" i="6" s="1"/>
  <c r="J6" i="6" s="1"/>
  <c r="K6" i="6" s="1"/>
  <c r="L5" i="6"/>
  <c r="H5" i="6"/>
  <c r="I5" i="6" s="1"/>
  <c r="E5" i="6"/>
  <c r="B6" i="6" s="1"/>
  <c r="E6" i="6" s="1"/>
  <c r="D18" i="5"/>
  <c r="H18" i="5" s="1"/>
  <c r="I18" i="5" s="1"/>
  <c r="D17" i="5"/>
  <c r="H17" i="5" s="1"/>
  <c r="I17" i="5" s="1"/>
  <c r="D16" i="5"/>
  <c r="H16" i="5" s="1"/>
  <c r="I16" i="5" s="1"/>
  <c r="D15" i="5"/>
  <c r="H15" i="5" s="1"/>
  <c r="I15" i="5" s="1"/>
  <c r="D14" i="5"/>
  <c r="H14" i="5" s="1"/>
  <c r="I14" i="5" s="1"/>
  <c r="D13" i="5"/>
  <c r="H13" i="5" s="1"/>
  <c r="I13" i="5" s="1"/>
  <c r="D12" i="5"/>
  <c r="H12" i="5" s="1"/>
  <c r="I12" i="5" s="1"/>
  <c r="H6" i="5"/>
  <c r="I6" i="5" s="1"/>
  <c r="L5" i="5"/>
  <c r="H5" i="5"/>
  <c r="I5" i="5" s="1"/>
  <c r="E5" i="5"/>
  <c r="B6" i="5" s="1"/>
  <c r="E6" i="5" s="1"/>
  <c r="D18" i="4"/>
  <c r="H18" i="4" s="1"/>
  <c r="I18" i="4" s="1"/>
  <c r="D17" i="4"/>
  <c r="H17" i="4" s="1"/>
  <c r="I17" i="4" s="1"/>
  <c r="D16" i="4"/>
  <c r="H16" i="4" s="1"/>
  <c r="I16" i="4" s="1"/>
  <c r="D15" i="4"/>
  <c r="H15" i="4" s="1"/>
  <c r="I15" i="4" s="1"/>
  <c r="D14" i="4"/>
  <c r="H14" i="4" s="1"/>
  <c r="I14" i="4" s="1"/>
  <c r="D13" i="4"/>
  <c r="H13" i="4" s="1"/>
  <c r="I13" i="4" s="1"/>
  <c r="D12" i="4"/>
  <c r="H12" i="4" s="1"/>
  <c r="I12" i="4" s="1"/>
  <c r="H6" i="4"/>
  <c r="I6" i="4" s="1"/>
  <c r="J6" i="4" s="1"/>
  <c r="L5" i="4"/>
  <c r="H5" i="4"/>
  <c r="I5" i="4" s="1"/>
  <c r="E5" i="4"/>
  <c r="B6" i="4" s="1"/>
  <c r="E6" i="4" s="1"/>
  <c r="B7" i="4" s="1"/>
  <c r="L5" i="2"/>
  <c r="H5" i="2"/>
  <c r="I5" i="2" s="1"/>
  <c r="P29" i="10" l="1"/>
  <c r="N29" i="10"/>
  <c r="D27" i="9"/>
  <c r="E22" i="9"/>
  <c r="E24" i="9"/>
  <c r="E23" i="9"/>
  <c r="E25" i="9"/>
  <c r="E8" i="9"/>
  <c r="E10" i="9"/>
  <c r="E9" i="9"/>
  <c r="D10" i="9"/>
  <c r="D13" i="9" s="1"/>
  <c r="E11" i="9"/>
  <c r="U27" i="10"/>
  <c r="K6" i="7"/>
  <c r="D8" i="7"/>
  <c r="H8" i="7" s="1"/>
  <c r="I8" i="7" s="1"/>
  <c r="D11" i="7"/>
  <c r="H11" i="7" s="1"/>
  <c r="I11" i="7" s="1"/>
  <c r="D7" i="7"/>
  <c r="H7" i="7" s="1"/>
  <c r="I7" i="7" s="1"/>
  <c r="D10" i="7"/>
  <c r="H10" i="7" s="1"/>
  <c r="I10" i="7" s="1"/>
  <c r="J13" i="7"/>
  <c r="K13" i="7" s="1"/>
  <c r="J16" i="7"/>
  <c r="K16" i="7" s="1"/>
  <c r="J5" i="7"/>
  <c r="K5" i="7" s="1"/>
  <c r="M5" i="7" s="1"/>
  <c r="B7" i="7"/>
  <c r="J14" i="7"/>
  <c r="K14" i="7" s="1"/>
  <c r="G6" i="7"/>
  <c r="J12" i="7"/>
  <c r="K12" i="7" s="1"/>
  <c r="J15" i="7"/>
  <c r="K15" i="7" s="1"/>
  <c r="J17" i="7"/>
  <c r="K17" i="7" s="1"/>
  <c r="D9" i="7"/>
  <c r="H9" i="7" s="1"/>
  <c r="I9" i="7" s="1"/>
  <c r="J18" i="7"/>
  <c r="K18" i="7" s="1"/>
  <c r="J16" i="6"/>
  <c r="K16" i="6"/>
  <c r="J12" i="6"/>
  <c r="K12" i="6" s="1"/>
  <c r="J17" i="6"/>
  <c r="K17" i="6" s="1"/>
  <c r="J13" i="6"/>
  <c r="K13" i="6" s="1"/>
  <c r="J14" i="6"/>
  <c r="K14" i="6" s="1"/>
  <c r="G6" i="6"/>
  <c r="B7" i="6"/>
  <c r="D1" i="6"/>
  <c r="D7" i="6" s="1"/>
  <c r="J15" i="6"/>
  <c r="K15" i="6" s="1"/>
  <c r="J18" i="6"/>
  <c r="K18" i="6" s="1"/>
  <c r="J5" i="6"/>
  <c r="K5" i="6" s="1"/>
  <c r="M5" i="6" s="1"/>
  <c r="J13" i="5"/>
  <c r="K13" i="5" s="1"/>
  <c r="J14" i="5"/>
  <c r="K14" i="5" s="1"/>
  <c r="J12" i="5"/>
  <c r="K12" i="5" s="1"/>
  <c r="J17" i="5"/>
  <c r="K17" i="5" s="1"/>
  <c r="J16" i="5"/>
  <c r="K16" i="5" s="1"/>
  <c r="B7" i="5"/>
  <c r="G6" i="5"/>
  <c r="D1" i="5"/>
  <c r="J15" i="5"/>
  <c r="K15" i="5" s="1"/>
  <c r="J6" i="5"/>
  <c r="K6" i="5" s="1"/>
  <c r="J18" i="5"/>
  <c r="K18" i="5" s="1"/>
  <c r="J5" i="5"/>
  <c r="K5" i="5" s="1"/>
  <c r="M5" i="5" s="1"/>
  <c r="J12" i="4"/>
  <c r="K12" i="4" s="1"/>
  <c r="J16" i="4"/>
  <c r="K16" i="4" s="1"/>
  <c r="J14" i="4"/>
  <c r="K14" i="4" s="1"/>
  <c r="J15" i="4"/>
  <c r="K15" i="4" s="1"/>
  <c r="J17" i="4"/>
  <c r="K17" i="4" s="1"/>
  <c r="J18" i="4"/>
  <c r="K18" i="4" s="1"/>
  <c r="K6" i="4"/>
  <c r="D1" i="4"/>
  <c r="J5" i="4"/>
  <c r="K5" i="4" s="1"/>
  <c r="M5" i="4" s="1"/>
  <c r="J13" i="4"/>
  <c r="K13" i="4" s="1"/>
  <c r="G6" i="4"/>
  <c r="J5" i="2"/>
  <c r="K5" i="2" s="1"/>
  <c r="M5" i="2" s="1"/>
  <c r="E13" i="9" l="1"/>
  <c r="E27" i="9"/>
  <c r="E7" i="7"/>
  <c r="B8" i="7" s="1"/>
  <c r="E8" i="7" s="1"/>
  <c r="B9" i="7" s="1"/>
  <c r="E9" i="7" s="1"/>
  <c r="B10" i="7" s="1"/>
  <c r="E10" i="7" s="1"/>
  <c r="B11" i="7" s="1"/>
  <c r="E11" i="7" s="1"/>
  <c r="B12" i="7" s="1"/>
  <c r="E12" i="7" s="1"/>
  <c r="B13" i="7" s="1"/>
  <c r="E13" i="7" s="1"/>
  <c r="B14" i="7" s="1"/>
  <c r="E14" i="7" s="1"/>
  <c r="B15" i="7" s="1"/>
  <c r="E15" i="7" s="1"/>
  <c r="B16" i="7" s="1"/>
  <c r="E16" i="7" s="1"/>
  <c r="B17" i="7" s="1"/>
  <c r="E17" i="7" s="1"/>
  <c r="B18" i="7" s="1"/>
  <c r="E18" i="7" s="1"/>
  <c r="J7" i="7"/>
  <c r="K7" i="7" s="1"/>
  <c r="J9" i="7"/>
  <c r="K9" i="7" s="1"/>
  <c r="L6" i="7"/>
  <c r="M6" i="7" s="1"/>
  <c r="N6" i="7" s="1"/>
  <c r="G7" i="7"/>
  <c r="J11" i="7"/>
  <c r="K11" i="7" s="1"/>
  <c r="J10" i="7"/>
  <c r="K10" i="7" s="1"/>
  <c r="J8" i="7"/>
  <c r="K8" i="7" s="1"/>
  <c r="D8" i="6"/>
  <c r="H8" i="6" s="1"/>
  <c r="I8" i="6" s="1"/>
  <c r="D9" i="6"/>
  <c r="H9" i="6" s="1"/>
  <c r="I9" i="6" s="1"/>
  <c r="D11" i="6"/>
  <c r="H11" i="6" s="1"/>
  <c r="I11" i="6" s="1"/>
  <c r="H7" i="6"/>
  <c r="I7" i="6" s="1"/>
  <c r="D10" i="6"/>
  <c r="H10" i="6" s="1"/>
  <c r="I10" i="6" s="1"/>
  <c r="L6" i="6"/>
  <c r="M6" i="6" s="1"/>
  <c r="N6" i="6" s="1"/>
  <c r="D8" i="5"/>
  <c r="H8" i="5" s="1"/>
  <c r="I8" i="5" s="1"/>
  <c r="D11" i="5"/>
  <c r="H11" i="5" s="1"/>
  <c r="I11" i="5" s="1"/>
  <c r="D7" i="5"/>
  <c r="H7" i="5" s="1"/>
  <c r="I7" i="5" s="1"/>
  <c r="D9" i="5"/>
  <c r="H9" i="5" s="1"/>
  <c r="I9" i="5" s="1"/>
  <c r="D10" i="5"/>
  <c r="H10" i="5" s="1"/>
  <c r="I10" i="5" s="1"/>
  <c r="L6" i="5"/>
  <c r="M6" i="5" s="1"/>
  <c r="N6" i="5" s="1"/>
  <c r="D8" i="4"/>
  <c r="H8" i="4" s="1"/>
  <c r="I8" i="4" s="1"/>
  <c r="D11" i="4"/>
  <c r="H11" i="4" s="1"/>
  <c r="I11" i="4" s="1"/>
  <c r="D7" i="4"/>
  <c r="G7" i="4" s="1"/>
  <c r="D9" i="4"/>
  <c r="H9" i="4" s="1"/>
  <c r="I9" i="4" s="1"/>
  <c r="D10" i="4"/>
  <c r="H10" i="4" s="1"/>
  <c r="I10" i="4" s="1"/>
  <c r="L6" i="4"/>
  <c r="M6" i="4" s="1"/>
  <c r="N6" i="4" s="1"/>
  <c r="H6" i="2"/>
  <c r="I6" i="2" s="1"/>
  <c r="J6" i="2" l="1"/>
  <c r="K6" i="2" s="1"/>
  <c r="L7" i="7"/>
  <c r="M7" i="7" s="1"/>
  <c r="N7" i="7" s="1"/>
  <c r="P7" i="7" s="1"/>
  <c r="G8" i="7"/>
  <c r="J7" i="6"/>
  <c r="K7" i="6" s="1"/>
  <c r="J10" i="6"/>
  <c r="K10" i="6" s="1"/>
  <c r="J11" i="6"/>
  <c r="K11" i="6" s="1"/>
  <c r="J8" i="6"/>
  <c r="K8" i="6" s="1"/>
  <c r="G7" i="6"/>
  <c r="E7" i="6"/>
  <c r="B8" i="6" s="1"/>
  <c r="E8" i="6" s="1"/>
  <c r="B9" i="6" s="1"/>
  <c r="E9" i="6" s="1"/>
  <c r="B10" i="6" s="1"/>
  <c r="E10" i="6" s="1"/>
  <c r="B11" i="6" s="1"/>
  <c r="E11" i="6" s="1"/>
  <c r="B12" i="6" s="1"/>
  <c r="E12" i="6" s="1"/>
  <c r="B13" i="6" s="1"/>
  <c r="E13" i="6" s="1"/>
  <c r="B14" i="6" s="1"/>
  <c r="E14" i="6" s="1"/>
  <c r="B15" i="6" s="1"/>
  <c r="E15" i="6" s="1"/>
  <c r="B16" i="6" s="1"/>
  <c r="E16" i="6" s="1"/>
  <c r="B17" i="6" s="1"/>
  <c r="E17" i="6" s="1"/>
  <c r="B18" i="6" s="1"/>
  <c r="E18" i="6" s="1"/>
  <c r="J9" i="6"/>
  <c r="K9" i="6" s="1"/>
  <c r="G7" i="5"/>
  <c r="G8" i="5" s="1"/>
  <c r="J8" i="5"/>
  <c r="K8" i="5" s="1"/>
  <c r="J7" i="5"/>
  <c r="K7" i="5" s="1"/>
  <c r="J10" i="5"/>
  <c r="K10" i="5" s="1"/>
  <c r="J9" i="5"/>
  <c r="K9" i="5" s="1"/>
  <c r="E7" i="5"/>
  <c r="B8" i="5" s="1"/>
  <c r="E8" i="5" s="1"/>
  <c r="B9" i="5" s="1"/>
  <c r="E9" i="5" s="1"/>
  <c r="B10" i="5" s="1"/>
  <c r="E10" i="5" s="1"/>
  <c r="B11" i="5" s="1"/>
  <c r="E11" i="5" s="1"/>
  <c r="B12" i="5" s="1"/>
  <c r="E12" i="5" s="1"/>
  <c r="B13" i="5" s="1"/>
  <c r="E13" i="5" s="1"/>
  <c r="B14" i="5" s="1"/>
  <c r="E14" i="5" s="1"/>
  <c r="B15" i="5" s="1"/>
  <c r="E15" i="5" s="1"/>
  <c r="B16" i="5" s="1"/>
  <c r="E16" i="5" s="1"/>
  <c r="B17" i="5" s="1"/>
  <c r="E17" i="5" s="1"/>
  <c r="B18" i="5" s="1"/>
  <c r="E18" i="5" s="1"/>
  <c r="J11" i="5"/>
  <c r="K11" i="5" s="1"/>
  <c r="J10" i="4"/>
  <c r="K10" i="4" s="1"/>
  <c r="J9" i="4"/>
  <c r="K9" i="4" s="1"/>
  <c r="J8" i="4"/>
  <c r="K8" i="4" s="1"/>
  <c r="G8" i="4"/>
  <c r="L7" i="4"/>
  <c r="H7" i="4"/>
  <c r="I7" i="4" s="1"/>
  <c r="E7" i="4"/>
  <c r="B8" i="4" s="1"/>
  <c r="E8" i="4" s="1"/>
  <c r="B9" i="4" s="1"/>
  <c r="E9" i="4" s="1"/>
  <c r="B10" i="4" s="1"/>
  <c r="E10" i="4" s="1"/>
  <c r="B11" i="4" s="1"/>
  <c r="E11" i="4" s="1"/>
  <c r="B12" i="4" s="1"/>
  <c r="E12" i="4" s="1"/>
  <c r="B13" i="4" s="1"/>
  <c r="E13" i="4" s="1"/>
  <c r="B14" i="4" s="1"/>
  <c r="E14" i="4" s="1"/>
  <c r="B15" i="4" s="1"/>
  <c r="E15" i="4" s="1"/>
  <c r="B16" i="4" s="1"/>
  <c r="E16" i="4" s="1"/>
  <c r="B17" i="4" s="1"/>
  <c r="E17" i="4" s="1"/>
  <c r="B18" i="4" s="1"/>
  <c r="E18" i="4" s="1"/>
  <c r="J11" i="4"/>
  <c r="K11" i="4" s="1"/>
  <c r="L7" i="5" l="1"/>
  <c r="G9" i="7"/>
  <c r="L8" i="7"/>
  <c r="M8" i="7" s="1"/>
  <c r="N8" i="7" s="1"/>
  <c r="P8" i="7" s="1"/>
  <c r="G8" i="6"/>
  <c r="L7" i="6"/>
  <c r="M7" i="6" s="1"/>
  <c r="N7" i="6" s="1"/>
  <c r="P7" i="6" s="1"/>
  <c r="G9" i="5"/>
  <c r="L8" i="5"/>
  <c r="M8" i="5" s="1"/>
  <c r="M7" i="5"/>
  <c r="N7" i="5" s="1"/>
  <c r="P7" i="5" s="1"/>
  <c r="G9" i="4"/>
  <c r="L8" i="4"/>
  <c r="M8" i="4" s="1"/>
  <c r="J7" i="4"/>
  <c r="K7" i="4" s="1"/>
  <c r="M7" i="4" s="1"/>
  <c r="N7" i="4" s="1"/>
  <c r="P7" i="4" s="1"/>
  <c r="G10" i="7" l="1"/>
  <c r="L9" i="7"/>
  <c r="M9" i="7" s="1"/>
  <c r="N9" i="7" s="1"/>
  <c r="P9" i="7" s="1"/>
  <c r="G9" i="6"/>
  <c r="L8" i="6"/>
  <c r="M8" i="6" s="1"/>
  <c r="N8" i="6" s="1"/>
  <c r="P8" i="6" s="1"/>
  <c r="N8" i="5"/>
  <c r="P8" i="5" s="1"/>
  <c r="G10" i="5"/>
  <c r="L9" i="5"/>
  <c r="M9" i="5" s="1"/>
  <c r="N9" i="5" s="1"/>
  <c r="P9" i="5" s="1"/>
  <c r="N8" i="4"/>
  <c r="P8" i="4" s="1"/>
  <c r="G10" i="4"/>
  <c r="L9" i="4"/>
  <c r="M9" i="4" s="1"/>
  <c r="N9" i="4" s="1"/>
  <c r="P9" i="4" s="1"/>
  <c r="G11" i="7" l="1"/>
  <c r="L10" i="7"/>
  <c r="M10" i="7" s="1"/>
  <c r="N10" i="7" s="1"/>
  <c r="P10" i="7" s="1"/>
  <c r="G10" i="6"/>
  <c r="L9" i="6"/>
  <c r="M9" i="6" s="1"/>
  <c r="N9" i="6" s="1"/>
  <c r="P9" i="6" s="1"/>
  <c r="G11" i="5"/>
  <c r="L10" i="5"/>
  <c r="M10" i="5" s="1"/>
  <c r="N10" i="5" s="1"/>
  <c r="P10" i="5" s="1"/>
  <c r="G11" i="4"/>
  <c r="L10" i="4"/>
  <c r="M10" i="4" s="1"/>
  <c r="N10" i="4" s="1"/>
  <c r="P10" i="4" s="1"/>
  <c r="G12" i="7" l="1"/>
  <c r="L11" i="7"/>
  <c r="M11" i="7" s="1"/>
  <c r="N11" i="7" s="1"/>
  <c r="P11" i="7" s="1"/>
  <c r="G11" i="6"/>
  <c r="L10" i="6"/>
  <c r="M10" i="6" s="1"/>
  <c r="N10" i="6" s="1"/>
  <c r="P10" i="6" s="1"/>
  <c r="G12" i="5"/>
  <c r="L11" i="5"/>
  <c r="M11" i="5" s="1"/>
  <c r="N11" i="5" s="1"/>
  <c r="P11" i="5" s="1"/>
  <c r="G12" i="4"/>
  <c r="L11" i="4"/>
  <c r="M11" i="4" s="1"/>
  <c r="N11" i="4" s="1"/>
  <c r="P11" i="4" s="1"/>
  <c r="G13" i="7" l="1"/>
  <c r="L12" i="7"/>
  <c r="M12" i="7" s="1"/>
  <c r="N12" i="7" s="1"/>
  <c r="P12" i="7" s="1"/>
  <c r="G12" i="6"/>
  <c r="L11" i="6"/>
  <c r="M11" i="6" s="1"/>
  <c r="N11" i="6" s="1"/>
  <c r="P11" i="6" s="1"/>
  <c r="G13" i="5"/>
  <c r="L12" i="5"/>
  <c r="M12" i="5" s="1"/>
  <c r="N12" i="5" s="1"/>
  <c r="P12" i="5" s="1"/>
  <c r="G13" i="4"/>
  <c r="L12" i="4"/>
  <c r="M12" i="4" s="1"/>
  <c r="N12" i="4" s="1"/>
  <c r="P12" i="4" s="1"/>
  <c r="G14" i="7" l="1"/>
  <c r="L13" i="7"/>
  <c r="M13" i="7" s="1"/>
  <c r="N13" i="7" s="1"/>
  <c r="P13" i="7" s="1"/>
  <c r="G13" i="6"/>
  <c r="L12" i="6"/>
  <c r="M12" i="6" s="1"/>
  <c r="N12" i="6" s="1"/>
  <c r="P12" i="6" s="1"/>
  <c r="G14" i="5"/>
  <c r="L13" i="5"/>
  <c r="M13" i="5" s="1"/>
  <c r="N13" i="5" s="1"/>
  <c r="P13" i="5" s="1"/>
  <c r="G14" i="4"/>
  <c r="L13" i="4"/>
  <c r="M13" i="4" s="1"/>
  <c r="N13" i="4" s="1"/>
  <c r="P13" i="4" s="1"/>
  <c r="G15" i="7" l="1"/>
  <c r="L14" i="7"/>
  <c r="M14" i="7" s="1"/>
  <c r="N14" i="7" s="1"/>
  <c r="P14" i="7" s="1"/>
  <c r="G14" i="6"/>
  <c r="L13" i="6"/>
  <c r="M13" i="6" s="1"/>
  <c r="N13" i="6" s="1"/>
  <c r="P13" i="6" s="1"/>
  <c r="G15" i="5"/>
  <c r="L14" i="5"/>
  <c r="M14" i="5" s="1"/>
  <c r="N14" i="5" s="1"/>
  <c r="P14" i="5" s="1"/>
  <c r="G15" i="4"/>
  <c r="L14" i="4"/>
  <c r="M14" i="4" s="1"/>
  <c r="N14" i="4" s="1"/>
  <c r="P14" i="4" s="1"/>
  <c r="G16" i="7" l="1"/>
  <c r="L15" i="7"/>
  <c r="M15" i="7" s="1"/>
  <c r="N15" i="7" s="1"/>
  <c r="P15" i="7" s="1"/>
  <c r="L14" i="6"/>
  <c r="M14" i="6" s="1"/>
  <c r="N14" i="6" s="1"/>
  <c r="P14" i="6" s="1"/>
  <c r="G15" i="6"/>
  <c r="G16" i="5"/>
  <c r="L15" i="5"/>
  <c r="M15" i="5" s="1"/>
  <c r="N15" i="5" s="1"/>
  <c r="P15" i="5" s="1"/>
  <c r="G16" i="4"/>
  <c r="L15" i="4"/>
  <c r="M15" i="4" s="1"/>
  <c r="N15" i="4" s="1"/>
  <c r="P15" i="4" s="1"/>
  <c r="G17" i="7" l="1"/>
  <c r="L16" i="7"/>
  <c r="M16" i="7" s="1"/>
  <c r="N16" i="7" s="1"/>
  <c r="P16" i="7" s="1"/>
  <c r="G16" i="6"/>
  <c r="L15" i="6"/>
  <c r="M15" i="6" s="1"/>
  <c r="N15" i="6" s="1"/>
  <c r="P15" i="6" s="1"/>
  <c r="G17" i="5"/>
  <c r="L16" i="5"/>
  <c r="M16" i="5" s="1"/>
  <c r="N16" i="5" s="1"/>
  <c r="P16" i="5" s="1"/>
  <c r="G17" i="4"/>
  <c r="L16" i="4"/>
  <c r="M16" i="4" s="1"/>
  <c r="N16" i="4" s="1"/>
  <c r="P16" i="4" s="1"/>
  <c r="G18" i="7" l="1"/>
  <c r="L18" i="7" s="1"/>
  <c r="M18" i="7" s="1"/>
  <c r="L17" i="7"/>
  <c r="M17" i="7" s="1"/>
  <c r="N17" i="7" s="1"/>
  <c r="P17" i="7" s="1"/>
  <c r="G17" i="6"/>
  <c r="L16" i="6"/>
  <c r="M16" i="6" s="1"/>
  <c r="N16" i="6" s="1"/>
  <c r="P16" i="6" s="1"/>
  <c r="G18" i="5"/>
  <c r="L18" i="5" s="1"/>
  <c r="M18" i="5" s="1"/>
  <c r="L17" i="5"/>
  <c r="M17" i="5" s="1"/>
  <c r="N17" i="5" s="1"/>
  <c r="P17" i="5" s="1"/>
  <c r="G18" i="4"/>
  <c r="L18" i="4" s="1"/>
  <c r="M18" i="4" s="1"/>
  <c r="L17" i="4"/>
  <c r="M17" i="4" s="1"/>
  <c r="N17" i="4" s="1"/>
  <c r="P17" i="4" s="1"/>
  <c r="N18" i="7" l="1"/>
  <c r="P18" i="7" s="1"/>
  <c r="G18" i="6"/>
  <c r="L18" i="6" s="1"/>
  <c r="M18" i="6" s="1"/>
  <c r="L17" i="6"/>
  <c r="M17" i="6" s="1"/>
  <c r="N17" i="6" s="1"/>
  <c r="P17" i="6" s="1"/>
  <c r="N18" i="5"/>
  <c r="P18" i="5" s="1"/>
  <c r="N18" i="4"/>
  <c r="P18" i="4" s="1"/>
  <c r="N18" i="6" l="1"/>
  <c r="P18" i="6" s="1"/>
  <c r="L7" i="3" l="1"/>
  <c r="L8" i="3"/>
  <c r="J9" i="3"/>
  <c r="K9" i="3"/>
  <c r="K11" i="3" s="1"/>
  <c r="E5" i="2"/>
  <c r="B6" i="2" s="1"/>
  <c r="C6" i="2"/>
  <c r="C7" i="2"/>
  <c r="C8" i="2"/>
  <c r="C9" i="2"/>
  <c r="C10" i="2"/>
  <c r="C11" i="2"/>
  <c r="C12" i="2"/>
  <c r="D12" i="2" s="1"/>
  <c r="H12" i="2" s="1"/>
  <c r="I12" i="2" s="1"/>
  <c r="C13" i="2"/>
  <c r="D13" i="2" s="1"/>
  <c r="H13" i="2" s="1"/>
  <c r="I13" i="2" s="1"/>
  <c r="J13" i="2" s="1"/>
  <c r="K13" i="2" s="1"/>
  <c r="C14" i="2"/>
  <c r="D14" i="2" s="1"/>
  <c r="H14" i="2" s="1"/>
  <c r="I14" i="2" s="1"/>
  <c r="C15" i="2"/>
  <c r="D15" i="2" s="1"/>
  <c r="H15" i="2" s="1"/>
  <c r="I15" i="2" s="1"/>
  <c r="C16" i="2"/>
  <c r="D16" i="2" s="1"/>
  <c r="H16" i="2" s="1"/>
  <c r="I16" i="2" s="1"/>
  <c r="C17" i="2"/>
  <c r="D17" i="2" s="1"/>
  <c r="H17" i="2" s="1"/>
  <c r="I17" i="2" s="1"/>
  <c r="J17" i="2" s="1"/>
  <c r="K17" i="2" s="1"/>
  <c r="C18" i="2"/>
  <c r="D18" i="2" s="1"/>
  <c r="H18" i="2" s="1"/>
  <c r="I18" i="2" s="1"/>
  <c r="J15" i="2" l="1"/>
  <c r="K15" i="2" s="1"/>
  <c r="J12" i="2"/>
  <c r="K12" i="2" s="1"/>
  <c r="J16" i="2"/>
  <c r="K16" i="2"/>
  <c r="J18" i="2"/>
  <c r="K18" i="2" s="1"/>
  <c r="J14" i="2"/>
  <c r="K14" i="2"/>
  <c r="L9" i="3"/>
  <c r="L11" i="3" s="1"/>
  <c r="J11" i="3" s="1"/>
  <c r="O5" i="1" l="1"/>
  <c r="O33" i="10" s="1"/>
  <c r="O6" i="1"/>
  <c r="O34" i="10" s="1"/>
  <c r="O4" i="1"/>
  <c r="M5" i="1"/>
  <c r="M33" i="10" s="1"/>
  <c r="M36" i="10" s="1"/>
  <c r="M40" i="10" s="1"/>
  <c r="M4" i="1"/>
  <c r="I5" i="1"/>
  <c r="I33" i="10" s="1"/>
  <c r="I6" i="1"/>
  <c r="I34" i="10" s="1"/>
  <c r="I4" i="1"/>
  <c r="G5" i="1"/>
  <c r="G33" i="10" s="1"/>
  <c r="G36" i="10" s="1"/>
  <c r="G40" i="10" s="1"/>
  <c r="G4" i="1"/>
  <c r="R6" i="1"/>
  <c r="R34" i="10" s="1"/>
  <c r="P6" i="1"/>
  <c r="P34" i="10" s="1"/>
  <c r="J6" i="1"/>
  <c r="J34" i="10" s="1"/>
  <c r="R5" i="1"/>
  <c r="R33" i="10" s="1"/>
  <c r="R4" i="1"/>
  <c r="L5" i="1"/>
  <c r="L4" i="1"/>
  <c r="N4" i="1" s="1"/>
  <c r="F5" i="1"/>
  <c r="J4" i="1"/>
  <c r="Q8" i="1"/>
  <c r="R8" i="1" s="1"/>
  <c r="Q19" i="1"/>
  <c r="Q7" i="1" s="1"/>
  <c r="K19" i="1"/>
  <c r="E19" i="1"/>
  <c r="E7" i="1" s="1"/>
  <c r="G7" i="1" s="1"/>
  <c r="D5" i="1"/>
  <c r="D33" i="10" s="1"/>
  <c r="D36" i="10" s="1"/>
  <c r="D40" i="10" s="1"/>
  <c r="D7" i="1"/>
  <c r="D8" i="1"/>
  <c r="D4" i="1"/>
  <c r="P5" i="1" l="1"/>
  <c r="P33" i="10" s="1"/>
  <c r="P36" i="10" s="1"/>
  <c r="P40" i="10" s="1"/>
  <c r="L33" i="10"/>
  <c r="L36" i="10" s="1"/>
  <c r="L40" i="10" s="1"/>
  <c r="J5" i="1"/>
  <c r="J33" i="10" s="1"/>
  <c r="J36" i="10" s="1"/>
  <c r="J40" i="10" s="1"/>
  <c r="F33" i="10"/>
  <c r="F36" i="10" s="1"/>
  <c r="F40" i="10" s="1"/>
  <c r="R36" i="10"/>
  <c r="R40" i="10" s="1"/>
  <c r="I36" i="10"/>
  <c r="I40" i="10" s="1"/>
  <c r="E8" i="1"/>
  <c r="O36" i="10"/>
  <c r="O40" i="10" s="1"/>
  <c r="H4" i="1"/>
  <c r="N6" i="1"/>
  <c r="N34" i="10" s="1"/>
  <c r="E14" i="1"/>
  <c r="E13" i="1"/>
  <c r="K8" i="1"/>
  <c r="K14" i="1"/>
  <c r="K13" i="1"/>
  <c r="R7" i="1"/>
  <c r="R9" i="1" s="1"/>
  <c r="E12" i="8" s="1"/>
  <c r="Q13" i="1"/>
  <c r="Q14" i="1"/>
  <c r="R14" i="1" s="1"/>
  <c r="P4" i="1"/>
  <c r="N5" i="1"/>
  <c r="N33" i="10" s="1"/>
  <c r="N36" i="10" s="1"/>
  <c r="N40" i="10" s="1"/>
  <c r="H5" i="1"/>
  <c r="H33" i="10" s="1"/>
  <c r="H36" i="10" s="1"/>
  <c r="H40" i="10" s="1"/>
  <c r="Q9" i="1"/>
  <c r="D12" i="8" s="1"/>
  <c r="K7" i="1"/>
  <c r="D9" i="1"/>
  <c r="F8" i="1" l="1"/>
  <c r="G8" i="1"/>
  <c r="I8" i="1"/>
  <c r="F7" i="1"/>
  <c r="I7" i="1"/>
  <c r="G9" i="1"/>
  <c r="D8" i="8" s="1"/>
  <c r="E9" i="1"/>
  <c r="F14" i="1"/>
  <c r="G14" i="1"/>
  <c r="I14" i="1"/>
  <c r="G13" i="1"/>
  <c r="D22" i="8" s="1"/>
  <c r="I13" i="1"/>
  <c r="F13" i="1"/>
  <c r="R13" i="1"/>
  <c r="E26" i="8" s="1"/>
  <c r="D26" i="8"/>
  <c r="M13" i="1"/>
  <c r="D24" i="8" s="1"/>
  <c r="O13" i="1"/>
  <c r="L13" i="1"/>
  <c r="O7" i="1"/>
  <c r="O9" i="1" s="1"/>
  <c r="D11" i="8" s="1"/>
  <c r="M7" i="1"/>
  <c r="M14" i="1"/>
  <c r="O14" i="1"/>
  <c r="L14" i="1"/>
  <c r="L8" i="1"/>
  <c r="M8" i="1"/>
  <c r="O8" i="1"/>
  <c r="L7" i="1"/>
  <c r="K9" i="1"/>
  <c r="D25" i="8" l="1"/>
  <c r="I9" i="1"/>
  <c r="D9" i="8" s="1"/>
  <c r="J8" i="1"/>
  <c r="H8" i="1"/>
  <c r="H14" i="1"/>
  <c r="J14" i="1"/>
  <c r="P14" i="1"/>
  <c r="N14" i="1"/>
  <c r="P13" i="1"/>
  <c r="N13" i="1"/>
  <c r="P8" i="1"/>
  <c r="N8" i="1"/>
  <c r="H13" i="1"/>
  <c r="E22" i="8" s="1"/>
  <c r="J13" i="1"/>
  <c r="E23" i="8" s="1"/>
  <c r="M9" i="1"/>
  <c r="D10" i="8" s="1"/>
  <c r="D13" i="8" s="1"/>
  <c r="D23" i="8"/>
  <c r="D27" i="8" s="1"/>
  <c r="J7" i="1"/>
  <c r="J9" i="1" s="1"/>
  <c r="E9" i="8" s="1"/>
  <c r="F9" i="1"/>
  <c r="H7" i="1"/>
  <c r="L9" i="1"/>
  <c r="P7" i="1"/>
  <c r="N7" i="1"/>
  <c r="D1" i="2"/>
  <c r="E6" i="2"/>
  <c r="H9" i="1" l="1"/>
  <c r="E8" i="8" s="1"/>
  <c r="E25" i="8"/>
  <c r="E24" i="8"/>
  <c r="E27" i="8" s="1"/>
  <c r="N9" i="1"/>
  <c r="E10" i="8" s="1"/>
  <c r="P9" i="1"/>
  <c r="E11" i="8" s="1"/>
  <c r="B7" i="2"/>
  <c r="G6" i="2"/>
  <c r="D7" i="2"/>
  <c r="H7" i="2" s="1"/>
  <c r="I7" i="2" s="1"/>
  <c r="D9" i="2"/>
  <c r="H9" i="2" s="1"/>
  <c r="I9" i="2" s="1"/>
  <c r="J9" i="2" s="1"/>
  <c r="K9" i="2" s="1"/>
  <c r="D10" i="2"/>
  <c r="H10" i="2" s="1"/>
  <c r="I10" i="2" s="1"/>
  <c r="D11" i="2"/>
  <c r="H11" i="2" s="1"/>
  <c r="I11" i="2" s="1"/>
  <c r="D8" i="2"/>
  <c r="H8" i="2" s="1"/>
  <c r="I8" i="2" s="1"/>
  <c r="E13" i="8" l="1"/>
  <c r="J11" i="2"/>
  <c r="K11" i="2" s="1"/>
  <c r="J10" i="2"/>
  <c r="K10" i="2" s="1"/>
  <c r="G7" i="2"/>
  <c r="L6" i="2"/>
  <c r="M6" i="2" s="1"/>
  <c r="N6" i="2" s="1"/>
  <c r="J8" i="2"/>
  <c r="K8" i="2" s="1"/>
  <c r="J7" i="2"/>
  <c r="K7" i="2" s="1"/>
  <c r="E7" i="2"/>
  <c r="B8" i="2" s="1"/>
  <c r="E8" i="2" s="1"/>
  <c r="B9" i="2" s="1"/>
  <c r="E9" i="2" s="1"/>
  <c r="B10" i="2" s="1"/>
  <c r="E10" i="2" s="1"/>
  <c r="B11" i="2" s="1"/>
  <c r="E11" i="2" s="1"/>
  <c r="B12" i="2" s="1"/>
  <c r="E12" i="2" s="1"/>
  <c r="B13" i="2" s="1"/>
  <c r="E13" i="2" s="1"/>
  <c r="B14" i="2" s="1"/>
  <c r="E14" i="2" s="1"/>
  <c r="B15" i="2" s="1"/>
  <c r="E15" i="2" s="1"/>
  <c r="B16" i="2" s="1"/>
  <c r="E16" i="2" s="1"/>
  <c r="B17" i="2" s="1"/>
  <c r="E17" i="2" s="1"/>
  <c r="B18" i="2" s="1"/>
  <c r="E18" i="2" s="1"/>
  <c r="G8" i="2" l="1"/>
  <c r="L7" i="2"/>
  <c r="M7" i="2" s="1"/>
  <c r="N7" i="2" s="1"/>
  <c r="P7" i="2" s="1"/>
  <c r="G9" i="2" l="1"/>
  <c r="L8" i="2"/>
  <c r="M8" i="2" s="1"/>
  <c r="N8" i="2" s="1"/>
  <c r="P8" i="2" s="1"/>
  <c r="G10" i="2" l="1"/>
  <c r="L9" i="2"/>
  <c r="M9" i="2" s="1"/>
  <c r="N9" i="2" s="1"/>
  <c r="P9" i="2" s="1"/>
  <c r="G11" i="2" l="1"/>
  <c r="L10" i="2"/>
  <c r="M10" i="2" s="1"/>
  <c r="N10" i="2" s="1"/>
  <c r="P10" i="2" s="1"/>
  <c r="G12" i="2" l="1"/>
  <c r="L11" i="2"/>
  <c r="M11" i="2" s="1"/>
  <c r="N11" i="2" s="1"/>
  <c r="P11" i="2" s="1"/>
  <c r="G13" i="2" l="1"/>
  <c r="L12" i="2"/>
  <c r="M12" i="2" s="1"/>
  <c r="N12" i="2" s="1"/>
  <c r="P12" i="2" s="1"/>
  <c r="G14" i="2" l="1"/>
  <c r="L13" i="2"/>
  <c r="M13" i="2" s="1"/>
  <c r="N13" i="2" s="1"/>
  <c r="P13" i="2" s="1"/>
  <c r="G15" i="2" l="1"/>
  <c r="L14" i="2"/>
  <c r="M14" i="2" s="1"/>
  <c r="N14" i="2" s="1"/>
  <c r="P14" i="2" s="1"/>
  <c r="G16" i="2" l="1"/>
  <c r="L15" i="2"/>
  <c r="M15" i="2" s="1"/>
  <c r="N15" i="2" s="1"/>
  <c r="P15" i="2" s="1"/>
  <c r="G17" i="2" l="1"/>
  <c r="L16" i="2"/>
  <c r="M16" i="2" s="1"/>
  <c r="N16" i="2" s="1"/>
  <c r="P16" i="2" s="1"/>
  <c r="G18" i="2" l="1"/>
  <c r="L18" i="2" s="1"/>
  <c r="M18" i="2" s="1"/>
  <c r="L17" i="2"/>
  <c r="M17" i="2" s="1"/>
  <c r="N17" i="2" s="1"/>
  <c r="P17" i="2" s="1"/>
  <c r="N18" i="2" l="1"/>
  <c r="P18" i="2" s="1"/>
</calcChain>
</file>

<file path=xl/comments1.xml><?xml version="1.0" encoding="utf-8"?>
<comments xmlns="http://schemas.openxmlformats.org/spreadsheetml/2006/main">
  <authors>
    <author>Kennedy, Megan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>Kennedy, Megan:</t>
        </r>
        <r>
          <rPr>
            <sz val="9"/>
            <color indexed="81"/>
            <rFont val="Tahoma"/>
            <family val="2"/>
          </rPr>
          <t xml:space="preserve">
excluded bonus tax overhead amount</t>
        </r>
      </text>
    </comment>
  </commentList>
</comments>
</file>

<file path=xl/sharedStrings.xml><?xml version="1.0" encoding="utf-8"?>
<sst xmlns="http://schemas.openxmlformats.org/spreadsheetml/2006/main" count="523" uniqueCount="94">
  <si>
    <t>Balance 12/31/2018</t>
  </si>
  <si>
    <t>Old Method Repairs</t>
  </si>
  <si>
    <t>Old Method Repairs - Amortization</t>
  </si>
  <si>
    <t>New Method Repairs</t>
  </si>
  <si>
    <t>New Method STR</t>
  </si>
  <si>
    <t>System</t>
  </si>
  <si>
    <t>ADFIT</t>
  </si>
  <si>
    <t>Grossed-Up (Rev. Req.)</t>
  </si>
  <si>
    <t>Balance 12/31/2019</t>
  </si>
  <si>
    <t>Electric</t>
  </si>
  <si>
    <t>Gas North</t>
  </si>
  <si>
    <t>Oregon</t>
  </si>
  <si>
    <t>Electric - WA</t>
  </si>
  <si>
    <t>Electric - ID</t>
  </si>
  <si>
    <t>Gas North - WA</t>
  </si>
  <si>
    <t>Gas North - ID</t>
  </si>
  <si>
    <t>Future Annual Additions</t>
  </si>
  <si>
    <t>New Repairs Method (includes old)</t>
  </si>
  <si>
    <t>New STR</t>
  </si>
  <si>
    <t>Ending Balance</t>
  </si>
  <si>
    <t>Amortization</t>
  </si>
  <si>
    <t>Additions</t>
  </si>
  <si>
    <t>Beginning Bal</t>
  </si>
  <si>
    <t>Excess</t>
  </si>
  <si>
    <t>Balance to Amortize</t>
  </si>
  <si>
    <t>Years to Amortize</t>
  </si>
  <si>
    <t>Amortization (407)</t>
  </si>
  <si>
    <t>FIT (409/410)</t>
  </si>
  <si>
    <t>NOI</t>
  </si>
  <si>
    <t>Return on Rate Base</t>
  </si>
  <si>
    <t>ROR</t>
  </si>
  <si>
    <t>CF</t>
  </si>
  <si>
    <t>Rate Base  Impact</t>
  </si>
  <si>
    <t>Rev. Req.</t>
  </si>
  <si>
    <t>NOI B4 FIT</t>
  </si>
  <si>
    <t>Incremental Rev. Req. Impact</t>
  </si>
  <si>
    <t>EOP</t>
  </si>
  <si>
    <t>Total Rev Req Need before Proposal</t>
  </si>
  <si>
    <t>Net Rev Req Need after Proposal</t>
  </si>
  <si>
    <t>WA Electric</t>
  </si>
  <si>
    <t>ID Electric</t>
  </si>
  <si>
    <t>WA Natural Gas</t>
  </si>
  <si>
    <t>ID Natural Gas</t>
  </si>
  <si>
    <t>OR Natural Gas</t>
  </si>
  <si>
    <t>ADIT</t>
  </si>
  <si>
    <t>Annual Additional Amounts</t>
  </si>
  <si>
    <t>Tax Repairs, IDD #5, and Meters</t>
  </si>
  <si>
    <t>Estimated ADIT by Basis Adjustment</t>
  </si>
  <si>
    <t>Repairs</t>
  </si>
  <si>
    <t>IDD #5</t>
  </si>
  <si>
    <t>Meters</t>
  </si>
  <si>
    <t>Repairs - Amortization</t>
  </si>
  <si>
    <t>Repairs 481(a)</t>
  </si>
  <si>
    <t>Meters - Amortization</t>
  </si>
  <si>
    <t>IDD #5 - Amortization</t>
  </si>
  <si>
    <t>IDD #5 481(a)</t>
  </si>
  <si>
    <t>Meters 481(a)</t>
  </si>
  <si>
    <t>Repairs - Excess Deferreds</t>
  </si>
  <si>
    <t>Meters - Excess Deferreds</t>
  </si>
  <si>
    <t>IDD #5 - Excess Deferreds</t>
  </si>
  <si>
    <t>Accounting Period</t>
  </si>
  <si>
    <t>Main Plant Account</t>
  </si>
  <si>
    <t>Plant Acct</t>
  </si>
  <si>
    <t>Service</t>
  </si>
  <si>
    <t>Jurisdiction</t>
  </si>
  <si>
    <t>Current Period Adds</t>
  </si>
  <si>
    <t>Current Period Adjustments</t>
  </si>
  <si>
    <t>Current Period Reclasses</t>
  </si>
  <si>
    <t>Current Period Retirements</t>
  </si>
  <si>
    <t>Current Period Transfers</t>
  </si>
  <si>
    <t>202001</t>
  </si>
  <si>
    <t>370</t>
  </si>
  <si>
    <t>370000</t>
  </si>
  <si>
    <t>ED</t>
  </si>
  <si>
    <t>ID</t>
  </si>
  <si>
    <t>WA</t>
  </si>
  <si>
    <t>370121</t>
  </si>
  <si>
    <t>381</t>
  </si>
  <si>
    <t>381000</t>
  </si>
  <si>
    <t>GD</t>
  </si>
  <si>
    <t>OR</t>
  </si>
  <si>
    <t>381121</t>
  </si>
  <si>
    <t>202002</t>
  </si>
  <si>
    <t>202003</t>
  </si>
  <si>
    <t>202004</t>
  </si>
  <si>
    <t>202005</t>
  </si>
  <si>
    <t>202006</t>
  </si>
  <si>
    <t>202007</t>
  </si>
  <si>
    <t>202008</t>
  </si>
  <si>
    <t>Repairs PF in case</t>
  </si>
  <si>
    <t xml:space="preserve">   Repairs</t>
  </si>
  <si>
    <t xml:space="preserve">   Repairs Amortization</t>
  </si>
  <si>
    <t>2020 PF Adjustment</t>
  </si>
  <si>
    <t>Balance 12/31/2020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</si>
</sst>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[$-409]mmmm\ d\,\ yyyy;@"/>
    <numFmt numFmtId="167" formatCode="_(&quot;$&quot;* #,##0_);_(&quot;$&quot;* \(#,##0\);_(&quot;$&quot;* &quot;-&quot;??_);_(@_)"/>
    <numFmt numFmtId="168" formatCode="_(* #,##0.0_);_(* \(#,##0.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Tahoma"/>
      <family val="2"/>
    </font>
    <font>
      <sz val="10.5"/>
      <color rgb="FF343334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AEAEA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C0BFC0"/>
      </left>
      <right style="medium">
        <color rgb="FFC0BFC0"/>
      </right>
      <top style="medium">
        <color rgb="FFC0BFC0"/>
      </top>
      <bottom style="medium">
        <color rgb="FFC0BFC0"/>
      </bottom>
      <diagonal/>
    </border>
    <border>
      <left style="medium">
        <color rgb="FFC0BFC0"/>
      </left>
      <right style="medium">
        <color rgb="FFC0BFC0"/>
      </right>
      <top/>
      <bottom style="medium">
        <color rgb="FFC0BFC0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</cellStyleXfs>
  <cellXfs count="53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/>
    <xf numFmtId="164" fontId="0" fillId="0" borderId="0" xfId="1" applyNumberFormat="1" applyFont="1"/>
    <xf numFmtId="0" fontId="0" fillId="0" borderId="0" xfId="0" applyFont="1" applyAlignment="1">
      <alignment horizontal="left" wrapText="1"/>
    </xf>
    <xf numFmtId="164" fontId="0" fillId="0" borderId="1" xfId="1" applyNumberFormat="1" applyFont="1" applyBorder="1"/>
    <xf numFmtId="165" fontId="0" fillId="0" borderId="0" xfId="2" applyNumberFormat="1" applyFont="1"/>
    <xf numFmtId="14" fontId="0" fillId="0" borderId="0" xfId="0" applyNumberFormat="1"/>
    <xf numFmtId="14" fontId="3" fillId="0" borderId="0" xfId="0" applyNumberFormat="1" applyFont="1"/>
    <xf numFmtId="0" fontId="3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10" fontId="0" fillId="0" borderId="0" xfId="0" applyNumberFormat="1"/>
    <xf numFmtId="164" fontId="2" fillId="0" borderId="0" xfId="1" applyNumberFormat="1" applyFont="1" applyAlignment="1">
      <alignment horizontal="center" wrapText="1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12" xfId="0" applyFill="1" applyBorder="1"/>
    <xf numFmtId="166" fontId="0" fillId="2" borderId="0" xfId="0" applyNumberFormat="1" applyFill="1" applyBorder="1" applyAlignment="1">
      <alignment horizontal="center"/>
    </xf>
    <xf numFmtId="0" fontId="0" fillId="2" borderId="0" xfId="0" applyFill="1" applyBorder="1"/>
    <xf numFmtId="0" fontId="2" fillId="2" borderId="0" xfId="0" applyFont="1" applyFill="1" applyBorder="1" applyAlignment="1">
      <alignment horizontal="center" wrapText="1"/>
    </xf>
    <xf numFmtId="167" fontId="0" fillId="2" borderId="0" xfId="3" applyNumberFormat="1" applyFont="1" applyFill="1" applyBorder="1"/>
    <xf numFmtId="164" fontId="0" fillId="2" borderId="0" xfId="1" applyNumberFormat="1" applyFont="1" applyFill="1" applyBorder="1"/>
    <xf numFmtId="167" fontId="0" fillId="2" borderId="4" xfId="3" applyNumberFormat="1" applyFont="1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164" fontId="0" fillId="4" borderId="0" xfId="1" applyNumberFormat="1" applyFont="1" applyFill="1"/>
    <xf numFmtId="164" fontId="0" fillId="0" borderId="0" xfId="1" applyNumberFormat="1" applyFont="1" applyFill="1"/>
    <xf numFmtId="0" fontId="0" fillId="0" borderId="0" xfId="0" applyFill="1"/>
    <xf numFmtId="168" fontId="0" fillId="0" borderId="0" xfId="1" applyNumberFormat="1" applyFont="1"/>
    <xf numFmtId="9" fontId="0" fillId="0" borderId="0" xfId="2" applyFont="1"/>
    <xf numFmtId="9" fontId="0" fillId="0" borderId="0" xfId="2" applyFont="1" applyFill="1"/>
    <xf numFmtId="164" fontId="0" fillId="5" borderId="0" xfId="1" applyNumberFormat="1" applyFont="1" applyFill="1"/>
    <xf numFmtId="0" fontId="0" fillId="0" borderId="0" xfId="0" applyAlignment="1">
      <alignment horizontal="left" indent="1"/>
    </xf>
    <xf numFmtId="0" fontId="6" fillId="0" borderId="0" xfId="4"/>
    <xf numFmtId="0" fontId="7" fillId="6" borderId="13" xfId="4" applyFont="1" applyFill="1" applyBorder="1" applyAlignment="1">
      <alignment horizontal="center" vertical="top"/>
    </xf>
    <xf numFmtId="0" fontId="7" fillId="0" borderId="14" xfId="4" applyFont="1" applyBorder="1" applyAlignment="1">
      <alignment horizontal="left" vertical="top"/>
    </xf>
    <xf numFmtId="43" fontId="7" fillId="6" borderId="13" xfId="1" applyFont="1" applyFill="1" applyBorder="1" applyAlignment="1">
      <alignment horizontal="center" vertical="top"/>
    </xf>
    <xf numFmtId="43" fontId="7" fillId="0" borderId="14" xfId="1" applyFont="1" applyBorder="1" applyAlignment="1">
      <alignment horizontal="right" vertical="top"/>
    </xf>
    <xf numFmtId="43" fontId="6" fillId="0" borderId="0" xfId="1" applyFont="1"/>
    <xf numFmtId="164" fontId="0" fillId="0" borderId="15" xfId="1" applyNumberFormat="1" applyFont="1" applyBorder="1"/>
    <xf numFmtId="164" fontId="0" fillId="0" borderId="0" xfId="1" applyNumberFormat="1" applyFont="1" applyBorder="1"/>
    <xf numFmtId="164" fontId="0" fillId="7" borderId="0" xfId="0" applyNumberFormat="1" applyFill="1"/>
    <xf numFmtId="166" fontId="0" fillId="3" borderId="8" xfId="0" applyNumberFormat="1" applyFill="1" applyBorder="1" applyAlignment="1">
      <alignment horizontal="center"/>
    </xf>
    <xf numFmtId="166" fontId="0" fillId="3" borderId="9" xfId="0" applyNumberFormat="1" applyFill="1" applyBorder="1" applyAlignment="1">
      <alignment horizontal="center"/>
    </xf>
    <xf numFmtId="166" fontId="0" fillId="3" borderId="10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5">
    <cellStyle name="Comma" xfId="1" builtinId="3"/>
    <cellStyle name="Currency" xfId="3" builtinId="4"/>
    <cellStyle name="Normal" xfId="0" builtinId="0"/>
    <cellStyle name="Normal 2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8"/>
  <sheetViews>
    <sheetView workbookViewId="0">
      <selection activeCell="E13" sqref="E13"/>
    </sheetView>
  </sheetViews>
  <sheetFormatPr defaultRowHeight="14.4" x14ac:dyDescent="0.3"/>
  <cols>
    <col min="2" max="2" width="1.33203125" customWidth="1"/>
    <col min="3" max="3" width="19.33203125" customWidth="1"/>
    <col min="4" max="5" width="15" customWidth="1"/>
    <col min="6" max="6" width="1.6640625" customWidth="1"/>
    <col min="9" max="9" width="2.6640625" customWidth="1"/>
    <col min="10" max="10" width="16.88671875" customWidth="1"/>
    <col min="11" max="11" width="16.6640625" customWidth="1"/>
    <col min="12" max="12" width="2.6640625" customWidth="1"/>
  </cols>
  <sheetData>
    <row r="2" spans="2:12" ht="15" thickBot="1" x14ac:dyDescent="0.35"/>
    <row r="3" spans="2:12" ht="6.6" customHeight="1" thickBot="1" x14ac:dyDescent="0.35">
      <c r="B3" s="14"/>
      <c r="C3" s="15"/>
      <c r="D3" s="15"/>
      <c r="E3" s="15"/>
      <c r="F3" s="16"/>
      <c r="I3" s="14"/>
      <c r="J3" s="15"/>
      <c r="K3" s="15"/>
      <c r="L3" s="16"/>
    </row>
    <row r="4" spans="2:12" x14ac:dyDescent="0.3">
      <c r="B4" s="17"/>
      <c r="C4" s="48" t="s">
        <v>46</v>
      </c>
      <c r="D4" s="49"/>
      <c r="E4" s="50"/>
      <c r="F4" s="18"/>
      <c r="I4" s="17"/>
      <c r="J4" s="48" t="s">
        <v>47</v>
      </c>
      <c r="K4" s="50"/>
      <c r="L4" s="18"/>
    </row>
    <row r="5" spans="2:12" ht="15" thickBot="1" x14ac:dyDescent="0.35">
      <c r="B5" s="17"/>
      <c r="C5" s="45">
        <v>43830</v>
      </c>
      <c r="D5" s="46"/>
      <c r="E5" s="47"/>
      <c r="F5" s="18"/>
      <c r="I5" s="17"/>
      <c r="J5" s="45">
        <v>43830</v>
      </c>
      <c r="K5" s="47"/>
      <c r="L5" s="18"/>
    </row>
    <row r="6" spans="2:12" x14ac:dyDescent="0.3">
      <c r="B6" s="17"/>
      <c r="C6" s="19"/>
      <c r="D6" s="19"/>
      <c r="E6" s="19"/>
      <c r="F6" s="18"/>
      <c r="I6" s="17"/>
      <c r="J6" s="19"/>
      <c r="K6" s="19"/>
      <c r="L6" s="18"/>
    </row>
    <row r="7" spans="2:12" ht="28.8" x14ac:dyDescent="0.3">
      <c r="B7" s="17"/>
      <c r="C7" s="20"/>
      <c r="D7" s="21" t="s">
        <v>44</v>
      </c>
      <c r="E7" s="21" t="s">
        <v>7</v>
      </c>
      <c r="F7" s="18"/>
      <c r="I7" s="17"/>
      <c r="J7" s="20"/>
      <c r="K7" s="21" t="s">
        <v>44</v>
      </c>
      <c r="L7" s="18"/>
    </row>
    <row r="8" spans="2:12" x14ac:dyDescent="0.3">
      <c r="B8" s="17"/>
      <c r="C8" s="20" t="s">
        <v>39</v>
      </c>
      <c r="D8" s="22">
        <f>'Allocation 9.29.2020'!G18</f>
        <v>-125820943.56653117</v>
      </c>
      <c r="E8" s="22">
        <f>'Allocation 9.29.2020'!H18</f>
        <v>-163509998.13714251</v>
      </c>
      <c r="F8" s="18"/>
      <c r="I8" s="17"/>
      <c r="J8" s="20" t="s">
        <v>48</v>
      </c>
      <c r="K8" s="22">
        <f>'Allocation 9.29.2020'!C4+'Allocation 9.29.2020'!C5+'Allocation 9.29.2020'!C6+'Allocation 9.29.2020'!C7+'Allocation 9.29.2020'!C8</f>
        <v>-167202945.94999999</v>
      </c>
      <c r="L8" s="18"/>
    </row>
    <row r="9" spans="2:12" x14ac:dyDescent="0.3">
      <c r="B9" s="17"/>
      <c r="C9" s="20" t="s">
        <v>40</v>
      </c>
      <c r="D9" s="23">
        <f>'Allocation 9.29.2020'!I18</f>
        <v>-67749738.843516782</v>
      </c>
      <c r="E9" s="23">
        <f>'Allocation 9.29.2020'!J18</f>
        <v>-88043845.15076904</v>
      </c>
      <c r="F9" s="18"/>
      <c r="I9" s="17"/>
      <c r="J9" s="20" t="s">
        <v>49</v>
      </c>
      <c r="K9" s="23">
        <f>'Allocation 9.29.2020'!C13+'Allocation 9.29.2020'!C14+'Allocation 9.29.2020'!C15+'Allocation 9.29.2020'!C16</f>
        <v>-82955931.560000002</v>
      </c>
      <c r="L9" s="18"/>
    </row>
    <row r="10" spans="2:12" x14ac:dyDescent="0.3">
      <c r="B10" s="17"/>
      <c r="C10" s="20" t="s">
        <v>41</v>
      </c>
      <c r="D10" s="23">
        <f>'Allocation 9.29.2020'!M18</f>
        <v>-35968450.5209857</v>
      </c>
      <c r="E10" s="23">
        <f>'Allocation 9.29.2020'!N18</f>
        <v>-46742625.758266032</v>
      </c>
      <c r="F10" s="18"/>
      <c r="I10" s="17"/>
      <c r="J10" s="20" t="s">
        <v>50</v>
      </c>
      <c r="K10" s="23">
        <f>'Allocation 9.29.2020'!C9+'Allocation 9.29.2020'!C10+'Allocation 9.29.2020'!C11+'Allocation 9.29.2020'!C12</f>
        <v>-23868862.130000003</v>
      </c>
      <c r="L10" s="18"/>
    </row>
    <row r="11" spans="2:12" ht="15" thickBot="1" x14ac:dyDescent="0.35">
      <c r="B11" s="17"/>
      <c r="C11" s="20" t="s">
        <v>42</v>
      </c>
      <c r="D11" s="23">
        <f>'Allocation 9.29.2020'!O18</f>
        <v>-15415050.22327959</v>
      </c>
      <c r="E11" s="23">
        <f>'Allocation 9.29.2020'!P18</f>
        <v>-20032553.896399725</v>
      </c>
      <c r="F11" s="18"/>
      <c r="I11" s="17"/>
      <c r="J11" s="20"/>
      <c r="K11" s="24">
        <f>SUM(K8:K10)</f>
        <v>-274027739.63999999</v>
      </c>
      <c r="L11" s="18"/>
    </row>
    <row r="12" spans="2:12" ht="15" thickBot="1" x14ac:dyDescent="0.35">
      <c r="B12" s="17"/>
      <c r="C12" s="20" t="s">
        <v>43</v>
      </c>
      <c r="D12" s="23">
        <f>'Allocation 9.29.2020'!Q18</f>
        <v>-29073556.326044992</v>
      </c>
      <c r="E12" s="23">
        <f>'Allocation 9.29.2020'!R18</f>
        <v>-37782399.384074062</v>
      </c>
      <c r="F12" s="18"/>
      <c r="I12" s="25"/>
      <c r="J12" s="26"/>
      <c r="K12" s="26"/>
      <c r="L12" s="27"/>
    </row>
    <row r="13" spans="2:12" ht="15" thickBot="1" x14ac:dyDescent="0.35">
      <c r="B13" s="17"/>
      <c r="C13" s="20"/>
      <c r="D13" s="24">
        <f>SUM(D8:D12)</f>
        <v>-274027739.48035824</v>
      </c>
      <c r="E13" s="24">
        <f>SUM(E8:E12)</f>
        <v>-356111422.32665133</v>
      </c>
      <c r="F13" s="18"/>
    </row>
    <row r="14" spans="2:12" ht="15" thickBot="1" x14ac:dyDescent="0.35">
      <c r="B14" s="25"/>
      <c r="C14" s="26"/>
      <c r="D14" s="26"/>
      <c r="E14" s="26"/>
      <c r="F14" s="27"/>
    </row>
    <row r="16" spans="2:12" ht="15" thickBot="1" x14ac:dyDescent="0.35"/>
    <row r="17" spans="2:6" ht="15" thickBot="1" x14ac:dyDescent="0.35">
      <c r="B17" s="14"/>
      <c r="C17" s="15"/>
      <c r="D17" s="15"/>
      <c r="E17" s="15"/>
      <c r="F17" s="16"/>
    </row>
    <row r="18" spans="2:6" x14ac:dyDescent="0.3">
      <c r="B18" s="17"/>
      <c r="C18" s="48" t="s">
        <v>46</v>
      </c>
      <c r="D18" s="49"/>
      <c r="E18" s="50"/>
      <c r="F18" s="18"/>
    </row>
    <row r="19" spans="2:6" ht="15" thickBot="1" x14ac:dyDescent="0.35">
      <c r="B19" s="17"/>
      <c r="C19" s="45" t="s">
        <v>45</v>
      </c>
      <c r="D19" s="46"/>
      <c r="E19" s="47"/>
      <c r="F19" s="18"/>
    </row>
    <row r="20" spans="2:6" x14ac:dyDescent="0.3">
      <c r="B20" s="17"/>
      <c r="C20" s="19"/>
      <c r="D20" s="19"/>
      <c r="E20" s="19"/>
      <c r="F20" s="18"/>
    </row>
    <row r="21" spans="2:6" ht="28.8" x14ac:dyDescent="0.3">
      <c r="B21" s="17"/>
      <c r="C21" s="20"/>
      <c r="D21" s="21" t="s">
        <v>44</v>
      </c>
      <c r="E21" s="21" t="s">
        <v>7</v>
      </c>
      <c r="F21" s="18"/>
    </row>
    <row r="22" spans="2:6" x14ac:dyDescent="0.3">
      <c r="B22" s="17"/>
      <c r="C22" s="20" t="s">
        <v>39</v>
      </c>
      <c r="D22" s="22">
        <f>'Allocation 9.29.2020'!G27</f>
        <v>-9056757.4838160686</v>
      </c>
      <c r="E22" s="22">
        <f>'Allocation 9.29.2020'!H27</f>
        <v>-11769665.34608976</v>
      </c>
      <c r="F22" s="18"/>
    </row>
    <row r="23" spans="2:6" x14ac:dyDescent="0.3">
      <c r="B23" s="17"/>
      <c r="C23" s="20" t="s">
        <v>40</v>
      </c>
      <c r="D23" s="23">
        <f>'Allocation 9.29.2020'!I27</f>
        <v>-4876715.5682086525</v>
      </c>
      <c r="E23" s="23">
        <f>'Allocation 9.29.2020'!J27</f>
        <v>-6337512.1094329469</v>
      </c>
      <c r="F23" s="18"/>
    </row>
    <row r="24" spans="2:6" x14ac:dyDescent="0.3">
      <c r="B24" s="17"/>
      <c r="C24" s="20" t="s">
        <v>41</v>
      </c>
      <c r="D24" s="23">
        <f>'Allocation 9.29.2020'!M27</f>
        <v>-3992362.701277019</v>
      </c>
      <c r="E24" s="23">
        <f>'Allocation 9.29.2020'!N27</f>
        <v>-5188255.6221923577</v>
      </c>
      <c r="F24" s="18"/>
    </row>
    <row r="25" spans="2:6" x14ac:dyDescent="0.3">
      <c r="B25" s="17"/>
      <c r="C25" s="20" t="s">
        <v>42</v>
      </c>
      <c r="D25" s="23">
        <f>'Allocation 9.29.2020'!O27</f>
        <v>-1711012.5862615798</v>
      </c>
      <c r="E25" s="23">
        <f>'Allocation 9.29.2020'!P27</f>
        <v>-2223538.1237967247</v>
      </c>
      <c r="F25" s="18"/>
    </row>
    <row r="26" spans="2:6" x14ac:dyDescent="0.3">
      <c r="B26" s="17"/>
      <c r="C26" s="20" t="s">
        <v>43</v>
      </c>
      <c r="D26" s="23">
        <f>'Allocation 9.29.2020'!Q27</f>
        <v>-2189058.9221835956</v>
      </c>
      <c r="E26" s="23">
        <f>'Allocation 9.29.2020'!R27</f>
        <v>-2844780.9255147441</v>
      </c>
      <c r="F26" s="18"/>
    </row>
    <row r="27" spans="2:6" ht="15" thickBot="1" x14ac:dyDescent="0.35">
      <c r="B27" s="17"/>
      <c r="C27" s="20"/>
      <c r="D27" s="24">
        <f>SUM(D22:D26)</f>
        <v>-21825907.261746913</v>
      </c>
      <c r="E27" s="24">
        <f>SUM(E22:E26)</f>
        <v>-28363752.127026532</v>
      </c>
      <c r="F27" s="18"/>
    </row>
    <row r="28" spans="2:6" ht="15" thickBot="1" x14ac:dyDescent="0.35">
      <c r="B28" s="25"/>
      <c r="C28" s="26"/>
      <c r="D28" s="26"/>
      <c r="E28" s="26"/>
      <c r="F28" s="27"/>
    </row>
  </sheetData>
  <mergeCells count="6">
    <mergeCell ref="C19:E19"/>
    <mergeCell ref="C4:E4"/>
    <mergeCell ref="J4:K4"/>
    <mergeCell ref="C5:E5"/>
    <mergeCell ref="J5:K5"/>
    <mergeCell ref="C18:E18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activeCell="C22" sqref="C22"/>
    </sheetView>
  </sheetViews>
  <sheetFormatPr defaultRowHeight="14.4" x14ac:dyDescent="0.3"/>
  <cols>
    <col min="1" max="1" width="10.5546875" bestFit="1" customWidth="1"/>
    <col min="2" max="2" width="15.33203125" bestFit="1" customWidth="1"/>
    <col min="3" max="3" width="13.33203125" bestFit="1" customWidth="1"/>
    <col min="4" max="4" width="14.33203125" bestFit="1" customWidth="1"/>
    <col min="5" max="5" width="13.33203125" bestFit="1" customWidth="1"/>
    <col min="6" max="6" width="0.6640625" customWidth="1"/>
    <col min="7" max="7" width="11.5546875" customWidth="1"/>
    <col min="8" max="9" width="14.33203125" customWidth="1"/>
    <col min="10" max="10" width="12.5546875" bestFit="1" customWidth="1"/>
    <col min="11" max="11" width="11" bestFit="1" customWidth="1"/>
    <col min="12" max="13" width="14.33203125" bestFit="1" customWidth="1"/>
    <col min="14" max="14" width="14.5546875" customWidth="1"/>
    <col min="15" max="15" width="13.6640625" style="3" bestFit="1" customWidth="1"/>
    <col min="16" max="16" width="11" bestFit="1" customWidth="1"/>
    <col min="18" max="19" width="11" bestFit="1" customWidth="1"/>
  </cols>
  <sheetData>
    <row r="1" spans="1:19" x14ac:dyDescent="0.3">
      <c r="A1" t="s">
        <v>24</v>
      </c>
      <c r="C1" s="8">
        <v>44196</v>
      </c>
      <c r="D1" s="3">
        <f>SUMIF(A5:A18,C1,E5:E18)</f>
        <v>-11688881</v>
      </c>
      <c r="G1" s="10"/>
      <c r="J1" s="10">
        <v>0.21</v>
      </c>
      <c r="K1" t="s">
        <v>30</v>
      </c>
      <c r="L1" s="12">
        <v>7.2099999999999997E-2</v>
      </c>
    </row>
    <row r="2" spans="1:19" x14ac:dyDescent="0.3">
      <c r="A2" t="s">
        <v>25</v>
      </c>
      <c r="C2" s="9">
        <v>5</v>
      </c>
      <c r="K2" t="s">
        <v>31</v>
      </c>
      <c r="L2">
        <v>0.75</v>
      </c>
    </row>
    <row r="4" spans="1:19" s="1" customFormat="1" ht="57.6" x14ac:dyDescent="0.3">
      <c r="B4" s="1" t="s">
        <v>22</v>
      </c>
      <c r="C4" s="1" t="s">
        <v>21</v>
      </c>
      <c r="D4" s="1" t="s">
        <v>20</v>
      </c>
      <c r="E4" s="1" t="s">
        <v>19</v>
      </c>
      <c r="G4" s="1" t="s">
        <v>32</v>
      </c>
      <c r="H4" s="1" t="s">
        <v>26</v>
      </c>
      <c r="I4" s="1" t="s">
        <v>34</v>
      </c>
      <c r="J4" s="1" t="s">
        <v>27</v>
      </c>
      <c r="K4" s="1" t="s">
        <v>28</v>
      </c>
      <c r="L4" s="1" t="s">
        <v>29</v>
      </c>
      <c r="M4" s="1" t="s">
        <v>33</v>
      </c>
      <c r="N4" s="1" t="s">
        <v>35</v>
      </c>
      <c r="O4" s="13" t="s">
        <v>37</v>
      </c>
      <c r="P4" s="1" t="s">
        <v>38</v>
      </c>
    </row>
    <row r="5" spans="1:19" x14ac:dyDescent="0.3">
      <c r="A5" s="7">
        <v>43830</v>
      </c>
      <c r="B5" s="3">
        <v>-8819235</v>
      </c>
      <c r="C5" s="3"/>
      <c r="D5" s="3">
        <v>167415</v>
      </c>
      <c r="E5" s="3">
        <f t="shared" ref="E5:E18" si="0">SUM(B5:D5)</f>
        <v>-8651820</v>
      </c>
      <c r="F5" s="3"/>
      <c r="G5" s="3">
        <v>0</v>
      </c>
      <c r="H5" s="11">
        <f>-D5</f>
        <v>-167415</v>
      </c>
      <c r="I5" s="11">
        <f>-H5</f>
        <v>167415</v>
      </c>
      <c r="J5" s="3">
        <f>I5*$J$1</f>
        <v>35157.15</v>
      </c>
      <c r="K5" s="11">
        <f>I5-J5</f>
        <v>132257.85</v>
      </c>
      <c r="L5" s="3">
        <f>G5*$L$1/$L$2</f>
        <v>0</v>
      </c>
      <c r="M5" s="3">
        <f>(-K5/$L$2)+L5</f>
        <v>-176343.80000000002</v>
      </c>
      <c r="N5" s="3"/>
    </row>
    <row r="6" spans="1:19" x14ac:dyDescent="0.3">
      <c r="A6" s="7">
        <v>44196</v>
      </c>
      <c r="B6" s="3">
        <f t="shared" ref="B6:B18" si="1">E5</f>
        <v>-8651820</v>
      </c>
      <c r="C6" s="3">
        <v>-3204476</v>
      </c>
      <c r="D6" s="3">
        <v>167415</v>
      </c>
      <c r="E6" s="3">
        <f t="shared" si="0"/>
        <v>-11688881</v>
      </c>
      <c r="F6" s="3"/>
      <c r="G6" s="3">
        <f>E6-E5</f>
        <v>-3037061</v>
      </c>
      <c r="H6" s="11">
        <f>-D6</f>
        <v>-167415</v>
      </c>
      <c r="I6" s="11">
        <f>-H6</f>
        <v>167415</v>
      </c>
      <c r="J6" s="3">
        <f>I6*$J$1</f>
        <v>35157.15</v>
      </c>
      <c r="K6" s="11">
        <f>I6-J6</f>
        <v>132257.85</v>
      </c>
      <c r="L6" s="3">
        <f>G6*$L$1/$L$2</f>
        <v>-291962.79746666667</v>
      </c>
      <c r="M6" s="3">
        <f>(-K6/$L$2)+L6</f>
        <v>-468306.59746666672</v>
      </c>
      <c r="N6" s="3">
        <f>M6-M5</f>
        <v>-291962.79746666667</v>
      </c>
    </row>
    <row r="7" spans="1:19" x14ac:dyDescent="0.3">
      <c r="A7" s="7">
        <v>44561</v>
      </c>
      <c r="B7" s="3">
        <f t="shared" si="1"/>
        <v>-11688881</v>
      </c>
      <c r="C7" s="3">
        <v>-1024274</v>
      </c>
      <c r="D7" s="3">
        <f>(-$D$1/$C$2)-C7</f>
        <v>3362050.2</v>
      </c>
      <c r="E7" s="3">
        <f t="shared" si="0"/>
        <v>-9351104.8000000007</v>
      </c>
      <c r="G7" s="3">
        <f>G6+C7+D7</f>
        <v>-699284.79999999981</v>
      </c>
      <c r="H7" s="11">
        <f t="shared" ref="H7:H18" si="2">-D7</f>
        <v>-3362050.2</v>
      </c>
      <c r="I7" s="11">
        <f t="shared" ref="I7:I18" si="3">-H7</f>
        <v>3362050.2</v>
      </c>
      <c r="J7" s="3">
        <f t="shared" ref="J7:J18" si="4">I7*$J$1</f>
        <v>706030.54200000002</v>
      </c>
      <c r="K7" s="11">
        <f t="shared" ref="K7:K18" si="5">I7-J7</f>
        <v>2656019.6580000003</v>
      </c>
      <c r="L7" s="3">
        <f t="shared" ref="L7:L18" si="6">G7*$L$1/$L$2</f>
        <v>-67224.578773333313</v>
      </c>
      <c r="M7" s="3">
        <f t="shared" ref="M7:M18" si="7">(-K7/$L$2)+L7</f>
        <v>-3608584.1227733335</v>
      </c>
      <c r="N7" s="3">
        <f>M7-M6</f>
        <v>-3140277.5253066667</v>
      </c>
      <c r="O7" s="3">
        <v>4000000</v>
      </c>
      <c r="P7" s="11">
        <f>SUM(N7:O7)</f>
        <v>859722.47469333326</v>
      </c>
      <c r="R7" s="11"/>
      <c r="S7" s="11"/>
    </row>
    <row r="8" spans="1:19" x14ac:dyDescent="0.3">
      <c r="A8" s="7">
        <v>44926</v>
      </c>
      <c r="B8" s="3">
        <f t="shared" si="1"/>
        <v>-9351104.8000000007</v>
      </c>
      <c r="C8" s="3">
        <v>-1024274</v>
      </c>
      <c r="D8" s="3">
        <f t="shared" ref="D8:D11" si="8">(-$D$1/$C$2)-C8</f>
        <v>3362050.2</v>
      </c>
      <c r="E8" s="3">
        <f t="shared" si="0"/>
        <v>-7013328.6000000006</v>
      </c>
      <c r="G8" s="3">
        <f>G7+C8+D8</f>
        <v>1638491.4000000004</v>
      </c>
      <c r="H8" s="11">
        <f t="shared" si="2"/>
        <v>-3362050.2</v>
      </c>
      <c r="I8" s="11">
        <f t="shared" si="3"/>
        <v>3362050.2</v>
      </c>
      <c r="J8" s="3">
        <f t="shared" si="4"/>
        <v>706030.54200000002</v>
      </c>
      <c r="K8" s="11">
        <f t="shared" si="5"/>
        <v>2656019.6580000003</v>
      </c>
      <c r="L8" s="3">
        <f t="shared" si="6"/>
        <v>157513.63992000002</v>
      </c>
      <c r="M8" s="3">
        <f t="shared" si="7"/>
        <v>-3383845.9040800002</v>
      </c>
      <c r="N8" s="3">
        <f t="shared" ref="N8:N18" si="9">M8-M7</f>
        <v>224738.21869333321</v>
      </c>
      <c r="O8" s="3">
        <v>4000000</v>
      </c>
      <c r="P8" s="11">
        <f t="shared" ref="P8:P18" si="10">SUM(N8:O8)</f>
        <v>4224738.2186933327</v>
      </c>
      <c r="R8" s="11"/>
      <c r="S8" s="11"/>
    </row>
    <row r="9" spans="1:19" x14ac:dyDescent="0.3">
      <c r="A9" s="7">
        <v>45291</v>
      </c>
      <c r="B9" s="3">
        <f t="shared" si="1"/>
        <v>-7013328.6000000006</v>
      </c>
      <c r="C9" s="3">
        <v>-1024274</v>
      </c>
      <c r="D9" s="3">
        <f t="shared" si="8"/>
        <v>3362050.2</v>
      </c>
      <c r="E9" s="3">
        <f t="shared" si="0"/>
        <v>-4675552.4000000004</v>
      </c>
      <c r="G9" s="3">
        <f t="shared" ref="G9:G18" si="11">G8+C9+D9</f>
        <v>3976267.6000000006</v>
      </c>
      <c r="H9" s="11">
        <f t="shared" si="2"/>
        <v>-3362050.2</v>
      </c>
      <c r="I9" s="11">
        <f t="shared" si="3"/>
        <v>3362050.2</v>
      </c>
      <c r="J9" s="3">
        <f t="shared" si="4"/>
        <v>706030.54200000002</v>
      </c>
      <c r="K9" s="11">
        <f t="shared" si="5"/>
        <v>2656019.6580000003</v>
      </c>
      <c r="L9" s="3">
        <f t="shared" si="6"/>
        <v>382251.85861333337</v>
      </c>
      <c r="M9" s="3">
        <f t="shared" si="7"/>
        <v>-3159107.685386667</v>
      </c>
      <c r="N9" s="3">
        <f t="shared" si="9"/>
        <v>224738.21869333321</v>
      </c>
      <c r="O9" s="3">
        <v>4000000</v>
      </c>
      <c r="P9" s="11">
        <f t="shared" si="10"/>
        <v>4224738.2186933327</v>
      </c>
      <c r="R9" s="11"/>
      <c r="S9" s="11"/>
    </row>
    <row r="10" spans="1:19" x14ac:dyDescent="0.3">
      <c r="A10" s="7">
        <v>45657</v>
      </c>
      <c r="B10" s="3">
        <f t="shared" si="1"/>
        <v>-4675552.4000000004</v>
      </c>
      <c r="C10" s="3">
        <v>-1024274</v>
      </c>
      <c r="D10" s="3">
        <f t="shared" si="8"/>
        <v>3362050.2</v>
      </c>
      <c r="E10" s="3">
        <f t="shared" si="0"/>
        <v>-2337776.2000000002</v>
      </c>
      <c r="G10" s="3">
        <f t="shared" si="11"/>
        <v>6314043.8000000007</v>
      </c>
      <c r="H10" s="11">
        <f t="shared" si="2"/>
        <v>-3362050.2</v>
      </c>
      <c r="I10" s="11">
        <f t="shared" si="3"/>
        <v>3362050.2</v>
      </c>
      <c r="J10" s="3">
        <f t="shared" si="4"/>
        <v>706030.54200000002</v>
      </c>
      <c r="K10" s="11">
        <f t="shared" si="5"/>
        <v>2656019.6580000003</v>
      </c>
      <c r="L10" s="3">
        <f t="shared" si="6"/>
        <v>606990.07730666676</v>
      </c>
      <c r="M10" s="3">
        <f t="shared" si="7"/>
        <v>-2934369.4666933334</v>
      </c>
      <c r="N10" s="3">
        <f t="shared" si="9"/>
        <v>224738.21869333368</v>
      </c>
      <c r="O10" s="3">
        <v>4000000</v>
      </c>
      <c r="P10" s="11">
        <f t="shared" si="10"/>
        <v>4224738.2186933337</v>
      </c>
      <c r="R10" s="11"/>
      <c r="S10" s="11"/>
    </row>
    <row r="11" spans="1:19" x14ac:dyDescent="0.3">
      <c r="A11" s="7">
        <v>46022</v>
      </c>
      <c r="B11" s="3">
        <f t="shared" si="1"/>
        <v>-2337776.2000000002</v>
      </c>
      <c r="C11" s="3">
        <v>-1024274</v>
      </c>
      <c r="D11" s="3">
        <f t="shared" si="8"/>
        <v>3362050.2</v>
      </c>
      <c r="E11" s="3">
        <f t="shared" si="0"/>
        <v>0</v>
      </c>
      <c r="G11" s="3">
        <f t="shared" si="11"/>
        <v>8651820</v>
      </c>
      <c r="H11" s="11">
        <f t="shared" si="2"/>
        <v>-3362050.2</v>
      </c>
      <c r="I11" s="11">
        <f t="shared" si="3"/>
        <v>3362050.2</v>
      </c>
      <c r="J11" s="3">
        <f t="shared" si="4"/>
        <v>706030.54200000002</v>
      </c>
      <c r="K11" s="11">
        <f t="shared" si="5"/>
        <v>2656019.6580000003</v>
      </c>
      <c r="L11" s="3">
        <f t="shared" si="6"/>
        <v>831728.29599999997</v>
      </c>
      <c r="M11" s="3">
        <f t="shared" si="7"/>
        <v>-2709631.2480000001</v>
      </c>
      <c r="N11" s="3">
        <f t="shared" si="9"/>
        <v>224738.21869333321</v>
      </c>
      <c r="O11" s="3">
        <v>4000000</v>
      </c>
      <c r="P11" s="11">
        <f t="shared" si="10"/>
        <v>4224738.2186933327</v>
      </c>
      <c r="R11" s="11"/>
      <c r="S11" s="11"/>
    </row>
    <row r="12" spans="1:19" x14ac:dyDescent="0.3">
      <c r="A12" s="7">
        <v>46387</v>
      </c>
      <c r="B12" s="3">
        <f t="shared" si="1"/>
        <v>0</v>
      </c>
      <c r="C12" s="3">
        <v>-1024274</v>
      </c>
      <c r="D12" s="3">
        <f>-C12</f>
        <v>1024274</v>
      </c>
      <c r="E12" s="3">
        <f t="shared" si="0"/>
        <v>0</v>
      </c>
      <c r="G12" s="3">
        <f t="shared" si="11"/>
        <v>8651820</v>
      </c>
      <c r="H12" s="11">
        <f t="shared" si="2"/>
        <v>-1024274</v>
      </c>
      <c r="I12" s="11">
        <f t="shared" si="3"/>
        <v>1024274</v>
      </c>
      <c r="J12" s="3">
        <f t="shared" si="4"/>
        <v>215097.53999999998</v>
      </c>
      <c r="K12" s="11">
        <f t="shared" si="5"/>
        <v>809176.46</v>
      </c>
      <c r="L12" s="3">
        <f t="shared" si="6"/>
        <v>831728.29599999997</v>
      </c>
      <c r="M12" s="3">
        <f t="shared" si="7"/>
        <v>-247173.65066666657</v>
      </c>
      <c r="N12" s="3">
        <f t="shared" si="9"/>
        <v>2462457.5973333335</v>
      </c>
      <c r="O12" s="3">
        <v>4000000</v>
      </c>
      <c r="P12" s="11">
        <f t="shared" si="10"/>
        <v>6462457.5973333335</v>
      </c>
      <c r="R12" s="11"/>
      <c r="S12" s="11"/>
    </row>
    <row r="13" spans="1:19" x14ac:dyDescent="0.3">
      <c r="A13" s="7">
        <v>46752</v>
      </c>
      <c r="B13" s="3">
        <f t="shared" si="1"/>
        <v>0</v>
      </c>
      <c r="C13" s="3">
        <v>-1024274</v>
      </c>
      <c r="D13" s="3">
        <f t="shared" ref="D13:D18" si="12">-C13</f>
        <v>1024274</v>
      </c>
      <c r="E13" s="3">
        <f t="shared" si="0"/>
        <v>0</v>
      </c>
      <c r="G13" s="3">
        <f t="shared" si="11"/>
        <v>8651820</v>
      </c>
      <c r="H13" s="11">
        <f t="shared" si="2"/>
        <v>-1024274</v>
      </c>
      <c r="I13" s="11">
        <f t="shared" si="3"/>
        <v>1024274</v>
      </c>
      <c r="J13" s="3">
        <f t="shared" si="4"/>
        <v>215097.53999999998</v>
      </c>
      <c r="K13" s="11">
        <f t="shared" si="5"/>
        <v>809176.46</v>
      </c>
      <c r="L13" s="3">
        <f t="shared" si="6"/>
        <v>831728.29599999997</v>
      </c>
      <c r="M13" s="3">
        <f t="shared" si="7"/>
        <v>-247173.65066666657</v>
      </c>
      <c r="N13" s="3">
        <f t="shared" si="9"/>
        <v>0</v>
      </c>
      <c r="O13" s="3">
        <v>4000000</v>
      </c>
      <c r="P13" s="11">
        <f t="shared" si="10"/>
        <v>4000000</v>
      </c>
      <c r="R13" s="11"/>
      <c r="S13" s="11"/>
    </row>
    <row r="14" spans="1:19" x14ac:dyDescent="0.3">
      <c r="A14" s="7">
        <v>47118</v>
      </c>
      <c r="B14" s="3">
        <f t="shared" si="1"/>
        <v>0</v>
      </c>
      <c r="C14" s="3">
        <v>-1024274</v>
      </c>
      <c r="D14" s="3">
        <f t="shared" si="12"/>
        <v>1024274</v>
      </c>
      <c r="E14" s="3">
        <f t="shared" si="0"/>
        <v>0</v>
      </c>
      <c r="G14" s="3">
        <f t="shared" si="11"/>
        <v>8651820</v>
      </c>
      <c r="H14" s="11">
        <f t="shared" si="2"/>
        <v>-1024274</v>
      </c>
      <c r="I14" s="11">
        <f t="shared" si="3"/>
        <v>1024274</v>
      </c>
      <c r="J14" s="3">
        <f t="shared" si="4"/>
        <v>215097.53999999998</v>
      </c>
      <c r="K14" s="11">
        <f t="shared" si="5"/>
        <v>809176.46</v>
      </c>
      <c r="L14" s="3">
        <f t="shared" si="6"/>
        <v>831728.29599999997</v>
      </c>
      <c r="M14" s="3">
        <f t="shared" si="7"/>
        <v>-247173.65066666657</v>
      </c>
      <c r="N14" s="3">
        <f t="shared" si="9"/>
        <v>0</v>
      </c>
      <c r="O14" s="3">
        <v>4000000</v>
      </c>
      <c r="P14" s="11">
        <f t="shared" si="10"/>
        <v>4000000</v>
      </c>
      <c r="R14" s="11"/>
      <c r="S14" s="11"/>
    </row>
    <row r="15" spans="1:19" x14ac:dyDescent="0.3">
      <c r="A15" s="7">
        <v>47483</v>
      </c>
      <c r="B15" s="3">
        <f t="shared" si="1"/>
        <v>0</v>
      </c>
      <c r="C15" s="3">
        <v>-1024274</v>
      </c>
      <c r="D15" s="3">
        <f t="shared" si="12"/>
        <v>1024274</v>
      </c>
      <c r="E15" s="3">
        <f t="shared" si="0"/>
        <v>0</v>
      </c>
      <c r="G15" s="3">
        <f t="shared" si="11"/>
        <v>8651820</v>
      </c>
      <c r="H15" s="11">
        <f t="shared" si="2"/>
        <v>-1024274</v>
      </c>
      <c r="I15" s="11">
        <f t="shared" si="3"/>
        <v>1024274</v>
      </c>
      <c r="J15" s="3">
        <f t="shared" si="4"/>
        <v>215097.53999999998</v>
      </c>
      <c r="K15" s="11">
        <f t="shared" si="5"/>
        <v>809176.46</v>
      </c>
      <c r="L15" s="3">
        <f t="shared" si="6"/>
        <v>831728.29599999997</v>
      </c>
      <c r="M15" s="3">
        <f t="shared" si="7"/>
        <v>-247173.65066666657</v>
      </c>
      <c r="N15" s="3">
        <f t="shared" si="9"/>
        <v>0</v>
      </c>
      <c r="O15" s="3">
        <v>4000000</v>
      </c>
      <c r="P15" s="11">
        <f t="shared" si="10"/>
        <v>4000000</v>
      </c>
      <c r="R15" s="11"/>
      <c r="S15" s="11"/>
    </row>
    <row r="16" spans="1:19" x14ac:dyDescent="0.3">
      <c r="A16" s="7">
        <v>47848</v>
      </c>
      <c r="B16" s="3">
        <f t="shared" si="1"/>
        <v>0</v>
      </c>
      <c r="C16" s="3">
        <v>-1024274</v>
      </c>
      <c r="D16" s="3">
        <f t="shared" si="12"/>
        <v>1024274</v>
      </c>
      <c r="E16" s="3">
        <f t="shared" si="0"/>
        <v>0</v>
      </c>
      <c r="G16" s="3">
        <f t="shared" si="11"/>
        <v>8651820</v>
      </c>
      <c r="H16" s="11">
        <f t="shared" si="2"/>
        <v>-1024274</v>
      </c>
      <c r="I16" s="11">
        <f t="shared" si="3"/>
        <v>1024274</v>
      </c>
      <c r="J16" s="3">
        <f t="shared" si="4"/>
        <v>215097.53999999998</v>
      </c>
      <c r="K16" s="11">
        <f t="shared" si="5"/>
        <v>809176.46</v>
      </c>
      <c r="L16" s="3">
        <f t="shared" si="6"/>
        <v>831728.29599999997</v>
      </c>
      <c r="M16" s="3">
        <f t="shared" si="7"/>
        <v>-247173.65066666657</v>
      </c>
      <c r="N16" s="3">
        <f t="shared" si="9"/>
        <v>0</v>
      </c>
      <c r="O16" s="3">
        <v>4000000</v>
      </c>
      <c r="P16" s="11">
        <f t="shared" si="10"/>
        <v>4000000</v>
      </c>
      <c r="R16" s="11"/>
      <c r="S16" s="11"/>
    </row>
    <row r="17" spans="1:19" x14ac:dyDescent="0.3">
      <c r="A17" s="7">
        <v>48213</v>
      </c>
      <c r="B17" s="3">
        <f t="shared" si="1"/>
        <v>0</v>
      </c>
      <c r="C17" s="3">
        <v>-1024274</v>
      </c>
      <c r="D17" s="3">
        <f t="shared" si="12"/>
        <v>1024274</v>
      </c>
      <c r="E17" s="3">
        <f t="shared" si="0"/>
        <v>0</v>
      </c>
      <c r="G17" s="3">
        <f t="shared" si="11"/>
        <v>8651820</v>
      </c>
      <c r="H17" s="11">
        <f t="shared" si="2"/>
        <v>-1024274</v>
      </c>
      <c r="I17" s="11">
        <f t="shared" si="3"/>
        <v>1024274</v>
      </c>
      <c r="J17" s="3">
        <f t="shared" si="4"/>
        <v>215097.53999999998</v>
      </c>
      <c r="K17" s="11">
        <f t="shared" si="5"/>
        <v>809176.46</v>
      </c>
      <c r="L17" s="3">
        <f t="shared" si="6"/>
        <v>831728.29599999997</v>
      </c>
      <c r="M17" s="3">
        <f t="shared" si="7"/>
        <v>-247173.65066666657</v>
      </c>
      <c r="N17" s="3">
        <f t="shared" si="9"/>
        <v>0</v>
      </c>
      <c r="O17" s="3">
        <v>4000000</v>
      </c>
      <c r="P17" s="11">
        <f t="shared" si="10"/>
        <v>4000000</v>
      </c>
      <c r="R17" s="11"/>
      <c r="S17" s="11"/>
    </row>
    <row r="18" spans="1:19" x14ac:dyDescent="0.3">
      <c r="A18" s="7">
        <v>48579</v>
      </c>
      <c r="B18" s="3">
        <f t="shared" si="1"/>
        <v>0</v>
      </c>
      <c r="C18" s="3">
        <v>-1024274</v>
      </c>
      <c r="D18" s="3">
        <f t="shared" si="12"/>
        <v>1024274</v>
      </c>
      <c r="E18" s="3">
        <f t="shared" si="0"/>
        <v>0</v>
      </c>
      <c r="G18" s="3">
        <f t="shared" si="11"/>
        <v>8651820</v>
      </c>
      <c r="H18" s="11">
        <f t="shared" si="2"/>
        <v>-1024274</v>
      </c>
      <c r="I18" s="11">
        <f t="shared" si="3"/>
        <v>1024274</v>
      </c>
      <c r="J18" s="3">
        <f t="shared" si="4"/>
        <v>215097.53999999998</v>
      </c>
      <c r="K18" s="11">
        <f t="shared" si="5"/>
        <v>809176.46</v>
      </c>
      <c r="L18" s="3">
        <f t="shared" si="6"/>
        <v>831728.29599999997</v>
      </c>
      <c r="M18" s="3">
        <f t="shared" si="7"/>
        <v>-247173.65066666657</v>
      </c>
      <c r="N18" s="3">
        <f t="shared" si="9"/>
        <v>0</v>
      </c>
      <c r="O18" s="3">
        <v>4000000</v>
      </c>
      <c r="P18" s="11">
        <f t="shared" si="10"/>
        <v>4000000</v>
      </c>
      <c r="R18" s="11"/>
      <c r="S18" s="11"/>
    </row>
    <row r="19" spans="1:19" x14ac:dyDescent="0.3">
      <c r="C19" s="3"/>
      <c r="D19" s="3"/>
      <c r="E19" s="3"/>
    </row>
    <row r="20" spans="1:19" x14ac:dyDescent="0.3">
      <c r="G20" t="s">
        <v>36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6:L11"/>
  <sheetViews>
    <sheetView workbookViewId="0">
      <selection activeCell="K6" sqref="K6"/>
    </sheetView>
  </sheetViews>
  <sheetFormatPr defaultRowHeight="14.4" x14ac:dyDescent="0.3"/>
  <cols>
    <col min="10" max="10" width="14.6640625" bestFit="1" customWidth="1"/>
    <col min="11" max="12" width="13.6640625" bestFit="1" customWidth="1"/>
  </cols>
  <sheetData>
    <row r="6" spans="10:12" x14ac:dyDescent="0.3">
      <c r="K6" t="s">
        <v>23</v>
      </c>
    </row>
    <row r="7" spans="10:12" x14ac:dyDescent="0.3">
      <c r="J7" s="3">
        <v>123986276</v>
      </c>
      <c r="K7" s="3">
        <v>46607585</v>
      </c>
      <c r="L7" s="3">
        <f>J7-K7</f>
        <v>77378691</v>
      </c>
    </row>
    <row r="8" spans="10:12" x14ac:dyDescent="0.3">
      <c r="J8" s="3">
        <v>8736000</v>
      </c>
      <c r="K8" s="3"/>
      <c r="L8" s="3">
        <f>J8-K8</f>
        <v>8736000</v>
      </c>
    </row>
    <row r="9" spans="10:12" x14ac:dyDescent="0.3">
      <c r="J9" s="3">
        <f>SUM(J7:J8)</f>
        <v>132722276</v>
      </c>
      <c r="K9" s="3">
        <f>SUM(K7:K8)</f>
        <v>46607585</v>
      </c>
      <c r="L9" s="3">
        <f>SUM(L7:L8)</f>
        <v>86114691</v>
      </c>
    </row>
    <row r="11" spans="10:12" x14ac:dyDescent="0.3">
      <c r="J11" s="3">
        <f>SUM(K11:L11)</f>
        <v>3461069.0323733659</v>
      </c>
      <c r="K11" s="3">
        <f>K9/38.25</f>
        <v>1218498.9542483659</v>
      </c>
      <c r="L11" s="3">
        <f>L9/38.4</f>
        <v>2242570.078125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tabSelected="1" zoomScale="110" zoomScaleNormal="110" workbookViewId="0">
      <pane xSplit="4" ySplit="3" topLeftCell="E19" activePane="bottomRight" state="frozen"/>
      <selection activeCell="E24" sqref="E24"/>
      <selection pane="topRight" activeCell="E24" sqref="E24"/>
      <selection pane="bottomLeft" activeCell="E24" sqref="E24"/>
      <selection pane="bottomRight" activeCell="G1" sqref="G1"/>
    </sheetView>
  </sheetViews>
  <sheetFormatPr defaultRowHeight="14.4" outlineLevelCol="1" x14ac:dyDescent="0.3"/>
  <cols>
    <col min="1" max="1" width="5.44140625" bestFit="1" customWidth="1"/>
    <col min="2" max="2" width="29.6640625" bestFit="1" customWidth="1"/>
    <col min="3" max="3" width="15.33203125" bestFit="1" customWidth="1"/>
    <col min="4" max="4" width="18.33203125" bestFit="1" customWidth="1"/>
    <col min="5" max="5" width="15.33203125" customWidth="1" outlineLevel="1"/>
    <col min="6" max="6" width="14.33203125" customWidth="1" outlineLevel="1"/>
    <col min="7" max="7" width="16.5546875" customWidth="1" outlineLevel="1"/>
    <col min="8" max="8" width="14.44140625" customWidth="1" outlineLevel="1"/>
    <col min="9" max="9" width="16.5546875" customWidth="1" outlineLevel="1"/>
    <col min="10" max="10" width="14.109375" customWidth="1" outlineLevel="1"/>
    <col min="11" max="11" width="14.33203125" customWidth="1" outlineLevel="1"/>
    <col min="12" max="16" width="13.5546875" customWidth="1" outlineLevel="1"/>
    <col min="17" max="17" width="13.33203125" customWidth="1" outlineLevel="1"/>
    <col min="18" max="18" width="14.88671875" customWidth="1" outlineLevel="1"/>
    <col min="20" max="21" width="12.33203125" bestFit="1" customWidth="1"/>
  </cols>
  <sheetData>
    <row r="1" spans="2:21" ht="15" thickBot="1" x14ac:dyDescent="0.35">
      <c r="D1">
        <v>0.23050000000000001</v>
      </c>
      <c r="G1" s="30">
        <v>0.65</v>
      </c>
      <c r="I1">
        <v>0.35</v>
      </c>
      <c r="M1">
        <v>0.7</v>
      </c>
      <c r="O1">
        <v>0.3</v>
      </c>
    </row>
    <row r="2" spans="2:21" s="2" customFormat="1" ht="15" thickBot="1" x14ac:dyDescent="0.35">
      <c r="C2" s="51" t="s">
        <v>5</v>
      </c>
      <c r="D2" s="52"/>
      <c r="E2" s="51" t="s">
        <v>9</v>
      </c>
      <c r="F2" s="52"/>
      <c r="G2" s="51" t="s">
        <v>12</v>
      </c>
      <c r="H2" s="52"/>
      <c r="I2" s="51" t="s">
        <v>13</v>
      </c>
      <c r="J2" s="52"/>
      <c r="K2" s="51" t="s">
        <v>10</v>
      </c>
      <c r="L2" s="52"/>
      <c r="M2" s="51" t="s">
        <v>14</v>
      </c>
      <c r="N2" s="52"/>
      <c r="O2" s="51" t="s">
        <v>15</v>
      </c>
      <c r="P2" s="52"/>
      <c r="Q2" s="51" t="s">
        <v>11</v>
      </c>
      <c r="R2" s="52"/>
    </row>
    <row r="3" spans="2:21" s="1" customFormat="1" ht="28.8" x14ac:dyDescent="0.3">
      <c r="C3" s="1" t="s">
        <v>6</v>
      </c>
      <c r="D3" s="1" t="s">
        <v>7</v>
      </c>
      <c r="E3" s="1" t="s">
        <v>6</v>
      </c>
      <c r="F3" s="1" t="s">
        <v>7</v>
      </c>
      <c r="G3" s="1" t="s">
        <v>6</v>
      </c>
      <c r="H3" s="1" t="s">
        <v>7</v>
      </c>
      <c r="I3" s="1" t="s">
        <v>6</v>
      </c>
      <c r="J3" s="1" t="s">
        <v>7</v>
      </c>
      <c r="K3" s="1" t="s">
        <v>6</v>
      </c>
      <c r="L3" s="1" t="s">
        <v>7</v>
      </c>
      <c r="M3" s="1" t="s">
        <v>6</v>
      </c>
      <c r="N3" s="1" t="s">
        <v>7</v>
      </c>
      <c r="O3" s="1" t="s">
        <v>6</v>
      </c>
      <c r="P3" s="1" t="s">
        <v>7</v>
      </c>
      <c r="Q3" s="1" t="s">
        <v>6</v>
      </c>
      <c r="R3" s="1" t="s">
        <v>7</v>
      </c>
    </row>
    <row r="4" spans="2:21" x14ac:dyDescent="0.3">
      <c r="B4" s="4" t="s">
        <v>0</v>
      </c>
      <c r="C4" s="29">
        <f>-(2299544.61+75562499.31-10187.71-1432456.75+52338544.27)</f>
        <v>-128757943.73000002</v>
      </c>
      <c r="D4" s="3">
        <f>C4/(1-$D$1)</f>
        <v>-167326762.48213127</v>
      </c>
      <c r="E4" s="3">
        <f>C4-K4-Q4</f>
        <v>-106312573.92000002</v>
      </c>
      <c r="F4" s="3">
        <f>E4/(1-$D$1)</f>
        <v>-138157990.79922029</v>
      </c>
      <c r="G4" s="3">
        <f>E4*$G$1</f>
        <v>-69103173.048000008</v>
      </c>
      <c r="H4" s="3">
        <f>F4*$G$1</f>
        <v>-89802694.019493192</v>
      </c>
      <c r="I4" s="3">
        <f>E4*$I$1</f>
        <v>-37209400.872000001</v>
      </c>
      <c r="J4" s="3">
        <f>F4*$I$1</f>
        <v>-48355296.779727101</v>
      </c>
      <c r="K4" s="3">
        <f>-13179543-729684.75</f>
        <v>-13909227.75</v>
      </c>
      <c r="L4" s="3">
        <f>K4/(1-$D$1)</f>
        <v>-18075669.590643276</v>
      </c>
      <c r="M4" s="3">
        <f>K4*$M$1</f>
        <v>-9736459.4249999989</v>
      </c>
      <c r="N4" s="3">
        <f>L4*$M$1</f>
        <v>-12652968.713450292</v>
      </c>
      <c r="O4" s="3">
        <f>K4*$O$1</f>
        <v>-4172768.3249999997</v>
      </c>
      <c r="P4" s="3">
        <f>L4*$O$1</f>
        <v>-5422700.8771929825</v>
      </c>
      <c r="Q4" s="3">
        <f>-8063235-472907.06</f>
        <v>-8536142.0600000005</v>
      </c>
      <c r="R4" s="3">
        <f>Q4/(1-$D$1)</f>
        <v>-11093102.092267707</v>
      </c>
      <c r="S4" s="3"/>
      <c r="T4" s="3">
        <f t="shared" ref="T4:U6" si="0">C4-G4-I4-M4-O4-Q4</f>
        <v>0</v>
      </c>
      <c r="U4" s="3">
        <f t="shared" si="0"/>
        <v>0</v>
      </c>
    </row>
    <row r="5" spans="2:21" s="30" customFormat="1" x14ac:dyDescent="0.3">
      <c r="B5" s="30" t="s">
        <v>48</v>
      </c>
      <c r="C5" s="29">
        <f>-60394900.77*0.21</f>
        <v>-12682929.161700001</v>
      </c>
      <c r="D5" s="29">
        <f t="shared" ref="D5:D6" si="1">C5/(1-$D$1)</f>
        <v>-16482039.19649123</v>
      </c>
      <c r="E5" s="29">
        <f>-(15053113.51+919982+24346862)*0.21</f>
        <v>-8467191.0770999994</v>
      </c>
      <c r="F5" s="29">
        <f>E5/(1-$D$1)</f>
        <v>-11003497.176218323</v>
      </c>
      <c r="G5" s="29">
        <f>E5*$G$1</f>
        <v>-5503674.2001149999</v>
      </c>
      <c r="H5" s="29">
        <f t="shared" ref="H5" si="2">F5*$G$1</f>
        <v>-7152273.1645419104</v>
      </c>
      <c r="I5" s="29">
        <f>E5*$I$1</f>
        <v>-2963516.8769849995</v>
      </c>
      <c r="J5" s="29">
        <f t="shared" ref="I5:J13" si="3">F5*$I$1</f>
        <v>-3851224.011676413</v>
      </c>
      <c r="K5" s="29">
        <f>-13671037*0.21</f>
        <v>-2870917.77</v>
      </c>
      <c r="L5" s="29">
        <f t="shared" ref="L5" si="4">K5/(1-$D$1)</f>
        <v>-3730887.2904483434</v>
      </c>
      <c r="M5" s="29">
        <f t="shared" ref="M5:M12" si="5">K5*$M$1</f>
        <v>-2009642.4389999998</v>
      </c>
      <c r="N5" s="29">
        <f t="shared" ref="M5:N13" si="6">L5*$M$1</f>
        <v>-2611621.10331384</v>
      </c>
      <c r="O5" s="29">
        <f>K5*$O$1</f>
        <v>-861275.33100000001</v>
      </c>
      <c r="P5" s="29">
        <f t="shared" ref="O5:P9" si="7">L5*$O$1</f>
        <v>-1119266.1871345029</v>
      </c>
      <c r="Q5" s="29">
        <f>-6403907*0.21</f>
        <v>-1344820.47</v>
      </c>
      <c r="R5" s="29">
        <f>Q5/(1-$D$1)</f>
        <v>-1747654.9317738791</v>
      </c>
      <c r="S5" s="29"/>
      <c r="T5" s="29">
        <f t="shared" si="0"/>
        <v>0.15539999818429351</v>
      </c>
      <c r="U5" s="29">
        <f t="shared" si="0"/>
        <v>0.20194931607693434</v>
      </c>
    </row>
    <row r="6" spans="2:21" s="30" customFormat="1" x14ac:dyDescent="0.3">
      <c r="B6" s="30" t="s">
        <v>52</v>
      </c>
      <c r="C6" s="29">
        <f>-116274662*0.21</f>
        <v>-24417679.02</v>
      </c>
      <c r="D6" s="29">
        <f t="shared" si="1"/>
        <v>-31731876.56920078</v>
      </c>
      <c r="E6" s="29">
        <f>-75028978*0.21</f>
        <v>-15756085.379999999</v>
      </c>
      <c r="F6" s="29">
        <f t="shared" ref="F6" si="8">E6/(1-$D$1)</f>
        <v>-20475744.483430799</v>
      </c>
      <c r="G6" s="29">
        <f>E6*$G$1</f>
        <v>-10241455.497</v>
      </c>
      <c r="H6" s="29">
        <f>F6*$G$1</f>
        <v>-13309233.914230021</v>
      </c>
      <c r="I6" s="29">
        <f>E6*$I$1</f>
        <v>-5514629.8829999994</v>
      </c>
      <c r="J6" s="29">
        <f>F6*$I$1</f>
        <v>-7166510.5692007793</v>
      </c>
      <c r="K6" s="29">
        <f>-26489644*0.21</f>
        <v>-5562825.2400000002</v>
      </c>
      <c r="L6" s="29">
        <f>K6/(1-$D$1)</f>
        <v>-7229142.6120857708</v>
      </c>
      <c r="M6" s="29">
        <f t="shared" si="5"/>
        <v>-3893977.6680000001</v>
      </c>
      <c r="N6" s="29">
        <f>L6*$M$1</f>
        <v>-5060399.8284600396</v>
      </c>
      <c r="O6" s="29">
        <f>K6*$O$1</f>
        <v>-1668847.5719999999</v>
      </c>
      <c r="P6" s="29">
        <f>L6*$O$1</f>
        <v>-2168742.7836257312</v>
      </c>
      <c r="Q6" s="29">
        <f>-14756040*0.21</f>
        <v>-3098768.4</v>
      </c>
      <c r="R6" s="29">
        <f>Q6/(1-$D$1)</f>
        <v>-4026989.4736842108</v>
      </c>
      <c r="S6" s="29"/>
      <c r="T6" s="29">
        <f t="shared" si="0"/>
        <v>0</v>
      </c>
      <c r="U6" s="29">
        <f t="shared" si="0"/>
        <v>4.1909515857696533E-9</v>
      </c>
    </row>
    <row r="7" spans="2:21" s="30" customFormat="1" x14ac:dyDescent="0.3">
      <c r="B7" s="30" t="s">
        <v>51</v>
      </c>
      <c r="C7" s="29">
        <f>-160180767.95-C6-C5-C4</f>
        <v>5677783.9617000371</v>
      </c>
      <c r="D7" s="29">
        <f t="shared" ref="D7:D15" si="9">C7/(1-$D$1)</f>
        <v>7378536.6623782162</v>
      </c>
      <c r="E7" s="3">
        <f>C7-K7-Q7</f>
        <v>4523994.1717000371</v>
      </c>
      <c r="F7" s="29">
        <f t="shared" ref="F7:F16" si="10">E7/(1-$D$1)</f>
        <v>5879134.7260559285</v>
      </c>
      <c r="G7" s="29">
        <f t="shared" ref="G7:G13" si="11">E7*$G$1</f>
        <v>2940596.2116050241</v>
      </c>
      <c r="H7" s="29">
        <f t="shared" ref="H7:H15" si="12">F7*$G$1</f>
        <v>3821437.5719363536</v>
      </c>
      <c r="I7" s="29">
        <f t="shared" si="3"/>
        <v>1583397.9600950128</v>
      </c>
      <c r="J7" s="29">
        <f>F7*$I$1</f>
        <v>2057697.1541195749</v>
      </c>
      <c r="K7" s="3">
        <f>-21582292.93-K6-K5-K4</f>
        <v>760677.83000000007</v>
      </c>
      <c r="L7" s="29">
        <f>K7/(1-$D$1)</f>
        <v>988535.19168291113</v>
      </c>
      <c r="M7" s="29">
        <f t="shared" si="5"/>
        <v>532474.48100000003</v>
      </c>
      <c r="N7" s="29">
        <f t="shared" si="6"/>
        <v>691974.63417803776</v>
      </c>
      <c r="O7" s="29">
        <f t="shared" si="7"/>
        <v>228203.34900000002</v>
      </c>
      <c r="P7" s="29">
        <f t="shared" si="7"/>
        <v>296560.55750487332</v>
      </c>
      <c r="Q7" s="3">
        <f>-12586618.97-Q6-Q5-Q4</f>
        <v>393111.95999999996</v>
      </c>
      <c r="R7" s="29">
        <f>Q7/(1-$D$1)</f>
        <v>510866.74463937618</v>
      </c>
      <c r="S7" s="33"/>
      <c r="T7" s="29">
        <f>C7-G7-I7-M7-O7-Q7</f>
        <v>0</v>
      </c>
      <c r="U7" s="29">
        <f t="shared" ref="U7" si="13">D7-H7-J7-N7-P7-R7</f>
        <v>0</v>
      </c>
    </row>
    <row r="8" spans="2:21" s="30" customFormat="1" x14ac:dyDescent="0.3">
      <c r="B8" s="30" t="s">
        <v>57</v>
      </c>
      <c r="C8" s="34">
        <v>-7022178</v>
      </c>
      <c r="D8" s="29">
        <f t="shared" si="9"/>
        <v>-9125637.4269005861</v>
      </c>
      <c r="E8" s="29">
        <v>-4512212.2047004299</v>
      </c>
      <c r="F8" s="29">
        <f>E8/(1-$D$1)</f>
        <v>-5863823.5278758025</v>
      </c>
      <c r="G8" s="29">
        <f>E8*$G$1</f>
        <v>-2932937.9330552798</v>
      </c>
      <c r="H8" s="29">
        <f>F8*$G$1</f>
        <v>-3811485.2931192718</v>
      </c>
      <c r="I8" s="29">
        <f>E8*$I$1</f>
        <v>-1579274.2716451504</v>
      </c>
      <c r="J8" s="29">
        <f>F8*$I$1</f>
        <v>-2052338.2347565307</v>
      </c>
      <c r="K8" s="29">
        <v>-1569336.7988750001</v>
      </c>
      <c r="L8" s="29">
        <f>K8/(1-$D$1)</f>
        <v>-2039424.0401234571</v>
      </c>
      <c r="M8" s="29">
        <f>K8*$M$1</f>
        <v>-1098535.7592125</v>
      </c>
      <c r="N8" s="29">
        <f>L8*$M$1</f>
        <v>-1427596.82808642</v>
      </c>
      <c r="O8" s="29">
        <f>K8*$O$1</f>
        <v>-470801.03966250003</v>
      </c>
      <c r="P8" s="29">
        <f>L8*$O$1</f>
        <v>-611827.21203703713</v>
      </c>
      <c r="Q8" s="29">
        <v>-940628.52927158703</v>
      </c>
      <c r="R8" s="29">
        <f>Q8/(1-$D$1)</f>
        <v>-1222389.2518149279</v>
      </c>
      <c r="S8" s="32"/>
      <c r="T8" s="29">
        <f t="shared" ref="T8:T16" si="14">C8-G8-I8-M8-O8-Q8</f>
        <v>-0.46715298306662589</v>
      </c>
      <c r="U8" s="29">
        <f t="shared" ref="U8:U16" si="15">D8-H8-J8-N8-P8-R8</f>
        <v>-0.6070863981731236</v>
      </c>
    </row>
    <row r="9" spans="2:21" s="30" customFormat="1" x14ac:dyDescent="0.3">
      <c r="B9" s="30" t="s">
        <v>50</v>
      </c>
      <c r="C9" s="29">
        <f>-54185657.63*0.21</f>
        <v>-11378988.102299999</v>
      </c>
      <c r="D9" s="29">
        <f t="shared" si="9"/>
        <v>-14787508.904873295</v>
      </c>
      <c r="E9" s="29">
        <f>-(30362348.71+1590429)*0.21</f>
        <v>-6710083.3191</v>
      </c>
      <c r="F9" s="29">
        <f t="shared" si="10"/>
        <v>-8720056.2951267064</v>
      </c>
      <c r="G9" s="29">
        <f t="shared" ref="G9" si="16">E9*$G$1</f>
        <v>-4361554.1574149998</v>
      </c>
      <c r="H9" s="29">
        <f t="shared" si="12"/>
        <v>-5668036.5918323593</v>
      </c>
      <c r="I9" s="29">
        <f t="shared" ref="I9:I15" si="17">E9*$I$1</f>
        <v>-2348529.1616849997</v>
      </c>
      <c r="J9" s="29">
        <f>F9*$I$1</f>
        <v>-3052019.703294347</v>
      </c>
      <c r="K9" s="29">
        <f>-(13446157.79+4510690.32)*0.21</f>
        <v>-3770938.1030999999</v>
      </c>
      <c r="L9" s="29">
        <f>K9/(1-$D$1)</f>
        <v>-4900504.3575048735</v>
      </c>
      <c r="M9" s="29">
        <f t="shared" si="5"/>
        <v>-2639656.6721699997</v>
      </c>
      <c r="N9" s="29">
        <f>L9*$M$1</f>
        <v>-3430353.0502534113</v>
      </c>
      <c r="O9" s="29">
        <f t="shared" si="7"/>
        <v>-1131281.43093</v>
      </c>
      <c r="P9" s="29">
        <f t="shared" si="7"/>
        <v>-1470151.307251462</v>
      </c>
      <c r="Q9" s="29">
        <f>-4276031.81*0.21</f>
        <v>-897966.68009999988</v>
      </c>
      <c r="R9" s="29">
        <f t="shared" ref="R9" si="18">Q9/(1-$D$1)</f>
        <v>-1166948.2522417153</v>
      </c>
      <c r="S9" s="29"/>
      <c r="T9" s="29">
        <f t="shared" si="14"/>
        <v>0</v>
      </c>
      <c r="U9" s="29">
        <f t="shared" si="15"/>
        <v>0</v>
      </c>
    </row>
    <row r="10" spans="2:21" s="30" customFormat="1" x14ac:dyDescent="0.3">
      <c r="B10" s="30" t="s">
        <v>56</v>
      </c>
      <c r="C10" s="29">
        <f>-57506978.91*0.21</f>
        <v>-12076465.571099998</v>
      </c>
      <c r="D10" s="29">
        <f t="shared" si="9"/>
        <v>-15693912.373099415</v>
      </c>
      <c r="E10" s="29">
        <f>-13721595.65*0.21</f>
        <v>-2881535.0864999997</v>
      </c>
      <c r="F10" s="29">
        <f t="shared" si="10"/>
        <v>-3744684.9727095515</v>
      </c>
      <c r="G10" s="29">
        <f t="shared" si="11"/>
        <v>-1872997.8062249999</v>
      </c>
      <c r="H10" s="29">
        <f t="shared" si="12"/>
        <v>-2434045.2322612084</v>
      </c>
      <c r="I10" s="29">
        <f t="shared" si="17"/>
        <v>-1008537.2802749998</v>
      </c>
      <c r="J10" s="29">
        <f>F10*$I$1</f>
        <v>-1310639.7404483429</v>
      </c>
      <c r="K10" s="29">
        <f>-29064913.19*0.21</f>
        <v>-6103631.7698999997</v>
      </c>
      <c r="L10" s="29">
        <f>K10/(1-$D$1)</f>
        <v>-7931945.1200779723</v>
      </c>
      <c r="M10" s="29">
        <f t="shared" si="5"/>
        <v>-4272542.23893</v>
      </c>
      <c r="N10" s="29">
        <f>L10*$M$1</f>
        <v>-5552361.58405458</v>
      </c>
      <c r="O10" s="29">
        <f t="shared" ref="O10:P13" si="19">K10*$O$1</f>
        <v>-1831089.53097</v>
      </c>
      <c r="P10" s="29">
        <f t="shared" si="19"/>
        <v>-2379583.5360233914</v>
      </c>
      <c r="Q10" s="29">
        <f>-14720470.07*0.21</f>
        <v>-3091298.7146999999</v>
      </c>
      <c r="R10" s="29">
        <f t="shared" ref="R10" si="20">Q10/(1-$D$1)</f>
        <v>-4017282.2803118909</v>
      </c>
      <c r="S10" s="29"/>
      <c r="T10" s="29">
        <f t="shared" si="14"/>
        <v>0</v>
      </c>
      <c r="U10" s="29">
        <f t="shared" si="15"/>
        <v>0</v>
      </c>
    </row>
    <row r="11" spans="2:21" s="30" customFormat="1" x14ac:dyDescent="0.3">
      <c r="B11" s="30" t="s">
        <v>53</v>
      </c>
      <c r="C11" s="29">
        <f>-21035476.13-C10-C9</f>
        <v>2419977.5433999989</v>
      </c>
      <c r="D11" s="29">
        <f t="shared" si="9"/>
        <v>3144870.101884339</v>
      </c>
      <c r="E11" s="3">
        <f>-8357851.67-E10-E9</f>
        <v>1233766.7356000002</v>
      </c>
      <c r="F11" s="29">
        <f t="shared" si="10"/>
        <v>1603335.588823912</v>
      </c>
      <c r="G11" s="29">
        <f t="shared" si="11"/>
        <v>801948.37814000016</v>
      </c>
      <c r="H11" s="29">
        <f t="shared" si="12"/>
        <v>1042168.1327355428</v>
      </c>
      <c r="I11" s="29">
        <f t="shared" si="17"/>
        <v>431818.35746000009</v>
      </c>
      <c r="J11" s="29">
        <f t="shared" ref="J11:J12" si="21">F11*$I$1</f>
        <v>561167.45608836913</v>
      </c>
      <c r="K11" s="3">
        <f>-8941614.4-K10-K9</f>
        <v>932955.4729999993</v>
      </c>
      <c r="L11" s="29">
        <f t="shared" ref="L11" si="22">K11/(1-$D$1)</f>
        <v>1212417.7686809609</v>
      </c>
      <c r="M11" s="29">
        <f t="shared" si="5"/>
        <v>653068.83109999949</v>
      </c>
      <c r="N11" s="29">
        <f t="shared" ref="N11:N12" si="23">L11*$M$1</f>
        <v>848692.43807667261</v>
      </c>
      <c r="O11" s="29">
        <f t="shared" si="19"/>
        <v>279886.64189999975</v>
      </c>
      <c r="P11" s="29">
        <f t="shared" si="19"/>
        <v>363725.33060428826</v>
      </c>
      <c r="Q11" s="3">
        <f>-3736010.06-Q10-Q9</f>
        <v>253255.33479999972</v>
      </c>
      <c r="R11" s="29">
        <f t="shared" ref="R11:R16" si="24">Q11/(1-$D$1)</f>
        <v>329116.74437946687</v>
      </c>
      <c r="S11" s="29"/>
      <c r="T11" s="29">
        <f t="shared" si="14"/>
        <v>-2.9103830456733704E-10</v>
      </c>
      <c r="U11" s="29">
        <f t="shared" si="15"/>
        <v>-9.3132257461547852E-10</v>
      </c>
    </row>
    <row r="12" spans="2:21" x14ac:dyDescent="0.3">
      <c r="B12" t="s">
        <v>58</v>
      </c>
      <c r="C12" s="34">
        <v>-2833386</v>
      </c>
      <c r="D12" s="3">
        <f>C12/(1-$D$1)</f>
        <v>-3682113.0604288499</v>
      </c>
      <c r="E12" s="3">
        <v>-418946.23693074199</v>
      </c>
      <c r="F12" s="29">
        <f>E12/(1-$D$1)</f>
        <v>-544439.55416600651</v>
      </c>
      <c r="G12" s="29">
        <f>E12*$G$1</f>
        <v>-272315.05400498229</v>
      </c>
      <c r="H12" s="29">
        <f>F12*$G$1</f>
        <v>-353885.71020790422</v>
      </c>
      <c r="I12" s="29">
        <f>E12*$I$1</f>
        <v>-146631.1829257597</v>
      </c>
      <c r="J12" s="29">
        <f t="shared" si="21"/>
        <v>-190553.84395810225</v>
      </c>
      <c r="K12" s="3">
        <v>-1444869.3113758101</v>
      </c>
      <c r="L12" s="29">
        <f>K12/(1-$D$1)</f>
        <v>-1877672.9192668097</v>
      </c>
      <c r="M12" s="29">
        <f t="shared" si="5"/>
        <v>-1011408.5179630669</v>
      </c>
      <c r="N12" s="29">
        <f t="shared" si="23"/>
        <v>-1314371.0434867667</v>
      </c>
      <c r="O12" s="29">
        <f>K12*$O$1</f>
        <v>-433460.79341274302</v>
      </c>
      <c r="P12" s="29">
        <f>L12*$O$1</f>
        <v>-563301.87578004284</v>
      </c>
      <c r="Q12" s="3">
        <v>-969570.53629307495</v>
      </c>
      <c r="R12" s="29">
        <f t="shared" si="24"/>
        <v>-1260000.6969370695</v>
      </c>
      <c r="S12" s="32"/>
      <c r="T12" s="3">
        <f t="shared" si="14"/>
        <v>8.4599626832641661E-2</v>
      </c>
      <c r="U12" s="3">
        <f t="shared" si="15"/>
        <v>0.10994103574194014</v>
      </c>
    </row>
    <row r="13" spans="2:21" x14ac:dyDescent="0.3">
      <c r="B13" t="s">
        <v>49</v>
      </c>
      <c r="C13" s="3">
        <f>-29271475*0.21</f>
        <v>-6147009.75</v>
      </c>
      <c r="D13" s="3">
        <f t="shared" si="9"/>
        <v>-7988316.7641325537</v>
      </c>
      <c r="E13" s="3">
        <f>-(11819826+7191393)*0.21</f>
        <v>-3992355.9899999998</v>
      </c>
      <c r="F13" s="3">
        <f t="shared" si="10"/>
        <v>-5188246.9005847955</v>
      </c>
      <c r="G13" s="3">
        <f t="shared" si="11"/>
        <v>-2595031.3934999998</v>
      </c>
      <c r="H13" s="3">
        <f t="shared" si="12"/>
        <v>-3372360.4853801173</v>
      </c>
      <c r="I13" s="3">
        <f t="shared" si="17"/>
        <v>-1397324.5964999998</v>
      </c>
      <c r="J13" s="3">
        <f t="shared" si="3"/>
        <v>-1815886.4152046784</v>
      </c>
      <c r="K13" s="3">
        <f>-(6695330+396634)*0.21</f>
        <v>-1489312.44</v>
      </c>
      <c r="L13" s="3">
        <f t="shared" ref="L13" si="25">K13/(1-$D$1)</f>
        <v>-1935428.7719298245</v>
      </c>
      <c r="M13" s="3">
        <f t="shared" si="6"/>
        <v>-1042518.7079999999</v>
      </c>
      <c r="N13" s="3">
        <f t="shared" si="6"/>
        <v>-1354800.1403508771</v>
      </c>
      <c r="O13" s="3">
        <f t="shared" si="19"/>
        <v>-446793.73199999996</v>
      </c>
      <c r="P13" s="3">
        <f t="shared" si="19"/>
        <v>-580628.6315789473</v>
      </c>
      <c r="Q13" s="3">
        <f>-3168292*0.21</f>
        <v>-665341.31999999995</v>
      </c>
      <c r="R13" s="3">
        <f t="shared" si="24"/>
        <v>-864641.09161793371</v>
      </c>
      <c r="S13" s="3"/>
      <c r="T13" s="3">
        <f t="shared" si="14"/>
        <v>-9.3132257461547852E-10</v>
      </c>
      <c r="U13" s="3">
        <f t="shared" si="15"/>
        <v>0</v>
      </c>
    </row>
    <row r="14" spans="2:21" x14ac:dyDescent="0.3">
      <c r="B14" t="s">
        <v>55</v>
      </c>
      <c r="C14" s="3">
        <f>-337734920.18*0.21</f>
        <v>-70924333.237800002</v>
      </c>
      <c r="D14" s="3">
        <f t="shared" si="9"/>
        <v>-92169373.92826511</v>
      </c>
      <c r="E14" s="3">
        <f>-226044355.99*0.21</f>
        <v>-47469314.7579</v>
      </c>
      <c r="F14" s="3">
        <f t="shared" si="10"/>
        <v>-61688518.203898638</v>
      </c>
      <c r="G14" s="3">
        <f>E14*$G$1</f>
        <v>-30855054.592635002</v>
      </c>
      <c r="H14" s="3">
        <f t="shared" si="12"/>
        <v>-40097536.832534119</v>
      </c>
      <c r="I14" s="3">
        <f t="shared" si="17"/>
        <v>-16614260.165264999</v>
      </c>
      <c r="J14" s="3">
        <f t="shared" ref="J14" si="26">F14*$I$1</f>
        <v>-21590981.371364523</v>
      </c>
      <c r="K14" s="3">
        <f>-70750560.3*0.21</f>
        <v>-14857617.662999999</v>
      </c>
      <c r="L14" s="3">
        <f t="shared" ref="L14" si="27">K14/(1-$D$1)</f>
        <v>-19308145.111111112</v>
      </c>
      <c r="M14" s="3">
        <f>K14*$M$1</f>
        <v>-10400332.364099998</v>
      </c>
      <c r="N14" s="3">
        <f>L14*$M$1</f>
        <v>-13515701.577777777</v>
      </c>
      <c r="O14" s="3">
        <f>K14*$O$1</f>
        <v>-4457285.2988999998</v>
      </c>
      <c r="P14" s="3">
        <f t="shared" ref="P14" si="28">L14*$O$1</f>
        <v>-5792443.5333333332</v>
      </c>
      <c r="Q14" s="3">
        <f>-40940003.9*0.21</f>
        <v>-8597400.8190000001</v>
      </c>
      <c r="R14" s="3">
        <f t="shared" si="24"/>
        <v>-11172710.615984406</v>
      </c>
      <c r="S14" s="3"/>
      <c r="T14" s="3">
        <f t="shared" si="14"/>
        <v>2.1000038832426071E-3</v>
      </c>
      <c r="U14" s="3">
        <f t="shared" si="15"/>
        <v>2.729048952460289E-3</v>
      </c>
    </row>
    <row r="15" spans="2:21" x14ac:dyDescent="0.3">
      <c r="B15" t="s">
        <v>54</v>
      </c>
      <c r="C15" s="29">
        <f>-63632376.56-C14-C13</f>
        <v>13438966.4278</v>
      </c>
      <c r="D15" s="3">
        <f t="shared" si="9"/>
        <v>17464543.765821964</v>
      </c>
      <c r="E15" s="3">
        <f>C15-K15-Q15</f>
        <v>9621385.9458000027</v>
      </c>
      <c r="F15" s="3">
        <f t="shared" si="10"/>
        <v>12503425.530604292</v>
      </c>
      <c r="G15" s="3">
        <f>E15*$G$1</f>
        <v>6253900.8647700017</v>
      </c>
      <c r="H15" s="3">
        <f t="shared" si="12"/>
        <v>8127226.5948927896</v>
      </c>
      <c r="I15" s="3">
        <f t="shared" si="17"/>
        <v>3367485.0810300009</v>
      </c>
      <c r="J15" s="3">
        <f>F15*$I$1</f>
        <v>4376198.9357115021</v>
      </c>
      <c r="K15" s="3">
        <f>-13683632.46-K14-K13</f>
        <v>2663297.6429999978</v>
      </c>
      <c r="L15" s="3">
        <f>K15/(1-$D$1)</f>
        <v>3461075.5594541882</v>
      </c>
      <c r="M15" s="3">
        <f t="shared" ref="M15" si="29">K15*$M$1</f>
        <v>1864308.3500999983</v>
      </c>
      <c r="N15" s="3">
        <f>L15*$M$1</f>
        <v>2422752.8916179314</v>
      </c>
      <c r="O15" s="3">
        <f>K15*$O$1</f>
        <v>798989.2928999993</v>
      </c>
      <c r="P15" s="3">
        <f t="shared" ref="P15:P16" si="30">L15*$O$1</f>
        <v>1038322.6678362564</v>
      </c>
      <c r="Q15" s="3">
        <f>-8108459.3-Q14-Q13</f>
        <v>1154282.8390000002</v>
      </c>
      <c r="R15" s="3">
        <f t="shared" si="24"/>
        <v>1500042.6757634832</v>
      </c>
      <c r="S15" s="3"/>
      <c r="T15" s="3">
        <f t="shared" si="14"/>
        <v>0</v>
      </c>
      <c r="U15" s="3">
        <f t="shared" si="15"/>
        <v>1.862645149230957E-9</v>
      </c>
    </row>
    <row r="16" spans="2:21" x14ac:dyDescent="0.3">
      <c r="B16" t="s">
        <v>59</v>
      </c>
      <c r="C16" s="34">
        <v>-19323555</v>
      </c>
      <c r="D16" s="3">
        <f>C16/(1-$D$1)</f>
        <v>-25111832.358674467</v>
      </c>
      <c r="E16" s="3">
        <v>-12429531.2909168</v>
      </c>
      <c r="F16" s="3">
        <f t="shared" si="10"/>
        <v>-16152737.220164783</v>
      </c>
      <c r="G16" s="3">
        <f>E16*$G$1</f>
        <v>-8079195.3390959203</v>
      </c>
      <c r="H16" s="3">
        <f>F16*$G$1</f>
        <v>-10499279.19310711</v>
      </c>
      <c r="I16" s="3">
        <f>E16*$I$1</f>
        <v>-4350335.9518208802</v>
      </c>
      <c r="J16" s="3">
        <f>F16*$I$1</f>
        <v>-5653458.0270576738</v>
      </c>
      <c r="K16" s="3">
        <v>-4161754.84401449</v>
      </c>
      <c r="L16" s="3">
        <f>K16/(1-$D$1)</f>
        <v>-5408388.3612923846</v>
      </c>
      <c r="M16" s="3">
        <f>K16*$M$1</f>
        <v>-2913228.3908101427</v>
      </c>
      <c r="N16" s="3">
        <f>L16*$M$1</f>
        <v>-3785871.852904669</v>
      </c>
      <c r="O16" s="3">
        <f>K16*$O$1</f>
        <v>-1248526.4532043471</v>
      </c>
      <c r="P16" s="3">
        <f t="shared" si="30"/>
        <v>-1622516.5083877153</v>
      </c>
      <c r="Q16" s="3">
        <v>-2732268.9304803298</v>
      </c>
      <c r="R16" s="3">
        <f t="shared" si="24"/>
        <v>-3550706.862222651</v>
      </c>
      <c r="S16" s="32"/>
      <c r="T16" s="3">
        <f t="shared" si="14"/>
        <v>6.5411620307713747E-2</v>
      </c>
      <c r="U16" s="3">
        <f t="shared" si="15"/>
        <v>8.5005352273583412E-2</v>
      </c>
    </row>
    <row r="17" spans="1:21" ht="8.25" customHeight="1" x14ac:dyDescent="0.3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x14ac:dyDescent="0.3">
      <c r="B18" t="s">
        <v>8</v>
      </c>
      <c r="C18" s="5">
        <f>SUM(C4:C17)</f>
        <v>-274027739.63999999</v>
      </c>
      <c r="D18" s="5">
        <f>SUM(D4:D17)</f>
        <v>-356111422.53411311</v>
      </c>
      <c r="E18" s="5">
        <f t="shared" ref="E18:R18" si="31">SUM(E4:E17)</f>
        <v>-193570682.41004792</v>
      </c>
      <c r="F18" s="5">
        <f t="shared" si="31"/>
        <v>-251553843.28791159</v>
      </c>
      <c r="G18" s="5">
        <f t="shared" si="31"/>
        <v>-125820943.56653117</v>
      </c>
      <c r="H18" s="5">
        <f t="shared" si="31"/>
        <v>-163509998.13714251</v>
      </c>
      <c r="I18" s="5">
        <f t="shared" si="31"/>
        <v>-67749738.843516782</v>
      </c>
      <c r="J18" s="5">
        <f t="shared" si="31"/>
        <v>-88043845.15076904</v>
      </c>
      <c r="K18" s="5">
        <f t="shared" si="31"/>
        <v>-51383500.744265303</v>
      </c>
      <c r="L18" s="5">
        <f t="shared" si="31"/>
        <v>-66775179.654665768</v>
      </c>
      <c r="M18" s="5">
        <f t="shared" si="31"/>
        <v>-35968450.5209857</v>
      </c>
      <c r="N18" s="5">
        <f t="shared" si="31"/>
        <v>-46742625.758266032</v>
      </c>
      <c r="O18" s="5">
        <f t="shared" si="31"/>
        <v>-15415050.22327959</v>
      </c>
      <c r="P18" s="5">
        <f t="shared" si="31"/>
        <v>-20032553.896399725</v>
      </c>
      <c r="Q18" s="5">
        <f t="shared" si="31"/>
        <v>-29073556.326044992</v>
      </c>
      <c r="R18" s="5">
        <f t="shared" si="31"/>
        <v>-37782399.384074062</v>
      </c>
      <c r="S18" s="3"/>
      <c r="T18" s="3"/>
      <c r="U18" s="3"/>
    </row>
    <row r="19" spans="1:21" x14ac:dyDescent="0.3"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x14ac:dyDescent="0.3">
      <c r="C20" s="3"/>
      <c r="D20" s="31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x14ac:dyDescent="0.3">
      <c r="A21">
        <v>2020</v>
      </c>
      <c r="B21" t="s">
        <v>16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x14ac:dyDescent="0.3">
      <c r="B22" s="35" t="s">
        <v>48</v>
      </c>
      <c r="C22" s="3">
        <f>C5</f>
        <v>-12682929.161700001</v>
      </c>
      <c r="D22" s="3">
        <f>C22/(1-$D$1)</f>
        <v>-16482039.19649123</v>
      </c>
      <c r="E22" s="3">
        <f>E5</f>
        <v>-8467191.0770999994</v>
      </c>
      <c r="F22" s="3">
        <f t="shared" ref="F22:F25" si="32">E22/(1-$D$1)</f>
        <v>-11003497.176218323</v>
      </c>
      <c r="G22" s="3">
        <f t="shared" ref="G22:H24" si="33">E22*$G$1</f>
        <v>-5503674.2001149999</v>
      </c>
      <c r="H22" s="3">
        <f t="shared" si="33"/>
        <v>-7152273.1645419104</v>
      </c>
      <c r="I22" s="3">
        <f t="shared" ref="I22:J24" si="34">E22*$I$1</f>
        <v>-2963516.8769849995</v>
      </c>
      <c r="J22" s="3">
        <f t="shared" si="34"/>
        <v>-3851224.011676413</v>
      </c>
      <c r="K22" s="3">
        <f>K5</f>
        <v>-2870917.77</v>
      </c>
      <c r="L22" s="3">
        <f t="shared" ref="L22" si="35">K22/(1-$D$1)</f>
        <v>-3730887.2904483434</v>
      </c>
      <c r="M22" s="3">
        <f t="shared" ref="M22:N22" si="36">K22*$M$1</f>
        <v>-2009642.4389999998</v>
      </c>
      <c r="N22" s="3">
        <f t="shared" si="36"/>
        <v>-2611621.10331384</v>
      </c>
      <c r="O22" s="3">
        <f t="shared" ref="O22:P22" si="37">K22*$O$1</f>
        <v>-861275.33100000001</v>
      </c>
      <c r="P22" s="3">
        <f t="shared" si="37"/>
        <v>-1119266.1871345029</v>
      </c>
      <c r="Q22" s="3">
        <f>Q5</f>
        <v>-1344820.47</v>
      </c>
      <c r="R22" s="3">
        <f t="shared" ref="R22:R25" si="38">Q22/(1-$D$1)</f>
        <v>-1747654.9317738791</v>
      </c>
      <c r="S22" s="3"/>
      <c r="T22" s="3">
        <f t="shared" ref="T22:T24" si="39">C22-G22-I22-M22-O22-Q22</f>
        <v>0.15539999818429351</v>
      </c>
      <c r="U22" s="3">
        <f t="shared" ref="U22:U25" si="40">D22-H22-J22-N22-P22-R22</f>
        <v>0.20194931607693434</v>
      </c>
    </row>
    <row r="23" spans="1:21" x14ac:dyDescent="0.3">
      <c r="B23" s="35" t="s">
        <v>49</v>
      </c>
      <c r="C23" s="3">
        <f>MAX(C13,-((24678568+26355580+36907699+29271475)/4)*0.21)</f>
        <v>-6147009.75</v>
      </c>
      <c r="D23" s="3">
        <f>C23/(1-$D$1)</f>
        <v>-7988316.7641325537</v>
      </c>
      <c r="E23" s="3">
        <f>$C23*(E13/$C13)</f>
        <v>-3992355.9899999998</v>
      </c>
      <c r="F23" s="3">
        <f t="shared" ref="F23" si="41">E23/(1-$D$1)</f>
        <v>-5188246.9005847955</v>
      </c>
      <c r="G23" s="3">
        <f t="shared" ref="G23" si="42">E23*$G$1</f>
        <v>-2595031.3934999998</v>
      </c>
      <c r="H23" s="3">
        <f t="shared" ref="H23" si="43">F23*$G$1</f>
        <v>-3372360.4853801173</v>
      </c>
      <c r="I23" s="3">
        <f t="shared" ref="I23" si="44">E23*$I$1</f>
        <v>-1397324.5964999998</v>
      </c>
      <c r="J23" s="3">
        <f t="shared" ref="J23" si="45">F23*$I$1</f>
        <v>-1815886.4152046784</v>
      </c>
      <c r="K23" s="3">
        <f>$C23*(K13/$C13)</f>
        <v>-1489312.44</v>
      </c>
      <c r="L23" s="3">
        <f t="shared" ref="L23" si="46">K23/(1-$D$1)</f>
        <v>-1935428.7719298245</v>
      </c>
      <c r="M23" s="3">
        <f t="shared" ref="M23" si="47">K23*$M$1</f>
        <v>-1042518.7079999999</v>
      </c>
      <c r="N23" s="3">
        <f t="shared" ref="N23" si="48">L23*$M$1</f>
        <v>-1354800.1403508771</v>
      </c>
      <c r="O23" s="3">
        <f t="shared" ref="O23" si="49">K23*$O$1</f>
        <v>-446793.73199999996</v>
      </c>
      <c r="P23" s="3">
        <f t="shared" ref="P23" si="50">L23*$O$1</f>
        <v>-580628.6315789473</v>
      </c>
      <c r="Q23" s="3">
        <f>$C23*(Q13/$C13)</f>
        <v>-665341.31999999995</v>
      </c>
      <c r="R23" s="3">
        <f t="shared" ref="R23" si="51">Q23/(1-$D$1)</f>
        <v>-864641.09161793371</v>
      </c>
      <c r="S23" s="3"/>
      <c r="T23" s="3">
        <f t="shared" si="39"/>
        <v>-9.3132257461547852E-10</v>
      </c>
      <c r="U23" s="3">
        <f t="shared" si="40"/>
        <v>0</v>
      </c>
    </row>
    <row r="24" spans="1:21" x14ac:dyDescent="0.3">
      <c r="B24" s="35" t="s">
        <v>50</v>
      </c>
      <c r="C24" s="3">
        <f>-'Meter Add'!G69*0.21</f>
        <v>-9648925.3822499979</v>
      </c>
      <c r="D24" s="3">
        <f>C24/(1-$D$1)</f>
        <v>-12539214.271929823</v>
      </c>
      <c r="E24" s="3">
        <f>-('Meter Add'!G63+'Meter Add'!G64)*0.21</f>
        <v>-5721117.1132499985</v>
      </c>
      <c r="F24" s="3">
        <f t="shared" si="32"/>
        <v>-7434850.0497076008</v>
      </c>
      <c r="G24" s="3">
        <f t="shared" si="33"/>
        <v>-3718726.1236124993</v>
      </c>
      <c r="H24" s="3">
        <f t="shared" si="33"/>
        <v>-4832652.532309941</v>
      </c>
      <c r="I24" s="3">
        <f t="shared" si="34"/>
        <v>-2002390.9896374994</v>
      </c>
      <c r="J24" s="3">
        <f t="shared" si="34"/>
        <v>-2602197.5173976603</v>
      </c>
      <c r="K24" s="3">
        <f>-('Meter Add'!G65+'Meter Add'!G66)*0.21</f>
        <v>-3081643.7872499996</v>
      </c>
      <c r="L24" s="3">
        <f>K24/(1-$D$1)</f>
        <v>-4004735.266081871</v>
      </c>
      <c r="M24" s="3">
        <f>K24*$M$1</f>
        <v>-2157150.6510749995</v>
      </c>
      <c r="N24" s="3">
        <f>L24*$M$1</f>
        <v>-2803314.6862573097</v>
      </c>
      <c r="O24" s="3">
        <f>K24*$O$1</f>
        <v>-924493.13617499988</v>
      </c>
      <c r="P24" s="3">
        <f>L24*$O$1</f>
        <v>-1201420.5798245613</v>
      </c>
      <c r="Q24" s="3">
        <f>-'Meter Add'!G67*0.21</f>
        <v>-846164.48175000004</v>
      </c>
      <c r="R24" s="3">
        <f t="shared" si="38"/>
        <v>-1099628.956140351</v>
      </c>
      <c r="S24" s="3"/>
      <c r="T24" s="3">
        <f t="shared" si="39"/>
        <v>0</v>
      </c>
      <c r="U24" s="3">
        <f t="shared" si="40"/>
        <v>0</v>
      </c>
    </row>
    <row r="25" spans="1:21" x14ac:dyDescent="0.3">
      <c r="B25" s="35" t="s">
        <v>20</v>
      </c>
      <c r="C25" s="3">
        <f>C7+C11+C15-(70875098.96*0.21)</f>
        <v>6652957.1513000354</v>
      </c>
      <c r="D25" s="3">
        <f>C25/(1-$D$1)</f>
        <v>8645818.2602989413</v>
      </c>
      <c r="E25" s="3">
        <f>SUM(E22:E24)/SUM($C$22:$C$24)*$C25</f>
        <v>4247191.128325277</v>
      </c>
      <c r="F25" s="3">
        <f t="shared" si="32"/>
        <v>5519416.6709880149</v>
      </c>
      <c r="G25" s="3">
        <f t="shared" ref="G25" si="52">E25*$G$1</f>
        <v>2760674.2334114304</v>
      </c>
      <c r="H25" s="3">
        <f t="shared" ref="H25" si="53">F25*$G$1</f>
        <v>3587620.8361422098</v>
      </c>
      <c r="I25" s="3">
        <f t="shared" ref="I25" si="54">E25*$I$1</f>
        <v>1486516.8949138469</v>
      </c>
      <c r="J25" s="3">
        <f t="shared" ref="J25" si="55">F25*$I$1</f>
        <v>1931795.8348458051</v>
      </c>
      <c r="K25" s="3">
        <f>SUM(K22:K24)/SUM($C$22:$C$24)*$C25</f>
        <v>1738498.7097114013</v>
      </c>
      <c r="L25" s="3">
        <f>K25/(1-$D$1)</f>
        <v>2259257.5824709567</v>
      </c>
      <c r="M25" s="3">
        <f>K25*$M$1</f>
        <v>1216949.0967979808</v>
      </c>
      <c r="N25" s="3">
        <f>L25*$M$1</f>
        <v>1581480.3077296696</v>
      </c>
      <c r="O25" s="3">
        <f>K25*$O$1</f>
        <v>521549.61291342037</v>
      </c>
      <c r="P25" s="3">
        <f>L25*$O$1</f>
        <v>677777.27474128699</v>
      </c>
      <c r="Q25" s="3">
        <f>SUM(Q22:Q24)/SUM($C$22:$C$24)*$C25</f>
        <v>667267.34956640471</v>
      </c>
      <c r="R25" s="3">
        <f t="shared" si="38"/>
        <v>867144.05401742004</v>
      </c>
      <c r="S25" s="3"/>
      <c r="T25" s="3">
        <f>C25-G25-I25-M25-O25-Q25</f>
        <v>-3.6303047556430101E-2</v>
      </c>
      <c r="U25" s="3">
        <f t="shared" si="40"/>
        <v>-4.7177450731396675E-2</v>
      </c>
    </row>
    <row r="26" spans="1:21" x14ac:dyDescent="0.3">
      <c r="B26" s="35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>
        <f>C26-G26-I26-M26-O26-Q26</f>
        <v>0</v>
      </c>
      <c r="U26" s="3">
        <f t="shared" ref="U26" si="56">D26-H26-J26-N26-P26-R26</f>
        <v>0</v>
      </c>
    </row>
    <row r="27" spans="1:21" x14ac:dyDescent="0.3">
      <c r="C27" s="42">
        <f>SUM(C21:C26)</f>
        <v>-21825907.142649963</v>
      </c>
      <c r="D27" s="42">
        <f t="shared" ref="D27:R27" si="57">SUM(D21:D26)</f>
        <v>-28363751.972254667</v>
      </c>
      <c r="E27" s="42">
        <f t="shared" si="57"/>
        <v>-13933473.052024722</v>
      </c>
      <c r="F27" s="42">
        <f t="shared" si="57"/>
        <v>-18107177.455522701</v>
      </c>
      <c r="G27" s="42">
        <f t="shared" si="57"/>
        <v>-9056757.4838160686</v>
      </c>
      <c r="H27" s="42">
        <f t="shared" si="57"/>
        <v>-11769665.34608976</v>
      </c>
      <c r="I27" s="42">
        <f t="shared" si="57"/>
        <v>-4876715.5682086525</v>
      </c>
      <c r="J27" s="42">
        <f t="shared" si="57"/>
        <v>-6337512.1094329469</v>
      </c>
      <c r="K27" s="42">
        <f t="shared" si="57"/>
        <v>-5703375.2875385992</v>
      </c>
      <c r="L27" s="42">
        <f t="shared" si="57"/>
        <v>-7411793.7459890824</v>
      </c>
      <c r="M27" s="42">
        <f t="shared" si="57"/>
        <v>-3992362.701277019</v>
      </c>
      <c r="N27" s="42">
        <f t="shared" si="57"/>
        <v>-5188255.6221923577</v>
      </c>
      <c r="O27" s="42">
        <f t="shared" si="57"/>
        <v>-1711012.5862615798</v>
      </c>
      <c r="P27" s="42">
        <f t="shared" si="57"/>
        <v>-2223538.1237967247</v>
      </c>
      <c r="Q27" s="42">
        <f t="shared" si="57"/>
        <v>-2189058.9221835956</v>
      </c>
      <c r="R27" s="42">
        <f t="shared" si="57"/>
        <v>-2844780.9255147441</v>
      </c>
      <c r="S27" s="3"/>
      <c r="T27" s="3">
        <f>C27-G27-I27-M27-O27-Q27</f>
        <v>0.11909695202484727</v>
      </c>
      <c r="U27" s="3">
        <f t="shared" ref="U27" si="58">D27-H27-J27-N27-P27-R27</f>
        <v>0.15477186581119895</v>
      </c>
    </row>
    <row r="28" spans="1:21" x14ac:dyDescent="0.3"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3"/>
      <c r="T28" s="3"/>
      <c r="U28" s="3"/>
    </row>
    <row r="29" spans="1:21" x14ac:dyDescent="0.3">
      <c r="B29" s="35" t="s">
        <v>93</v>
      </c>
      <c r="C29" s="43">
        <f>C18+C27</f>
        <v>-295853646.78264993</v>
      </c>
      <c r="D29" s="43">
        <f t="shared" ref="D29:R29" si="59">D18+D27</f>
        <v>-384475174.5063678</v>
      </c>
      <c r="E29" s="43">
        <f t="shared" si="59"/>
        <v>-207504155.46207264</v>
      </c>
      <c r="F29" s="43">
        <f t="shared" si="59"/>
        <v>-269661020.74343431</v>
      </c>
      <c r="G29" s="43">
        <f t="shared" si="59"/>
        <v>-134877701.05034724</v>
      </c>
      <c r="H29" s="43">
        <f t="shared" si="59"/>
        <v>-175279663.48323226</v>
      </c>
      <c r="I29" s="43">
        <f t="shared" si="59"/>
        <v>-72626454.411725432</v>
      </c>
      <c r="J29" s="43">
        <f t="shared" si="59"/>
        <v>-94381357.260201991</v>
      </c>
      <c r="K29" s="43">
        <f t="shared" si="59"/>
        <v>-57086876.031803906</v>
      </c>
      <c r="L29" s="43">
        <f t="shared" si="59"/>
        <v>-74186973.400654852</v>
      </c>
      <c r="M29" s="43">
        <f t="shared" si="59"/>
        <v>-39960813.222262718</v>
      </c>
      <c r="N29" s="43">
        <f t="shared" si="59"/>
        <v>-51930881.380458392</v>
      </c>
      <c r="O29" s="43">
        <f t="shared" si="59"/>
        <v>-17126062.80954117</v>
      </c>
      <c r="P29" s="43">
        <f t="shared" si="59"/>
        <v>-22256092.020196449</v>
      </c>
      <c r="Q29" s="43">
        <f t="shared" si="59"/>
        <v>-31262615.248228587</v>
      </c>
      <c r="R29" s="43">
        <f t="shared" si="59"/>
        <v>-40627180.309588805</v>
      </c>
      <c r="S29" s="3"/>
      <c r="T29" s="3"/>
      <c r="U29" s="3"/>
    </row>
    <row r="30" spans="1:21" x14ac:dyDescent="0.3"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3"/>
      <c r="T30" s="3"/>
      <c r="U30" s="3"/>
    </row>
    <row r="31" spans="1:21" x14ac:dyDescent="0.3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x14ac:dyDescent="0.3">
      <c r="A32">
        <v>2020</v>
      </c>
      <c r="B32" t="s">
        <v>89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2:21" x14ac:dyDescent="0.3">
      <c r="B33" t="s">
        <v>90</v>
      </c>
      <c r="C33" s="3">
        <f>-Allocation!C5</f>
        <v>8736000</v>
      </c>
      <c r="D33" s="3">
        <f>-Allocation!D5</f>
        <v>11352826.510721248</v>
      </c>
      <c r="E33" s="3">
        <f>-Allocation!E5</f>
        <v>6804000</v>
      </c>
      <c r="F33" s="3">
        <f>-Allocation!F5</f>
        <v>8842105.2631578948</v>
      </c>
      <c r="G33" s="3">
        <f>-Allocation!G5</f>
        <v>4422600</v>
      </c>
      <c r="H33" s="3">
        <f>-Allocation!H5</f>
        <v>5747368.4210526319</v>
      </c>
      <c r="I33" s="3">
        <f>-Allocation!I5</f>
        <v>2381400</v>
      </c>
      <c r="J33" s="3">
        <f>-Allocation!J5</f>
        <v>3094736.8421052629</v>
      </c>
      <c r="K33" s="3">
        <f>-Allocation!K5</f>
        <v>1176000</v>
      </c>
      <c r="L33" s="3">
        <f>-Allocation!L5</f>
        <v>1528265.1072124757</v>
      </c>
      <c r="M33" s="3">
        <f>-Allocation!M5</f>
        <v>823200</v>
      </c>
      <c r="N33" s="3">
        <f>-Allocation!N5</f>
        <v>1069785.575048733</v>
      </c>
      <c r="O33" s="3">
        <f>-Allocation!O5</f>
        <v>352800</v>
      </c>
      <c r="P33" s="3">
        <f>-Allocation!P5</f>
        <v>458479.5321637427</v>
      </c>
      <c r="Q33" s="3">
        <f>-Allocation!Q5</f>
        <v>756000</v>
      </c>
      <c r="R33" s="3">
        <f>-Allocation!R5</f>
        <v>982456.14035087719</v>
      </c>
      <c r="S33" s="3"/>
      <c r="T33" s="3"/>
      <c r="U33" s="3"/>
    </row>
    <row r="34" spans="2:21" x14ac:dyDescent="0.3">
      <c r="B34" t="s">
        <v>91</v>
      </c>
      <c r="C34" s="3">
        <f>-Allocation!C6</f>
        <v>-3458878</v>
      </c>
      <c r="D34" s="3">
        <f>-Allocation!D6</f>
        <v>-2911748</v>
      </c>
      <c r="E34" s="3">
        <f>-Allocation!E6</f>
        <v>-2968276</v>
      </c>
      <c r="F34" s="3">
        <f>-Allocation!F6</f>
        <v>-2498750.0878747385</v>
      </c>
      <c r="G34" s="3">
        <f>-Allocation!G6</f>
        <v>-1929379.4000000001</v>
      </c>
      <c r="H34" s="3">
        <f>-Allocation!H6</f>
        <v>-1624187.55711858</v>
      </c>
      <c r="I34" s="3">
        <f>-Allocation!I6</f>
        <v>-1038896.6</v>
      </c>
      <c r="J34" s="3">
        <f>-Allocation!J6</f>
        <v>-874562.5307561584</v>
      </c>
      <c r="K34" s="3">
        <f>-Allocation!K6</f>
        <v>-323187</v>
      </c>
      <c r="L34" s="3">
        <f>-Allocation!L6</f>
        <v>-272064.84324569989</v>
      </c>
      <c r="M34" s="3">
        <f>-Allocation!M6</f>
        <v>-226230.9</v>
      </c>
      <c r="N34" s="3">
        <f>-Allocation!N6</f>
        <v>-190445.39027198992</v>
      </c>
      <c r="O34" s="3">
        <f>-Allocation!O6</f>
        <v>-96956.099999999991</v>
      </c>
      <c r="P34" s="3">
        <f>-Allocation!P6</f>
        <v>-81619.452973709966</v>
      </c>
      <c r="Q34" s="3">
        <f>-Allocation!Q6</f>
        <v>-167415</v>
      </c>
      <c r="R34" s="3">
        <f>-Allocation!R6</f>
        <v>-140933.06887956153</v>
      </c>
      <c r="S34" s="3"/>
      <c r="T34" s="3"/>
      <c r="U34" s="3"/>
    </row>
    <row r="35" spans="2:21" x14ac:dyDescent="0.3"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2:21" x14ac:dyDescent="0.3">
      <c r="C36" s="42">
        <f>SUM(C33:C35)</f>
        <v>5277122</v>
      </c>
      <c r="D36" s="42">
        <f t="shared" ref="D36:R36" si="60">SUM(D33:D35)</f>
        <v>8441078.5107212476</v>
      </c>
      <c r="E36" s="42">
        <f t="shared" si="60"/>
        <v>3835724</v>
      </c>
      <c r="F36" s="42">
        <f t="shared" si="60"/>
        <v>6343355.1752831563</v>
      </c>
      <c r="G36" s="42">
        <f t="shared" si="60"/>
        <v>2493220.5999999996</v>
      </c>
      <c r="H36" s="42">
        <f t="shared" si="60"/>
        <v>4123180.8639340522</v>
      </c>
      <c r="I36" s="42">
        <f t="shared" si="60"/>
        <v>1342503.4</v>
      </c>
      <c r="J36" s="42">
        <f t="shared" si="60"/>
        <v>2220174.3113491046</v>
      </c>
      <c r="K36" s="42">
        <f t="shared" si="60"/>
        <v>852813</v>
      </c>
      <c r="L36" s="42">
        <f t="shared" si="60"/>
        <v>1256200.263966776</v>
      </c>
      <c r="M36" s="42">
        <f t="shared" si="60"/>
        <v>596969.1</v>
      </c>
      <c r="N36" s="42">
        <f t="shared" si="60"/>
        <v>879340.18477674318</v>
      </c>
      <c r="O36" s="42">
        <f t="shared" si="60"/>
        <v>255843.90000000002</v>
      </c>
      <c r="P36" s="42">
        <f t="shared" si="60"/>
        <v>376860.07919003273</v>
      </c>
      <c r="Q36" s="42">
        <f t="shared" si="60"/>
        <v>588585</v>
      </c>
      <c r="R36" s="42">
        <f t="shared" si="60"/>
        <v>841523.07147131569</v>
      </c>
      <c r="S36" s="3"/>
      <c r="T36" s="3"/>
      <c r="U36" s="3"/>
    </row>
    <row r="37" spans="2:21" x14ac:dyDescent="0.3"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2:21" x14ac:dyDescent="0.3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40" spans="2:21" x14ac:dyDescent="0.3">
      <c r="B40" t="s">
        <v>92</v>
      </c>
      <c r="C40" s="44">
        <f>SUM(C27,C36)</f>
        <v>-16548785.142649963</v>
      </c>
      <c r="D40" s="11">
        <f t="shared" ref="D40:R40" si="61">SUM(D27,D36)</f>
        <v>-19922673.46153342</v>
      </c>
      <c r="E40" s="11">
        <f t="shared" si="61"/>
        <v>-10097749.052024722</v>
      </c>
      <c r="F40" s="11">
        <f t="shared" si="61"/>
        <v>-11763822.280239545</v>
      </c>
      <c r="G40" s="11">
        <f t="shared" si="61"/>
        <v>-6563536.883816069</v>
      </c>
      <c r="H40" s="11">
        <f t="shared" si="61"/>
        <v>-7646484.4821557077</v>
      </c>
      <c r="I40" s="11">
        <f t="shared" si="61"/>
        <v>-3534212.1682086526</v>
      </c>
      <c r="J40" s="11">
        <f t="shared" si="61"/>
        <v>-4117337.7980838423</v>
      </c>
      <c r="K40" s="11">
        <f t="shared" si="61"/>
        <v>-4850562.2875385992</v>
      </c>
      <c r="L40" s="11">
        <f t="shared" si="61"/>
        <v>-6155593.482022306</v>
      </c>
      <c r="M40" s="11">
        <f t="shared" si="61"/>
        <v>-3395393.6012770189</v>
      </c>
      <c r="N40" s="11">
        <f t="shared" si="61"/>
        <v>-4308915.4374156147</v>
      </c>
      <c r="O40" s="11">
        <f t="shared" si="61"/>
        <v>-1455168.6862615799</v>
      </c>
      <c r="P40" s="11">
        <f t="shared" si="61"/>
        <v>-1846678.0446066919</v>
      </c>
      <c r="Q40" s="11">
        <f t="shared" si="61"/>
        <v>-1600473.9221835956</v>
      </c>
      <c r="R40" s="11">
        <f t="shared" si="61"/>
        <v>-2003257.8540434283</v>
      </c>
    </row>
    <row r="43" spans="2:21" x14ac:dyDescent="0.3">
      <c r="C43" s="11"/>
    </row>
  </sheetData>
  <mergeCells count="8">
    <mergeCell ref="O2:P2"/>
    <mergeCell ref="Q2:R2"/>
    <mergeCell ref="C2:D2"/>
    <mergeCell ref="E2:F2"/>
    <mergeCell ref="G2:H2"/>
    <mergeCell ref="I2:J2"/>
    <mergeCell ref="K2:L2"/>
    <mergeCell ref="M2:N2"/>
  </mergeCells>
  <pageMargins left="0.7" right="0.7" top="0.75" bottom="0.75" header="0.3" footer="0.3"/>
  <pageSetup orientation="portrait" r:id="rId1"/>
  <headerFooter>
    <oddFooter>&amp;LAVISTA
&amp;F
&amp;A&amp;RPage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workbookViewId="0">
      <pane ySplit="1" topLeftCell="A40" activePane="bottomLeft" state="frozen"/>
      <selection pane="bottomLeft" activeCell="E77" sqref="E77"/>
    </sheetView>
  </sheetViews>
  <sheetFormatPr defaultColWidth="9.109375" defaultRowHeight="12.75" customHeight="1" x14ac:dyDescent="0.25"/>
  <cols>
    <col min="1" max="1" width="22.5546875" style="36" bestFit="1" customWidth="1"/>
    <col min="2" max="2" width="20.109375" style="36" bestFit="1" customWidth="1"/>
    <col min="3" max="3" width="11.33203125" style="36" bestFit="1" customWidth="1"/>
    <col min="4" max="4" width="8.6640625" style="36" bestFit="1" customWidth="1"/>
    <col min="5" max="5" width="12.44140625" style="36" bestFit="1" customWidth="1"/>
    <col min="6" max="6" width="21.33203125" style="41" bestFit="1" customWidth="1"/>
    <col min="7" max="7" width="29" style="41" bestFit="1" customWidth="1"/>
    <col min="8" max="8" width="26.44140625" style="41" bestFit="1" customWidth="1"/>
    <col min="9" max="9" width="27.6640625" style="41" bestFit="1" customWidth="1"/>
    <col min="10" max="10" width="25.109375" style="41" bestFit="1" customWidth="1"/>
    <col min="11" max="11" width="14" style="41" bestFit="1" customWidth="1"/>
    <col min="12" max="16384" width="9.109375" style="36"/>
  </cols>
  <sheetData>
    <row r="1" spans="1:11" ht="17.25" customHeight="1" thickBot="1" x14ac:dyDescent="0.3">
      <c r="A1" s="37" t="s">
        <v>60</v>
      </c>
      <c r="B1" s="37" t="s">
        <v>61</v>
      </c>
      <c r="C1" s="37" t="s">
        <v>62</v>
      </c>
      <c r="D1" s="37" t="s">
        <v>63</v>
      </c>
      <c r="E1" s="37" t="s">
        <v>64</v>
      </c>
      <c r="F1" s="39" t="s">
        <v>65</v>
      </c>
      <c r="G1" s="39" t="s">
        <v>66</v>
      </c>
      <c r="H1" s="39" t="s">
        <v>67</v>
      </c>
      <c r="I1" s="39" t="s">
        <v>68</v>
      </c>
      <c r="J1" s="39" t="s">
        <v>69</v>
      </c>
    </row>
    <row r="2" spans="1:11" ht="17.25" customHeight="1" thickBot="1" x14ac:dyDescent="0.3">
      <c r="A2" s="38" t="s">
        <v>70</v>
      </c>
      <c r="B2" s="38" t="s">
        <v>71</v>
      </c>
      <c r="C2" s="38" t="s">
        <v>72</v>
      </c>
      <c r="D2" s="38" t="s">
        <v>73</v>
      </c>
      <c r="E2" s="38" t="s">
        <v>74</v>
      </c>
      <c r="F2" s="40">
        <v>15023.46</v>
      </c>
      <c r="G2" s="40">
        <v>0</v>
      </c>
      <c r="H2" s="40">
        <v>0</v>
      </c>
      <c r="I2" s="40">
        <v>-21540.71</v>
      </c>
      <c r="J2" s="40">
        <v>0</v>
      </c>
      <c r="K2" s="41">
        <f t="shared" ref="K2:K46" si="0">SUM(F2:J2)</f>
        <v>-6517.25</v>
      </c>
    </row>
    <row r="3" spans="1:11" ht="17.25" customHeight="1" thickBot="1" x14ac:dyDescent="0.3">
      <c r="A3" s="38" t="s">
        <v>70</v>
      </c>
      <c r="B3" s="38" t="s">
        <v>71</v>
      </c>
      <c r="C3" s="38" t="s">
        <v>72</v>
      </c>
      <c r="D3" s="38" t="s">
        <v>73</v>
      </c>
      <c r="E3" s="38" t="s">
        <v>75</v>
      </c>
      <c r="F3" s="40">
        <v>144994.5</v>
      </c>
      <c r="G3" s="40">
        <v>0</v>
      </c>
      <c r="H3" s="40">
        <v>0</v>
      </c>
      <c r="I3" s="40">
        <v>-609515.31999999995</v>
      </c>
      <c r="J3" s="40">
        <v>0</v>
      </c>
      <c r="K3" s="41">
        <f t="shared" si="0"/>
        <v>-464520.81999999995</v>
      </c>
    </row>
    <row r="4" spans="1:11" ht="17.25" customHeight="1" thickBot="1" x14ac:dyDescent="0.3">
      <c r="A4" s="38" t="s">
        <v>70</v>
      </c>
      <c r="B4" s="38" t="s">
        <v>71</v>
      </c>
      <c r="C4" s="38" t="s">
        <v>76</v>
      </c>
      <c r="D4" s="38" t="s">
        <v>73</v>
      </c>
      <c r="E4" s="38" t="s">
        <v>75</v>
      </c>
      <c r="F4" s="40">
        <v>2393355</v>
      </c>
      <c r="G4" s="40">
        <v>0</v>
      </c>
      <c r="H4" s="40">
        <v>0</v>
      </c>
      <c r="I4" s="40">
        <v>0</v>
      </c>
      <c r="J4" s="40">
        <v>0</v>
      </c>
      <c r="K4" s="41">
        <f t="shared" si="0"/>
        <v>2393355</v>
      </c>
    </row>
    <row r="5" spans="1:11" ht="17.25" customHeight="1" thickBot="1" x14ac:dyDescent="0.3">
      <c r="A5" s="38" t="s">
        <v>70</v>
      </c>
      <c r="B5" s="38" t="s">
        <v>77</v>
      </c>
      <c r="C5" s="38" t="s">
        <v>78</v>
      </c>
      <c r="D5" s="38" t="s">
        <v>79</v>
      </c>
      <c r="E5" s="38" t="s">
        <v>74</v>
      </c>
      <c r="F5" s="40">
        <v>576544.1</v>
      </c>
      <c r="G5" s="40">
        <v>0</v>
      </c>
      <c r="H5" s="40">
        <v>0</v>
      </c>
      <c r="I5" s="40">
        <v>-57324.76</v>
      </c>
      <c r="J5" s="40">
        <v>0</v>
      </c>
      <c r="K5" s="41">
        <f t="shared" si="0"/>
        <v>519219.33999999997</v>
      </c>
    </row>
    <row r="6" spans="1:11" ht="17.25" customHeight="1" thickBot="1" x14ac:dyDescent="0.3">
      <c r="A6" s="38" t="s">
        <v>70</v>
      </c>
      <c r="B6" s="38" t="s">
        <v>77</v>
      </c>
      <c r="C6" s="38" t="s">
        <v>78</v>
      </c>
      <c r="D6" s="38" t="s">
        <v>79</v>
      </c>
      <c r="E6" s="38" t="s">
        <v>80</v>
      </c>
      <c r="F6" s="40">
        <v>273297.74</v>
      </c>
      <c r="G6" s="40">
        <v>0</v>
      </c>
      <c r="H6" s="40">
        <v>0</v>
      </c>
      <c r="I6" s="40">
        <v>-125704.8</v>
      </c>
      <c r="J6" s="40">
        <v>0</v>
      </c>
      <c r="K6" s="41">
        <f t="shared" si="0"/>
        <v>147592.94</v>
      </c>
    </row>
    <row r="7" spans="1:11" ht="17.25" customHeight="1" thickBot="1" x14ac:dyDescent="0.3">
      <c r="A7" s="38" t="s">
        <v>70</v>
      </c>
      <c r="B7" s="38" t="s">
        <v>77</v>
      </c>
      <c r="C7" s="38" t="s">
        <v>78</v>
      </c>
      <c r="D7" s="38" t="s">
        <v>79</v>
      </c>
      <c r="E7" s="38" t="s">
        <v>75</v>
      </c>
      <c r="F7" s="40">
        <v>1839016.09</v>
      </c>
      <c r="G7" s="40">
        <v>0</v>
      </c>
      <c r="H7" s="40">
        <v>0</v>
      </c>
      <c r="I7" s="40">
        <v>-260675.63</v>
      </c>
      <c r="J7" s="40">
        <v>0</v>
      </c>
      <c r="K7" s="41">
        <f t="shared" si="0"/>
        <v>1578340.46</v>
      </c>
    </row>
    <row r="8" spans="1:11" ht="17.25" customHeight="1" thickBot="1" x14ac:dyDescent="0.3">
      <c r="A8" s="38" t="s">
        <v>70</v>
      </c>
      <c r="B8" s="38" t="s">
        <v>77</v>
      </c>
      <c r="C8" s="38" t="s">
        <v>81</v>
      </c>
      <c r="D8" s="38" t="s">
        <v>79</v>
      </c>
      <c r="E8" s="38" t="s">
        <v>75</v>
      </c>
      <c r="F8" s="40">
        <v>537142.55000000005</v>
      </c>
      <c r="G8" s="40">
        <v>0</v>
      </c>
      <c r="H8" s="40">
        <v>0</v>
      </c>
      <c r="I8" s="40">
        <v>0</v>
      </c>
      <c r="J8" s="40">
        <v>0</v>
      </c>
      <c r="K8" s="41">
        <f t="shared" si="0"/>
        <v>537142.55000000005</v>
      </c>
    </row>
    <row r="9" spans="1:11" ht="17.25" customHeight="1" thickBot="1" x14ac:dyDescent="0.3">
      <c r="A9" s="38" t="s">
        <v>82</v>
      </c>
      <c r="B9" s="38" t="s">
        <v>71</v>
      </c>
      <c r="C9" s="38" t="s">
        <v>72</v>
      </c>
      <c r="D9" s="38" t="s">
        <v>73</v>
      </c>
      <c r="E9" s="38" t="s">
        <v>74</v>
      </c>
      <c r="F9" s="40">
        <v>16689.099999999999</v>
      </c>
      <c r="G9" s="40">
        <v>0</v>
      </c>
      <c r="H9" s="40">
        <v>0</v>
      </c>
      <c r="I9" s="40">
        <v>-34788.160000000003</v>
      </c>
      <c r="J9" s="40">
        <v>0</v>
      </c>
      <c r="K9" s="41">
        <f t="shared" si="0"/>
        <v>-18099.060000000005</v>
      </c>
    </row>
    <row r="10" spans="1:11" ht="17.25" customHeight="1" thickBot="1" x14ac:dyDescent="0.3">
      <c r="A10" s="38" t="s">
        <v>82</v>
      </c>
      <c r="B10" s="38" t="s">
        <v>71</v>
      </c>
      <c r="C10" s="38" t="s">
        <v>72</v>
      </c>
      <c r="D10" s="38" t="s">
        <v>73</v>
      </c>
      <c r="E10" s="38" t="s">
        <v>75</v>
      </c>
      <c r="F10" s="40">
        <v>49358.66</v>
      </c>
      <c r="G10" s="40">
        <v>0</v>
      </c>
      <c r="H10" s="40">
        <v>0</v>
      </c>
      <c r="I10" s="40">
        <v>-509651.33</v>
      </c>
      <c r="J10" s="40">
        <v>0</v>
      </c>
      <c r="K10" s="41">
        <f t="shared" si="0"/>
        <v>-460292.67000000004</v>
      </c>
    </row>
    <row r="11" spans="1:11" ht="17.25" customHeight="1" thickBot="1" x14ac:dyDescent="0.3">
      <c r="A11" s="38" t="s">
        <v>82</v>
      </c>
      <c r="B11" s="38" t="s">
        <v>71</v>
      </c>
      <c r="C11" s="38" t="s">
        <v>76</v>
      </c>
      <c r="D11" s="38" t="s">
        <v>73</v>
      </c>
      <c r="E11" s="38" t="s">
        <v>75</v>
      </c>
      <c r="F11" s="40">
        <v>2751247.51</v>
      </c>
      <c r="G11" s="40">
        <v>0</v>
      </c>
      <c r="H11" s="40">
        <v>0</v>
      </c>
      <c r="I11" s="40">
        <v>0</v>
      </c>
      <c r="J11" s="40">
        <v>0</v>
      </c>
      <c r="K11" s="41">
        <f t="shared" si="0"/>
        <v>2751247.51</v>
      </c>
    </row>
    <row r="12" spans="1:11" ht="17.25" customHeight="1" thickBot="1" x14ac:dyDescent="0.3">
      <c r="A12" s="38" t="s">
        <v>82</v>
      </c>
      <c r="B12" s="38" t="s">
        <v>77</v>
      </c>
      <c r="C12" s="38" t="s">
        <v>78</v>
      </c>
      <c r="D12" s="38" t="s">
        <v>79</v>
      </c>
      <c r="E12" s="38" t="s">
        <v>74</v>
      </c>
      <c r="F12" s="40">
        <v>9568.9699999999993</v>
      </c>
      <c r="G12" s="40">
        <v>0</v>
      </c>
      <c r="H12" s="40">
        <v>0</v>
      </c>
      <c r="I12" s="40">
        <v>-6352.72</v>
      </c>
      <c r="J12" s="40">
        <v>0</v>
      </c>
      <c r="K12" s="41">
        <f t="shared" si="0"/>
        <v>3216.2499999999991</v>
      </c>
    </row>
    <row r="13" spans="1:11" ht="17.25" customHeight="1" thickBot="1" x14ac:dyDescent="0.3">
      <c r="A13" s="38" t="s">
        <v>82</v>
      </c>
      <c r="B13" s="38" t="s">
        <v>77</v>
      </c>
      <c r="C13" s="38" t="s">
        <v>78</v>
      </c>
      <c r="D13" s="38" t="s">
        <v>79</v>
      </c>
      <c r="E13" s="38" t="s">
        <v>80</v>
      </c>
      <c r="F13" s="40">
        <v>349118.89</v>
      </c>
      <c r="G13" s="40">
        <v>0</v>
      </c>
      <c r="H13" s="40">
        <v>0</v>
      </c>
      <c r="I13" s="40">
        <v>-7074.6</v>
      </c>
      <c r="J13" s="40">
        <v>0</v>
      </c>
      <c r="K13" s="41">
        <f t="shared" si="0"/>
        <v>342044.29000000004</v>
      </c>
    </row>
    <row r="14" spans="1:11" ht="17.25" customHeight="1" thickBot="1" x14ac:dyDescent="0.3">
      <c r="A14" s="38" t="s">
        <v>82</v>
      </c>
      <c r="B14" s="38" t="s">
        <v>77</v>
      </c>
      <c r="C14" s="38" t="s">
        <v>78</v>
      </c>
      <c r="D14" s="38" t="s">
        <v>79</v>
      </c>
      <c r="E14" s="38" t="s">
        <v>75</v>
      </c>
      <c r="F14" s="40">
        <v>116536.9</v>
      </c>
      <c r="G14" s="40">
        <v>0</v>
      </c>
      <c r="H14" s="40">
        <v>0</v>
      </c>
      <c r="I14" s="40">
        <v>-204187.97</v>
      </c>
      <c r="J14" s="40">
        <v>0</v>
      </c>
      <c r="K14" s="41">
        <f t="shared" si="0"/>
        <v>-87651.07</v>
      </c>
    </row>
    <row r="15" spans="1:11" ht="17.25" customHeight="1" thickBot="1" x14ac:dyDescent="0.3">
      <c r="A15" s="38" t="s">
        <v>82</v>
      </c>
      <c r="B15" s="38" t="s">
        <v>77</v>
      </c>
      <c r="C15" s="38" t="s">
        <v>81</v>
      </c>
      <c r="D15" s="38" t="s">
        <v>79</v>
      </c>
      <c r="E15" s="38" t="s">
        <v>75</v>
      </c>
      <c r="F15" s="40">
        <v>670778.81999999995</v>
      </c>
      <c r="G15" s="40">
        <v>0</v>
      </c>
      <c r="H15" s="40">
        <v>0</v>
      </c>
      <c r="I15" s="40">
        <v>0</v>
      </c>
      <c r="J15" s="40">
        <v>0</v>
      </c>
      <c r="K15" s="41">
        <f t="shared" si="0"/>
        <v>670778.81999999995</v>
      </c>
    </row>
    <row r="16" spans="1:11" ht="17.25" customHeight="1" thickBot="1" x14ac:dyDescent="0.3">
      <c r="A16" s="38" t="s">
        <v>83</v>
      </c>
      <c r="B16" s="38" t="s">
        <v>71</v>
      </c>
      <c r="C16" s="38" t="s">
        <v>72</v>
      </c>
      <c r="D16" s="38" t="s">
        <v>73</v>
      </c>
      <c r="E16" s="38" t="s">
        <v>74</v>
      </c>
      <c r="F16" s="40">
        <v>20841.79</v>
      </c>
      <c r="G16" s="40">
        <v>0</v>
      </c>
      <c r="H16" s="40">
        <v>0</v>
      </c>
      <c r="I16" s="40">
        <v>-23061.81</v>
      </c>
      <c r="J16" s="40">
        <v>0</v>
      </c>
      <c r="K16" s="41">
        <f t="shared" si="0"/>
        <v>-2220.0200000000004</v>
      </c>
    </row>
    <row r="17" spans="1:11" ht="17.25" customHeight="1" thickBot="1" x14ac:dyDescent="0.3">
      <c r="A17" s="38" t="s">
        <v>83</v>
      </c>
      <c r="B17" s="38" t="s">
        <v>71</v>
      </c>
      <c r="C17" s="38" t="s">
        <v>72</v>
      </c>
      <c r="D17" s="38" t="s">
        <v>73</v>
      </c>
      <c r="E17" s="38" t="s">
        <v>75</v>
      </c>
      <c r="F17" s="40">
        <v>43197.07</v>
      </c>
      <c r="G17" s="40">
        <v>0</v>
      </c>
      <c r="H17" s="40">
        <v>0</v>
      </c>
      <c r="I17" s="40">
        <v>-3401204.64</v>
      </c>
      <c r="J17" s="40">
        <v>0</v>
      </c>
      <c r="K17" s="41">
        <f t="shared" si="0"/>
        <v>-3358007.5700000003</v>
      </c>
    </row>
    <row r="18" spans="1:11" ht="17.25" customHeight="1" thickBot="1" x14ac:dyDescent="0.3">
      <c r="A18" s="38" t="s">
        <v>83</v>
      </c>
      <c r="B18" s="38" t="s">
        <v>71</v>
      </c>
      <c r="C18" s="38" t="s">
        <v>76</v>
      </c>
      <c r="D18" s="38" t="s">
        <v>73</v>
      </c>
      <c r="E18" s="38" t="s">
        <v>75</v>
      </c>
      <c r="F18" s="40">
        <v>3182818.55</v>
      </c>
      <c r="G18" s="40">
        <v>0</v>
      </c>
      <c r="H18" s="40">
        <v>0</v>
      </c>
      <c r="I18" s="40">
        <v>0</v>
      </c>
      <c r="J18" s="40">
        <v>0</v>
      </c>
      <c r="K18" s="41">
        <f t="shared" si="0"/>
        <v>3182818.55</v>
      </c>
    </row>
    <row r="19" spans="1:11" ht="17.25" customHeight="1" thickBot="1" x14ac:dyDescent="0.3">
      <c r="A19" s="38" t="s">
        <v>83</v>
      </c>
      <c r="B19" s="38" t="s">
        <v>77</v>
      </c>
      <c r="C19" s="38" t="s">
        <v>78</v>
      </c>
      <c r="D19" s="38" t="s">
        <v>79</v>
      </c>
      <c r="E19" s="38" t="s">
        <v>74</v>
      </c>
      <c r="F19" s="40">
        <v>16725.060000000001</v>
      </c>
      <c r="G19" s="40">
        <v>0</v>
      </c>
      <c r="H19" s="40">
        <v>0</v>
      </c>
      <c r="I19" s="40">
        <v>-14097.67</v>
      </c>
      <c r="J19" s="40">
        <v>0</v>
      </c>
      <c r="K19" s="41">
        <f t="shared" si="0"/>
        <v>2627.3900000000012</v>
      </c>
    </row>
    <row r="20" spans="1:11" ht="17.25" customHeight="1" thickBot="1" x14ac:dyDescent="0.3">
      <c r="A20" s="38" t="s">
        <v>83</v>
      </c>
      <c r="B20" s="38" t="s">
        <v>77</v>
      </c>
      <c r="C20" s="38" t="s">
        <v>78</v>
      </c>
      <c r="D20" s="38" t="s">
        <v>79</v>
      </c>
      <c r="E20" s="38" t="s">
        <v>80</v>
      </c>
      <c r="F20" s="40">
        <v>330105.19</v>
      </c>
      <c r="G20" s="40">
        <v>0</v>
      </c>
      <c r="H20" s="40">
        <v>0</v>
      </c>
      <c r="I20" s="40">
        <v>-10466.94</v>
      </c>
      <c r="J20" s="40">
        <v>0</v>
      </c>
      <c r="K20" s="41">
        <f t="shared" si="0"/>
        <v>319638.25</v>
      </c>
    </row>
    <row r="21" spans="1:11" ht="17.25" customHeight="1" thickBot="1" x14ac:dyDescent="0.3">
      <c r="A21" s="38" t="s">
        <v>83</v>
      </c>
      <c r="B21" s="38" t="s">
        <v>77</v>
      </c>
      <c r="C21" s="38" t="s">
        <v>78</v>
      </c>
      <c r="D21" s="38" t="s">
        <v>79</v>
      </c>
      <c r="E21" s="38" t="s">
        <v>75</v>
      </c>
      <c r="F21" s="40">
        <v>224596.01</v>
      </c>
      <c r="G21" s="40">
        <v>0</v>
      </c>
      <c r="H21" s="40">
        <v>0</v>
      </c>
      <c r="I21" s="40">
        <v>-1462979.33</v>
      </c>
      <c r="J21" s="40">
        <v>0</v>
      </c>
      <c r="K21" s="41">
        <f t="shared" si="0"/>
        <v>-1238383.32</v>
      </c>
    </row>
    <row r="22" spans="1:11" ht="17.25" customHeight="1" thickBot="1" x14ac:dyDescent="0.3">
      <c r="A22" s="38" t="s">
        <v>83</v>
      </c>
      <c r="B22" s="38" t="s">
        <v>77</v>
      </c>
      <c r="C22" s="38" t="s">
        <v>81</v>
      </c>
      <c r="D22" s="38" t="s">
        <v>79</v>
      </c>
      <c r="E22" s="38" t="s">
        <v>75</v>
      </c>
      <c r="F22" s="40">
        <v>1058560.01</v>
      </c>
      <c r="G22" s="40">
        <v>0</v>
      </c>
      <c r="H22" s="40">
        <v>0</v>
      </c>
      <c r="I22" s="40">
        <v>0</v>
      </c>
      <c r="J22" s="40">
        <v>0</v>
      </c>
      <c r="K22" s="41">
        <f t="shared" si="0"/>
        <v>1058560.01</v>
      </c>
    </row>
    <row r="23" spans="1:11" ht="17.25" customHeight="1" thickBot="1" x14ac:dyDescent="0.3">
      <c r="A23" s="38" t="s">
        <v>84</v>
      </c>
      <c r="B23" s="38" t="s">
        <v>71</v>
      </c>
      <c r="C23" s="38" t="s">
        <v>72</v>
      </c>
      <c r="D23" s="38" t="s">
        <v>73</v>
      </c>
      <c r="E23" s="38" t="s">
        <v>74</v>
      </c>
      <c r="F23" s="40">
        <v>13306.09</v>
      </c>
      <c r="G23" s="40">
        <v>0</v>
      </c>
      <c r="H23" s="40">
        <v>0</v>
      </c>
      <c r="I23" s="40">
        <v>-34714.949999999997</v>
      </c>
      <c r="J23" s="40">
        <v>0</v>
      </c>
      <c r="K23" s="41">
        <f t="shared" si="0"/>
        <v>-21408.859999999997</v>
      </c>
    </row>
    <row r="24" spans="1:11" ht="17.25" customHeight="1" thickBot="1" x14ac:dyDescent="0.3">
      <c r="A24" s="38" t="s">
        <v>84</v>
      </c>
      <c r="B24" s="38" t="s">
        <v>71</v>
      </c>
      <c r="C24" s="38" t="s">
        <v>72</v>
      </c>
      <c r="D24" s="38" t="s">
        <v>73</v>
      </c>
      <c r="E24" s="38" t="s">
        <v>75</v>
      </c>
      <c r="F24" s="40">
        <v>14357.62</v>
      </c>
      <c r="G24" s="40">
        <v>0</v>
      </c>
      <c r="H24" s="40">
        <v>0</v>
      </c>
      <c r="I24" s="40">
        <v>-714660.48</v>
      </c>
      <c r="J24" s="40">
        <v>0</v>
      </c>
      <c r="K24" s="41">
        <f t="shared" si="0"/>
        <v>-700302.86</v>
      </c>
    </row>
    <row r="25" spans="1:11" ht="17.25" customHeight="1" thickBot="1" x14ac:dyDescent="0.3">
      <c r="A25" s="38" t="s">
        <v>84</v>
      </c>
      <c r="B25" s="38" t="s">
        <v>71</v>
      </c>
      <c r="C25" s="38" t="s">
        <v>76</v>
      </c>
      <c r="D25" s="38" t="s">
        <v>73</v>
      </c>
      <c r="E25" s="38" t="s">
        <v>75</v>
      </c>
      <c r="F25" s="40">
        <v>638752.25</v>
      </c>
      <c r="G25" s="40">
        <v>0</v>
      </c>
      <c r="H25" s="40">
        <v>0</v>
      </c>
      <c r="I25" s="40">
        <v>0</v>
      </c>
      <c r="J25" s="40">
        <v>0</v>
      </c>
      <c r="K25" s="41">
        <f t="shared" si="0"/>
        <v>638752.25</v>
      </c>
    </row>
    <row r="26" spans="1:11" ht="17.25" customHeight="1" thickBot="1" x14ac:dyDescent="0.3">
      <c r="A26" s="38" t="s">
        <v>84</v>
      </c>
      <c r="B26" s="38" t="s">
        <v>77</v>
      </c>
      <c r="C26" s="38" t="s">
        <v>78</v>
      </c>
      <c r="D26" s="38" t="s">
        <v>79</v>
      </c>
      <c r="E26" s="38" t="s">
        <v>74</v>
      </c>
      <c r="F26" s="40">
        <v>9391.23</v>
      </c>
      <c r="G26" s="40">
        <v>0</v>
      </c>
      <c r="H26" s="40">
        <v>0</v>
      </c>
      <c r="I26" s="40">
        <v>-165.96</v>
      </c>
      <c r="J26" s="40">
        <v>0</v>
      </c>
      <c r="K26" s="41">
        <f t="shared" si="0"/>
        <v>9225.27</v>
      </c>
    </row>
    <row r="27" spans="1:11" ht="17.25" customHeight="1" thickBot="1" x14ac:dyDescent="0.3">
      <c r="A27" s="38" t="s">
        <v>84</v>
      </c>
      <c r="B27" s="38" t="s">
        <v>77</v>
      </c>
      <c r="C27" s="38" t="s">
        <v>78</v>
      </c>
      <c r="D27" s="38" t="s">
        <v>79</v>
      </c>
      <c r="E27" s="38" t="s">
        <v>80</v>
      </c>
      <c r="F27" s="40">
        <v>272489.13</v>
      </c>
      <c r="G27" s="40">
        <v>0</v>
      </c>
      <c r="H27" s="40">
        <v>0</v>
      </c>
      <c r="I27" s="40">
        <v>-10999.14</v>
      </c>
      <c r="J27" s="40">
        <v>0</v>
      </c>
      <c r="K27" s="41">
        <f t="shared" si="0"/>
        <v>261489.99</v>
      </c>
    </row>
    <row r="28" spans="1:11" ht="17.25" customHeight="1" thickBot="1" x14ac:dyDescent="0.3">
      <c r="A28" s="38" t="s">
        <v>84</v>
      </c>
      <c r="B28" s="38" t="s">
        <v>77</v>
      </c>
      <c r="C28" s="38" t="s">
        <v>78</v>
      </c>
      <c r="D28" s="38" t="s">
        <v>79</v>
      </c>
      <c r="E28" s="38" t="s">
        <v>75</v>
      </c>
      <c r="F28" s="40">
        <v>116106.31</v>
      </c>
      <c r="G28" s="40">
        <v>0</v>
      </c>
      <c r="H28" s="40">
        <v>0</v>
      </c>
      <c r="I28" s="40">
        <v>-137971.51</v>
      </c>
      <c r="J28" s="40">
        <v>0</v>
      </c>
      <c r="K28" s="41">
        <f t="shared" si="0"/>
        <v>-21865.200000000012</v>
      </c>
    </row>
    <row r="29" spans="1:11" ht="17.25" customHeight="1" thickBot="1" x14ac:dyDescent="0.3">
      <c r="A29" s="38" t="s">
        <v>84</v>
      </c>
      <c r="B29" s="38" t="s">
        <v>77</v>
      </c>
      <c r="C29" s="38" t="s">
        <v>81</v>
      </c>
      <c r="D29" s="38" t="s">
        <v>79</v>
      </c>
      <c r="E29" s="38" t="s">
        <v>75</v>
      </c>
      <c r="F29" s="40">
        <v>124760.55</v>
      </c>
      <c r="G29" s="40">
        <v>0</v>
      </c>
      <c r="H29" s="40">
        <v>0</v>
      </c>
      <c r="I29" s="40">
        <v>0</v>
      </c>
      <c r="J29" s="40">
        <v>0</v>
      </c>
      <c r="K29" s="41">
        <f t="shared" si="0"/>
        <v>124760.55</v>
      </c>
    </row>
    <row r="30" spans="1:11" ht="17.25" customHeight="1" thickBot="1" x14ac:dyDescent="0.3">
      <c r="A30" s="38" t="s">
        <v>85</v>
      </c>
      <c r="B30" s="38" t="s">
        <v>71</v>
      </c>
      <c r="C30" s="38" t="s">
        <v>72</v>
      </c>
      <c r="D30" s="38" t="s">
        <v>73</v>
      </c>
      <c r="E30" s="38" t="s">
        <v>74</v>
      </c>
      <c r="F30" s="40">
        <v>33903.839999999997</v>
      </c>
      <c r="G30" s="40">
        <v>0</v>
      </c>
      <c r="H30" s="40">
        <v>0</v>
      </c>
      <c r="I30" s="40">
        <v>-28004.49</v>
      </c>
      <c r="J30" s="40">
        <v>0</v>
      </c>
      <c r="K30" s="41">
        <f t="shared" si="0"/>
        <v>5899.3499999999949</v>
      </c>
    </row>
    <row r="31" spans="1:11" ht="17.25" customHeight="1" thickBot="1" x14ac:dyDescent="0.3">
      <c r="A31" s="38" t="s">
        <v>85</v>
      </c>
      <c r="B31" s="38" t="s">
        <v>71</v>
      </c>
      <c r="C31" s="38" t="s">
        <v>72</v>
      </c>
      <c r="D31" s="38" t="s">
        <v>73</v>
      </c>
      <c r="E31" s="38" t="s">
        <v>75</v>
      </c>
      <c r="F31" s="40">
        <v>29000.71</v>
      </c>
      <c r="G31" s="40">
        <v>0</v>
      </c>
      <c r="H31" s="40">
        <v>0</v>
      </c>
      <c r="I31" s="40">
        <v>-586862.9</v>
      </c>
      <c r="J31" s="40">
        <v>0</v>
      </c>
      <c r="K31" s="41">
        <f t="shared" si="0"/>
        <v>-557862.19000000006</v>
      </c>
    </row>
    <row r="32" spans="1:11" ht="17.25" customHeight="1" thickBot="1" x14ac:dyDescent="0.3">
      <c r="A32" s="38" t="s">
        <v>85</v>
      </c>
      <c r="B32" s="38" t="s">
        <v>71</v>
      </c>
      <c r="C32" s="38" t="s">
        <v>76</v>
      </c>
      <c r="D32" s="38" t="s">
        <v>73</v>
      </c>
      <c r="E32" s="38" t="s">
        <v>75</v>
      </c>
      <c r="F32" s="40">
        <v>3684470.08</v>
      </c>
      <c r="G32" s="40">
        <v>0</v>
      </c>
      <c r="H32" s="40">
        <v>0</v>
      </c>
      <c r="I32" s="40">
        <v>0</v>
      </c>
      <c r="J32" s="40">
        <v>0</v>
      </c>
      <c r="K32" s="41">
        <f t="shared" si="0"/>
        <v>3684470.08</v>
      </c>
    </row>
    <row r="33" spans="1:11" ht="17.25" customHeight="1" thickBot="1" x14ac:dyDescent="0.3">
      <c r="A33" s="38" t="s">
        <v>85</v>
      </c>
      <c r="B33" s="38" t="s">
        <v>77</v>
      </c>
      <c r="C33" s="38" t="s">
        <v>78</v>
      </c>
      <c r="D33" s="38" t="s">
        <v>79</v>
      </c>
      <c r="E33" s="38" t="s">
        <v>74</v>
      </c>
      <c r="F33" s="40">
        <v>29463.23</v>
      </c>
      <c r="G33" s="40">
        <v>0</v>
      </c>
      <c r="H33" s="40">
        <v>0</v>
      </c>
      <c r="I33" s="40">
        <v>-243.37</v>
      </c>
      <c r="J33" s="40">
        <v>0</v>
      </c>
      <c r="K33" s="41">
        <f t="shared" si="0"/>
        <v>29219.86</v>
      </c>
    </row>
    <row r="34" spans="1:11" ht="17.25" customHeight="1" thickBot="1" x14ac:dyDescent="0.3">
      <c r="A34" s="38" t="s">
        <v>85</v>
      </c>
      <c r="B34" s="38" t="s">
        <v>77</v>
      </c>
      <c r="C34" s="38" t="s">
        <v>78</v>
      </c>
      <c r="D34" s="38" t="s">
        <v>79</v>
      </c>
      <c r="E34" s="38" t="s">
        <v>80</v>
      </c>
      <c r="F34" s="40">
        <v>503703.08</v>
      </c>
      <c r="G34" s="40">
        <v>0</v>
      </c>
      <c r="H34" s="40">
        <v>0</v>
      </c>
      <c r="I34" s="40">
        <v>-266.24</v>
      </c>
      <c r="J34" s="40">
        <v>0</v>
      </c>
      <c r="K34" s="41">
        <f t="shared" si="0"/>
        <v>503436.84</v>
      </c>
    </row>
    <row r="35" spans="1:11" ht="17.25" customHeight="1" thickBot="1" x14ac:dyDescent="0.3">
      <c r="A35" s="38" t="s">
        <v>85</v>
      </c>
      <c r="B35" s="38" t="s">
        <v>77</v>
      </c>
      <c r="C35" s="38" t="s">
        <v>78</v>
      </c>
      <c r="D35" s="38" t="s">
        <v>79</v>
      </c>
      <c r="E35" s="38" t="s">
        <v>75</v>
      </c>
      <c r="F35" s="40">
        <v>432437.4</v>
      </c>
      <c r="G35" s="40">
        <v>0</v>
      </c>
      <c r="H35" s="40">
        <v>0</v>
      </c>
      <c r="I35" s="40">
        <v>-212608.49</v>
      </c>
      <c r="J35" s="40">
        <v>0</v>
      </c>
      <c r="K35" s="41">
        <f t="shared" si="0"/>
        <v>219828.91000000003</v>
      </c>
    </row>
    <row r="36" spans="1:11" ht="17.25" customHeight="1" thickBot="1" x14ac:dyDescent="0.3">
      <c r="A36" s="38" t="s">
        <v>85</v>
      </c>
      <c r="B36" s="38" t="s">
        <v>77</v>
      </c>
      <c r="C36" s="38" t="s">
        <v>81</v>
      </c>
      <c r="D36" s="38" t="s">
        <v>79</v>
      </c>
      <c r="E36" s="38" t="s">
        <v>75</v>
      </c>
      <c r="F36" s="40">
        <v>500298.35</v>
      </c>
      <c r="G36" s="40">
        <v>0</v>
      </c>
      <c r="H36" s="40">
        <v>0</v>
      </c>
      <c r="I36" s="40">
        <v>0</v>
      </c>
      <c r="J36" s="40">
        <v>0</v>
      </c>
      <c r="K36" s="41">
        <f t="shared" si="0"/>
        <v>500298.35</v>
      </c>
    </row>
    <row r="37" spans="1:11" ht="17.25" customHeight="1" thickBot="1" x14ac:dyDescent="0.3">
      <c r="A37" s="38" t="s">
        <v>86</v>
      </c>
      <c r="B37" s="38" t="s">
        <v>71</v>
      </c>
      <c r="C37" s="38" t="s">
        <v>72</v>
      </c>
      <c r="D37" s="38" t="s">
        <v>73</v>
      </c>
      <c r="E37" s="38" t="s">
        <v>74</v>
      </c>
      <c r="F37" s="40">
        <v>19753.240000000002</v>
      </c>
      <c r="G37" s="40">
        <v>0</v>
      </c>
      <c r="H37" s="40">
        <v>0</v>
      </c>
      <c r="I37" s="40">
        <v>-36481.120000000003</v>
      </c>
      <c r="J37" s="40">
        <v>0</v>
      </c>
      <c r="K37" s="41">
        <f t="shared" si="0"/>
        <v>-16727.88</v>
      </c>
    </row>
    <row r="38" spans="1:11" ht="17.25" customHeight="1" thickBot="1" x14ac:dyDescent="0.3">
      <c r="A38" s="38" t="s">
        <v>86</v>
      </c>
      <c r="B38" s="38" t="s">
        <v>71</v>
      </c>
      <c r="C38" s="38" t="s">
        <v>72</v>
      </c>
      <c r="D38" s="38" t="s">
        <v>73</v>
      </c>
      <c r="E38" s="38" t="s">
        <v>75</v>
      </c>
      <c r="F38" s="40">
        <v>79511.61</v>
      </c>
      <c r="G38" s="40">
        <v>0</v>
      </c>
      <c r="H38" s="40">
        <v>0</v>
      </c>
      <c r="I38" s="40">
        <v>-2428225.14</v>
      </c>
      <c r="J38" s="40">
        <v>0</v>
      </c>
      <c r="K38" s="41">
        <f t="shared" si="0"/>
        <v>-2348713.5300000003</v>
      </c>
    </row>
    <row r="39" spans="1:11" ht="17.25" customHeight="1" thickBot="1" x14ac:dyDescent="0.3">
      <c r="A39" s="38" t="s">
        <v>86</v>
      </c>
      <c r="B39" s="38" t="s">
        <v>71</v>
      </c>
      <c r="C39" s="38" t="s">
        <v>76</v>
      </c>
      <c r="D39" s="38" t="s">
        <v>73</v>
      </c>
      <c r="E39" s="38" t="s">
        <v>75</v>
      </c>
      <c r="F39" s="40">
        <v>1842035.95</v>
      </c>
      <c r="G39" s="40">
        <v>0</v>
      </c>
      <c r="H39" s="40">
        <v>0</v>
      </c>
      <c r="I39" s="40">
        <v>0</v>
      </c>
      <c r="J39" s="40">
        <v>0</v>
      </c>
      <c r="K39" s="41">
        <f t="shared" si="0"/>
        <v>1842035.95</v>
      </c>
    </row>
    <row r="40" spans="1:11" ht="17.25" customHeight="1" thickBot="1" x14ac:dyDescent="0.3">
      <c r="A40" s="38" t="s">
        <v>86</v>
      </c>
      <c r="B40" s="38" t="s">
        <v>77</v>
      </c>
      <c r="C40" s="38" t="s">
        <v>78</v>
      </c>
      <c r="D40" s="38" t="s">
        <v>79</v>
      </c>
      <c r="E40" s="38" t="s">
        <v>74</v>
      </c>
      <c r="F40" s="40">
        <v>22325.57</v>
      </c>
      <c r="G40" s="40">
        <v>0</v>
      </c>
      <c r="H40" s="40">
        <v>0</v>
      </c>
      <c r="I40" s="40">
        <v>-17278.14</v>
      </c>
      <c r="J40" s="40">
        <v>0</v>
      </c>
      <c r="K40" s="41">
        <f t="shared" si="0"/>
        <v>5047.43</v>
      </c>
    </row>
    <row r="41" spans="1:11" ht="17.25" customHeight="1" thickBot="1" x14ac:dyDescent="0.3">
      <c r="A41" s="38" t="s">
        <v>86</v>
      </c>
      <c r="B41" s="38" t="s">
        <v>77</v>
      </c>
      <c r="C41" s="38" t="s">
        <v>78</v>
      </c>
      <c r="D41" s="38" t="s">
        <v>79</v>
      </c>
      <c r="E41" s="38" t="s">
        <v>80</v>
      </c>
      <c r="F41" s="40">
        <v>466202.13</v>
      </c>
      <c r="G41" s="40">
        <v>0</v>
      </c>
      <c r="H41" s="40">
        <v>0</v>
      </c>
      <c r="I41" s="40">
        <v>-53947.08</v>
      </c>
      <c r="J41" s="40">
        <v>0</v>
      </c>
      <c r="K41" s="41">
        <f t="shared" si="0"/>
        <v>412255.05</v>
      </c>
    </row>
    <row r="42" spans="1:11" ht="17.25" customHeight="1" thickBot="1" x14ac:dyDescent="0.3">
      <c r="A42" s="38" t="s">
        <v>86</v>
      </c>
      <c r="B42" s="38" t="s">
        <v>77</v>
      </c>
      <c r="C42" s="38" t="s">
        <v>78</v>
      </c>
      <c r="D42" s="38" t="s">
        <v>79</v>
      </c>
      <c r="E42" s="38" t="s">
        <v>75</v>
      </c>
      <c r="F42" s="40">
        <v>569472.80000000005</v>
      </c>
      <c r="G42" s="40">
        <v>0</v>
      </c>
      <c r="H42" s="40">
        <v>0</v>
      </c>
      <c r="I42" s="40">
        <v>-299116.99</v>
      </c>
      <c r="J42" s="40">
        <v>0</v>
      </c>
      <c r="K42" s="41">
        <f t="shared" si="0"/>
        <v>270355.81000000006</v>
      </c>
    </row>
    <row r="43" spans="1:11" ht="17.25" customHeight="1" thickBot="1" x14ac:dyDescent="0.3">
      <c r="A43" s="38" t="s">
        <v>86</v>
      </c>
      <c r="B43" s="38" t="s">
        <v>77</v>
      </c>
      <c r="C43" s="38" t="s">
        <v>81</v>
      </c>
      <c r="D43" s="38" t="s">
        <v>79</v>
      </c>
      <c r="E43" s="38" t="s">
        <v>75</v>
      </c>
      <c r="F43" s="40">
        <v>948720.83</v>
      </c>
      <c r="G43" s="40">
        <v>0</v>
      </c>
      <c r="H43" s="40">
        <v>0</v>
      </c>
      <c r="I43" s="40">
        <v>0</v>
      </c>
      <c r="J43" s="40">
        <v>0</v>
      </c>
      <c r="K43" s="41">
        <f t="shared" si="0"/>
        <v>948720.83</v>
      </c>
    </row>
    <row r="44" spans="1:11" ht="17.25" customHeight="1" thickBot="1" x14ac:dyDescent="0.3">
      <c r="A44" s="38" t="s">
        <v>87</v>
      </c>
      <c r="B44" s="38" t="s">
        <v>71</v>
      </c>
      <c r="C44" s="38" t="s">
        <v>72</v>
      </c>
      <c r="D44" s="38" t="s">
        <v>73</v>
      </c>
      <c r="E44" s="38" t="s">
        <v>74</v>
      </c>
      <c r="F44" s="40">
        <v>16468.93</v>
      </c>
      <c r="G44" s="40">
        <v>0</v>
      </c>
      <c r="H44" s="40">
        <v>0</v>
      </c>
      <c r="I44" s="40">
        <v>-39019.769999999997</v>
      </c>
      <c r="J44" s="40">
        <v>0</v>
      </c>
      <c r="K44" s="41">
        <f t="shared" si="0"/>
        <v>-22550.839999999997</v>
      </c>
    </row>
    <row r="45" spans="1:11" ht="17.25" customHeight="1" thickBot="1" x14ac:dyDescent="0.3">
      <c r="A45" s="38" t="s">
        <v>87</v>
      </c>
      <c r="B45" s="38" t="s">
        <v>71</v>
      </c>
      <c r="C45" s="38" t="s">
        <v>72</v>
      </c>
      <c r="D45" s="38" t="s">
        <v>73</v>
      </c>
      <c r="E45" s="38" t="s">
        <v>75</v>
      </c>
      <c r="F45" s="40">
        <v>43612.81</v>
      </c>
      <c r="G45" s="40">
        <v>0</v>
      </c>
      <c r="H45" s="40">
        <v>0</v>
      </c>
      <c r="I45" s="40">
        <v>-468456.68</v>
      </c>
      <c r="J45" s="40">
        <v>0</v>
      </c>
      <c r="K45" s="41">
        <f t="shared" si="0"/>
        <v>-424843.87</v>
      </c>
    </row>
    <row r="46" spans="1:11" ht="17.25" customHeight="1" thickBot="1" x14ac:dyDescent="0.3">
      <c r="A46" s="38" t="s">
        <v>87</v>
      </c>
      <c r="B46" s="38" t="s">
        <v>71</v>
      </c>
      <c r="C46" s="38" t="s">
        <v>76</v>
      </c>
      <c r="D46" s="38" t="s">
        <v>73</v>
      </c>
      <c r="E46" s="38" t="s">
        <v>75</v>
      </c>
      <c r="F46" s="40">
        <v>613299.32999999996</v>
      </c>
      <c r="G46" s="40">
        <v>0</v>
      </c>
      <c r="H46" s="40">
        <v>0</v>
      </c>
      <c r="I46" s="40">
        <v>0</v>
      </c>
      <c r="J46" s="40">
        <v>0</v>
      </c>
      <c r="K46" s="41">
        <f t="shared" si="0"/>
        <v>613299.32999999996</v>
      </c>
    </row>
    <row r="47" spans="1:11" ht="17.25" customHeight="1" thickBot="1" x14ac:dyDescent="0.3">
      <c r="A47" s="38" t="s">
        <v>87</v>
      </c>
      <c r="B47" s="38" t="s">
        <v>77</v>
      </c>
      <c r="C47" s="38" t="s">
        <v>78</v>
      </c>
      <c r="D47" s="38" t="s">
        <v>79</v>
      </c>
      <c r="E47" s="38" t="s">
        <v>74</v>
      </c>
      <c r="F47" s="40">
        <v>36074.410000000003</v>
      </c>
      <c r="G47" s="40">
        <v>0</v>
      </c>
      <c r="H47" s="40">
        <v>0</v>
      </c>
      <c r="I47" s="40">
        <v>-34195.040000000001</v>
      </c>
      <c r="J47" s="40">
        <v>0</v>
      </c>
      <c r="K47" s="41">
        <f t="shared" ref="K47:K57" si="1">SUM(F47:J47)</f>
        <v>1879.3700000000026</v>
      </c>
    </row>
    <row r="48" spans="1:11" ht="17.25" customHeight="1" thickBot="1" x14ac:dyDescent="0.3">
      <c r="A48" s="38" t="s">
        <v>87</v>
      </c>
      <c r="B48" s="38" t="s">
        <v>77</v>
      </c>
      <c r="C48" s="38" t="s">
        <v>78</v>
      </c>
      <c r="D48" s="38" t="s">
        <v>79</v>
      </c>
      <c r="E48" s="38" t="s">
        <v>80</v>
      </c>
      <c r="F48" s="40">
        <v>191333.3</v>
      </c>
      <c r="G48" s="40">
        <v>0</v>
      </c>
      <c r="H48" s="40">
        <v>0</v>
      </c>
      <c r="I48" s="40">
        <v>-61857.3</v>
      </c>
      <c r="J48" s="40">
        <v>0</v>
      </c>
      <c r="K48" s="41">
        <f t="shared" si="1"/>
        <v>129475.99999999999</v>
      </c>
    </row>
    <row r="49" spans="1:11" ht="17.25" customHeight="1" thickBot="1" x14ac:dyDescent="0.3">
      <c r="A49" s="38" t="s">
        <v>87</v>
      </c>
      <c r="B49" s="38" t="s">
        <v>77</v>
      </c>
      <c r="C49" s="38" t="s">
        <v>78</v>
      </c>
      <c r="D49" s="38" t="s">
        <v>79</v>
      </c>
      <c r="E49" s="38" t="s">
        <v>75</v>
      </c>
      <c r="F49" s="40">
        <v>563814.56000000006</v>
      </c>
      <c r="G49" s="40">
        <v>0</v>
      </c>
      <c r="H49" s="40">
        <v>0</v>
      </c>
      <c r="I49" s="40">
        <v>-366124.4</v>
      </c>
      <c r="J49" s="40">
        <v>0</v>
      </c>
      <c r="K49" s="41">
        <f t="shared" si="1"/>
        <v>197690.16000000003</v>
      </c>
    </row>
    <row r="50" spans="1:11" ht="17.25" customHeight="1" thickBot="1" x14ac:dyDescent="0.3">
      <c r="A50" s="38" t="s">
        <v>87</v>
      </c>
      <c r="B50" s="38" t="s">
        <v>77</v>
      </c>
      <c r="C50" s="38" t="s">
        <v>81</v>
      </c>
      <c r="D50" s="38" t="s">
        <v>79</v>
      </c>
      <c r="E50" s="38" t="s">
        <v>75</v>
      </c>
      <c r="F50" s="40">
        <v>592234.4</v>
      </c>
      <c r="G50" s="40">
        <v>0</v>
      </c>
      <c r="H50" s="40">
        <v>0</v>
      </c>
      <c r="I50" s="40">
        <v>0</v>
      </c>
      <c r="J50" s="40">
        <v>0</v>
      </c>
      <c r="K50" s="41">
        <f t="shared" si="1"/>
        <v>592234.4</v>
      </c>
    </row>
    <row r="51" spans="1:11" ht="17.25" customHeight="1" thickBot="1" x14ac:dyDescent="0.3">
      <c r="A51" s="38" t="s">
        <v>88</v>
      </c>
      <c r="B51" s="38" t="s">
        <v>71</v>
      </c>
      <c r="C51" s="38" t="s">
        <v>72</v>
      </c>
      <c r="D51" s="38" t="s">
        <v>73</v>
      </c>
      <c r="E51" s="38" t="s">
        <v>74</v>
      </c>
      <c r="F51" s="40">
        <v>17577.189999999999</v>
      </c>
      <c r="G51" s="40">
        <v>0</v>
      </c>
      <c r="H51" s="40">
        <v>0</v>
      </c>
      <c r="I51" s="40">
        <v>-26894.75</v>
      </c>
      <c r="J51" s="40">
        <v>0</v>
      </c>
      <c r="K51" s="41">
        <f t="shared" si="1"/>
        <v>-9317.5600000000013</v>
      </c>
    </row>
    <row r="52" spans="1:11" ht="17.25" customHeight="1" thickBot="1" x14ac:dyDescent="0.3">
      <c r="A52" s="38" t="s">
        <v>88</v>
      </c>
      <c r="B52" s="38" t="s">
        <v>71</v>
      </c>
      <c r="C52" s="38" t="s">
        <v>72</v>
      </c>
      <c r="D52" s="38" t="s">
        <v>73</v>
      </c>
      <c r="E52" s="38" t="s">
        <v>75</v>
      </c>
      <c r="F52" s="40">
        <v>17375.509999999998</v>
      </c>
      <c r="G52" s="40">
        <v>0</v>
      </c>
      <c r="H52" s="40">
        <v>0</v>
      </c>
      <c r="I52" s="40">
        <v>-501828.57</v>
      </c>
      <c r="J52" s="40">
        <v>0</v>
      </c>
      <c r="K52" s="41">
        <f t="shared" si="1"/>
        <v>-484453.06</v>
      </c>
    </row>
    <row r="53" spans="1:11" ht="17.25" customHeight="1" thickBot="1" x14ac:dyDescent="0.3">
      <c r="A53" s="38" t="s">
        <v>88</v>
      </c>
      <c r="B53" s="38" t="s">
        <v>71</v>
      </c>
      <c r="C53" s="38" t="s">
        <v>76</v>
      </c>
      <c r="D53" s="38" t="s">
        <v>73</v>
      </c>
      <c r="E53" s="38" t="s">
        <v>75</v>
      </c>
      <c r="F53" s="40">
        <v>2481325.75</v>
      </c>
      <c r="G53" s="40">
        <v>0</v>
      </c>
      <c r="H53" s="40">
        <v>0</v>
      </c>
      <c r="I53" s="40">
        <v>0</v>
      </c>
      <c r="J53" s="40">
        <v>0</v>
      </c>
      <c r="K53" s="41">
        <f t="shared" si="1"/>
        <v>2481325.75</v>
      </c>
    </row>
    <row r="54" spans="1:11" ht="17.25" customHeight="1" thickBot="1" x14ac:dyDescent="0.3">
      <c r="A54" s="38" t="s">
        <v>88</v>
      </c>
      <c r="B54" s="38" t="s">
        <v>77</v>
      </c>
      <c r="C54" s="38" t="s">
        <v>78</v>
      </c>
      <c r="D54" s="38" t="s">
        <v>79</v>
      </c>
      <c r="E54" s="38" t="s">
        <v>74</v>
      </c>
      <c r="F54" s="40">
        <v>30414.42</v>
      </c>
      <c r="G54" s="40">
        <v>0</v>
      </c>
      <c r="H54" s="40">
        <v>0</v>
      </c>
      <c r="I54" s="40">
        <v>-61330.39</v>
      </c>
      <c r="J54" s="40">
        <v>0</v>
      </c>
      <c r="K54" s="41">
        <f t="shared" si="1"/>
        <v>-30915.97</v>
      </c>
    </row>
    <row r="55" spans="1:11" ht="17.25" customHeight="1" thickBot="1" x14ac:dyDescent="0.3">
      <c r="A55" s="38" t="s">
        <v>88</v>
      </c>
      <c r="B55" s="38" t="s">
        <v>77</v>
      </c>
      <c r="C55" s="38" t="s">
        <v>78</v>
      </c>
      <c r="D55" s="38" t="s">
        <v>79</v>
      </c>
      <c r="E55" s="38" t="s">
        <v>80</v>
      </c>
      <c r="F55" s="40">
        <v>299986.99</v>
      </c>
      <c r="G55" s="40">
        <v>0</v>
      </c>
      <c r="H55" s="40">
        <v>0</v>
      </c>
      <c r="I55" s="40">
        <v>-108430.54</v>
      </c>
      <c r="J55" s="40">
        <v>0</v>
      </c>
      <c r="K55" s="41">
        <f t="shared" si="1"/>
        <v>191556.45</v>
      </c>
    </row>
    <row r="56" spans="1:11" ht="17.25" customHeight="1" thickBot="1" x14ac:dyDescent="0.3">
      <c r="A56" s="38" t="s">
        <v>88</v>
      </c>
      <c r="B56" s="38" t="s">
        <v>77</v>
      </c>
      <c r="C56" s="38" t="s">
        <v>78</v>
      </c>
      <c r="D56" s="38" t="s">
        <v>79</v>
      </c>
      <c r="E56" s="38" t="s">
        <v>75</v>
      </c>
      <c r="F56" s="40">
        <v>289187.26</v>
      </c>
      <c r="G56" s="40">
        <v>0</v>
      </c>
      <c r="H56" s="40">
        <v>0</v>
      </c>
      <c r="I56" s="40">
        <v>-230557.64</v>
      </c>
      <c r="J56" s="40">
        <v>0</v>
      </c>
      <c r="K56" s="41">
        <f t="shared" si="1"/>
        <v>58629.619999999995</v>
      </c>
    </row>
    <row r="57" spans="1:11" ht="17.25" customHeight="1" thickBot="1" x14ac:dyDescent="0.3">
      <c r="A57" s="38" t="s">
        <v>88</v>
      </c>
      <c r="B57" s="38" t="s">
        <v>77</v>
      </c>
      <c r="C57" s="38" t="s">
        <v>81</v>
      </c>
      <c r="D57" s="38" t="s">
        <v>79</v>
      </c>
      <c r="E57" s="38" t="s">
        <v>75</v>
      </c>
      <c r="F57" s="40">
        <v>468826.32</v>
      </c>
      <c r="G57" s="40">
        <v>0</v>
      </c>
      <c r="H57" s="40">
        <v>0</v>
      </c>
      <c r="I57" s="40">
        <v>0</v>
      </c>
      <c r="J57" s="40">
        <v>0</v>
      </c>
      <c r="K57" s="41">
        <f t="shared" si="1"/>
        <v>468826.32</v>
      </c>
    </row>
    <row r="59" spans="1:11" ht="12.75" customHeight="1" x14ac:dyDescent="0.25">
      <c r="F59" s="41">
        <f>SUBTOTAL(9,F2:F58)</f>
        <v>30631509.149999995</v>
      </c>
      <c r="I59" s="41">
        <f>SUBTOTAL(9,I2:I58)</f>
        <v>-13208867.470000001</v>
      </c>
    </row>
    <row r="61" spans="1:11" ht="12.75" customHeight="1" x14ac:dyDescent="0.25">
      <c r="F61" s="41">
        <f>F59/8*12</f>
        <v>45947263.724999994</v>
      </c>
    </row>
    <row r="63" spans="1:11" ht="12.75" customHeight="1" x14ac:dyDescent="0.25">
      <c r="D63" s="36" t="s">
        <v>73</v>
      </c>
      <c r="E63" s="36" t="s">
        <v>75</v>
      </c>
      <c r="F63" s="41">
        <f>SUMIFS(F$1:F$58,$D$1:$D$58,$D63,$E$1:$E$58,$E63)</f>
        <v>18008712.909999996</v>
      </c>
      <c r="G63" s="41">
        <f>F63/8*12</f>
        <v>27013069.364999995</v>
      </c>
    </row>
    <row r="64" spans="1:11" ht="12.75" customHeight="1" x14ac:dyDescent="0.25">
      <c r="D64" s="36" t="s">
        <v>73</v>
      </c>
      <c r="E64" s="36" t="s">
        <v>74</v>
      </c>
      <c r="F64" s="41">
        <f>SUMIFS(F$1:F$58,$D$1:$D$58,$D64,$E$1:$E$58,$E64)</f>
        <v>153563.64000000001</v>
      </c>
      <c r="G64" s="41">
        <f>F64/8*12</f>
        <v>230345.46000000002</v>
      </c>
    </row>
    <row r="65" spans="4:7" ht="12.75" customHeight="1" x14ac:dyDescent="0.25">
      <c r="D65" s="36" t="s">
        <v>79</v>
      </c>
      <c r="E65" s="36" t="s">
        <v>75</v>
      </c>
      <c r="F65" s="41">
        <f>SUMIFS(F$1:F$58,$D$1:$D$58,$D65,$E$1:$E$58,$E65)</f>
        <v>9052489.1600000001</v>
      </c>
      <c r="G65" s="41">
        <f>F65/8*12</f>
        <v>13578733.74</v>
      </c>
    </row>
    <row r="66" spans="4:7" ht="12.75" customHeight="1" x14ac:dyDescent="0.25">
      <c r="D66" s="36" t="s">
        <v>79</v>
      </c>
      <c r="E66" s="36" t="s">
        <v>74</v>
      </c>
      <c r="F66" s="41">
        <f>SUMIFS(F$1:F$58,$D$1:$D$58,$D66,$E$1:$E$58,$E66)</f>
        <v>730506.99</v>
      </c>
      <c r="G66" s="41">
        <f>F66/8*12</f>
        <v>1095760.4849999999</v>
      </c>
    </row>
    <row r="67" spans="4:7" ht="12.75" customHeight="1" x14ac:dyDescent="0.25">
      <c r="D67" s="36" t="s">
        <v>79</v>
      </c>
      <c r="E67" s="36" t="s">
        <v>80</v>
      </c>
      <c r="F67" s="41">
        <f>SUMIFS(F$1:F$58,$D$1:$D$58,$D67,$E$1:$E$58,$E67)</f>
        <v>2686236.45</v>
      </c>
      <c r="G67" s="41">
        <f>F67/8*12</f>
        <v>4029354.6750000003</v>
      </c>
    </row>
    <row r="69" spans="4:7" ht="12.75" customHeight="1" x14ac:dyDescent="0.25">
      <c r="F69" s="41">
        <f>SUM(F63:F68)</f>
        <v>30631509.149999995</v>
      </c>
      <c r="G69" s="41">
        <f>SUM(G63:G68)</f>
        <v>45947263.724999994</v>
      </c>
    </row>
  </sheetData>
  <autoFilter ref="A1:K57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8"/>
  <sheetViews>
    <sheetView workbookViewId="0">
      <selection activeCell="K8" sqref="K8"/>
    </sheetView>
  </sheetViews>
  <sheetFormatPr defaultRowHeight="14.4" x14ac:dyDescent="0.3"/>
  <cols>
    <col min="2" max="2" width="1.33203125" customWidth="1"/>
    <col min="3" max="3" width="19.33203125" customWidth="1"/>
    <col min="4" max="5" width="15" customWidth="1"/>
    <col min="6" max="6" width="1.6640625" customWidth="1"/>
    <col min="9" max="9" width="2.6640625" customWidth="1"/>
    <col min="10" max="10" width="14.44140625" customWidth="1"/>
    <col min="11" max="11" width="15.6640625" customWidth="1"/>
    <col min="12" max="12" width="2.6640625" customWidth="1"/>
  </cols>
  <sheetData>
    <row r="2" spans="2:12" ht="15" thickBot="1" x14ac:dyDescent="0.35"/>
    <row r="3" spans="2:12" ht="6.6" customHeight="1" thickBot="1" x14ac:dyDescent="0.35">
      <c r="B3" s="14"/>
      <c r="C3" s="15"/>
      <c r="D3" s="15"/>
      <c r="E3" s="15"/>
      <c r="F3" s="16"/>
      <c r="I3" s="14"/>
      <c r="J3" s="15"/>
      <c r="K3" s="15"/>
      <c r="L3" s="16"/>
    </row>
    <row r="4" spans="2:12" x14ac:dyDescent="0.3">
      <c r="B4" s="17"/>
      <c r="C4" s="48" t="s">
        <v>46</v>
      </c>
      <c r="D4" s="49"/>
      <c r="E4" s="50"/>
      <c r="F4" s="18"/>
      <c r="I4" s="17"/>
      <c r="J4" s="48" t="s">
        <v>47</v>
      </c>
      <c r="K4" s="50"/>
      <c r="L4" s="18"/>
    </row>
    <row r="5" spans="2:12" ht="15" thickBot="1" x14ac:dyDescent="0.35">
      <c r="B5" s="17"/>
      <c r="C5" s="45">
        <v>43830</v>
      </c>
      <c r="D5" s="46"/>
      <c r="E5" s="47"/>
      <c r="F5" s="18"/>
      <c r="I5" s="17"/>
      <c r="J5" s="45">
        <v>43830</v>
      </c>
      <c r="K5" s="47"/>
      <c r="L5" s="18"/>
    </row>
    <row r="6" spans="2:12" x14ac:dyDescent="0.3">
      <c r="B6" s="17"/>
      <c r="C6" s="19"/>
      <c r="D6" s="19"/>
      <c r="E6" s="19"/>
      <c r="F6" s="18"/>
      <c r="I6" s="17"/>
      <c r="J6" s="19"/>
      <c r="K6" s="19"/>
      <c r="L6" s="18"/>
    </row>
    <row r="7" spans="2:12" ht="28.8" x14ac:dyDescent="0.3">
      <c r="B7" s="17"/>
      <c r="C7" s="20"/>
      <c r="D7" s="21" t="s">
        <v>44</v>
      </c>
      <c r="E7" s="21" t="s">
        <v>7</v>
      </c>
      <c r="F7" s="18"/>
      <c r="I7" s="17"/>
      <c r="J7" s="20"/>
      <c r="K7" s="21" t="s">
        <v>44</v>
      </c>
      <c r="L7" s="18"/>
    </row>
    <row r="8" spans="2:12" x14ac:dyDescent="0.3">
      <c r="B8" s="17"/>
      <c r="C8" s="20" t="s">
        <v>39</v>
      </c>
      <c r="D8" s="22">
        <f>Allocation!G9</f>
        <v>-107524600.04577447</v>
      </c>
      <c r="E8" s="22">
        <f>Allocation!H9</f>
        <v>-140616201.58618811</v>
      </c>
      <c r="F8" s="18"/>
      <c r="I8" s="17"/>
      <c r="J8" s="20" t="s">
        <v>48</v>
      </c>
      <c r="K8" s="22">
        <f>Allocation!$C$4+Allocation!$C$5+Allocation!$C$6+Allocation!$C$7</f>
        <v>-142837798</v>
      </c>
      <c r="L8" s="18"/>
    </row>
    <row r="9" spans="2:12" x14ac:dyDescent="0.3">
      <c r="B9" s="17"/>
      <c r="C9" s="20" t="s">
        <v>40</v>
      </c>
      <c r="D9" s="23">
        <f>Allocation!I9</f>
        <v>-57897861.563109323</v>
      </c>
      <c r="E9" s="23">
        <f>Allocation!J9</f>
        <v>-75716416.238716662</v>
      </c>
      <c r="F9" s="18"/>
      <c r="I9" s="17"/>
      <c r="J9" s="20" t="s">
        <v>49</v>
      </c>
      <c r="K9" s="23">
        <f>Allocation!$C$21*0.21</f>
        <v>-40885215.839999996</v>
      </c>
      <c r="L9" s="18"/>
    </row>
    <row r="10" spans="2:12" x14ac:dyDescent="0.3">
      <c r="B10" s="17"/>
      <c r="C10" s="20" t="s">
        <v>41</v>
      </c>
      <c r="D10" s="23">
        <f>Allocation!M9</f>
        <v>-15106379.219384886</v>
      </c>
      <c r="E10" s="23">
        <f>Allocation!N9</f>
        <v>-19734973.868187904</v>
      </c>
      <c r="F10" s="18"/>
      <c r="I10" s="17"/>
      <c r="J10" s="20" t="s">
        <v>50</v>
      </c>
      <c r="K10" s="23">
        <f>Allocation!$C$22*0.21</f>
        <v>-16549784.16</v>
      </c>
      <c r="L10" s="18"/>
    </row>
    <row r="11" spans="2:12" ht="15" thickBot="1" x14ac:dyDescent="0.35">
      <c r="B11" s="17"/>
      <c r="C11" s="20" t="s">
        <v>42</v>
      </c>
      <c r="D11" s="23">
        <f>Allocation!O9</f>
        <v>-6474162.5225935234</v>
      </c>
      <c r="E11" s="23">
        <f>Allocation!P9</f>
        <v>-8457845.9435091019</v>
      </c>
      <c r="F11" s="18"/>
      <c r="I11" s="17"/>
      <c r="J11" s="20"/>
      <c r="K11" s="24">
        <f>SUM(K8:K10)</f>
        <v>-200272798</v>
      </c>
      <c r="L11" s="18"/>
    </row>
    <row r="12" spans="2:12" ht="15" thickBot="1" x14ac:dyDescent="0.35">
      <c r="B12" s="17"/>
      <c r="C12" s="20" t="s">
        <v>43</v>
      </c>
      <c r="D12" s="23">
        <f>Allocation!Q9</f>
        <v>-13269794.64913778</v>
      </c>
      <c r="E12" s="23">
        <f>Allocation!R9</f>
        <v>-17321327.683736134</v>
      </c>
      <c r="F12" s="18"/>
      <c r="I12" s="25"/>
      <c r="J12" s="26"/>
      <c r="K12" s="26"/>
      <c r="L12" s="27"/>
    </row>
    <row r="13" spans="2:12" ht="15" thickBot="1" x14ac:dyDescent="0.35">
      <c r="B13" s="17"/>
      <c r="C13" s="20"/>
      <c r="D13" s="24">
        <f>SUM(D8:D12)</f>
        <v>-200272798</v>
      </c>
      <c r="E13" s="24">
        <f>SUM(E8:E12)</f>
        <v>-261846765.32033792</v>
      </c>
      <c r="F13" s="18"/>
    </row>
    <row r="14" spans="2:12" ht="15" thickBot="1" x14ac:dyDescent="0.35">
      <c r="B14" s="25"/>
      <c r="C14" s="26"/>
      <c r="D14" s="26"/>
      <c r="E14" s="26"/>
      <c r="F14" s="27"/>
    </row>
    <row r="16" spans="2:12" ht="15" thickBot="1" x14ac:dyDescent="0.35"/>
    <row r="17" spans="2:6" ht="15" thickBot="1" x14ac:dyDescent="0.35">
      <c r="B17" s="14"/>
      <c r="C17" s="15"/>
      <c r="D17" s="15"/>
      <c r="E17" s="15"/>
      <c r="F17" s="16"/>
    </row>
    <row r="18" spans="2:6" x14ac:dyDescent="0.3">
      <c r="B18" s="17"/>
      <c r="C18" s="48" t="s">
        <v>46</v>
      </c>
      <c r="D18" s="49"/>
      <c r="E18" s="50"/>
      <c r="F18" s="18"/>
    </row>
    <row r="19" spans="2:6" ht="15" thickBot="1" x14ac:dyDescent="0.35">
      <c r="B19" s="17"/>
      <c r="C19" s="45" t="s">
        <v>45</v>
      </c>
      <c r="D19" s="46"/>
      <c r="E19" s="47"/>
      <c r="F19" s="18"/>
    </row>
    <row r="20" spans="2:6" x14ac:dyDescent="0.3">
      <c r="B20" s="17"/>
      <c r="C20" s="19"/>
      <c r="D20" s="19"/>
      <c r="E20" s="19"/>
      <c r="F20" s="18"/>
    </row>
    <row r="21" spans="2:6" ht="28.8" x14ac:dyDescent="0.3">
      <c r="B21" s="17"/>
      <c r="C21" s="20"/>
      <c r="D21" s="21" t="s">
        <v>44</v>
      </c>
      <c r="E21" s="21" t="s">
        <v>7</v>
      </c>
      <c r="F21" s="18"/>
    </row>
    <row r="22" spans="2:6" x14ac:dyDescent="0.3">
      <c r="B22" s="17"/>
      <c r="C22" s="20" t="s">
        <v>39</v>
      </c>
      <c r="D22" s="22">
        <f>Allocation!G13+Allocation!G14</f>
        <v>-10180190.208551791</v>
      </c>
      <c r="E22" s="22">
        <f>Allocation!H13+Allocation!H14</f>
        <v>-13229616.905200509</v>
      </c>
      <c r="F22" s="18"/>
    </row>
    <row r="23" spans="2:6" x14ac:dyDescent="0.3">
      <c r="B23" s="17"/>
      <c r="C23" s="20" t="s">
        <v>40</v>
      </c>
      <c r="D23" s="23">
        <f>Allocation!I13+Allocation!I14</f>
        <v>-5481640.8815278867</v>
      </c>
      <c r="E23" s="23">
        <f>Allocation!J13+Allocation!J14</f>
        <v>-7123639.8720310433</v>
      </c>
      <c r="F23" s="18"/>
    </row>
    <row r="24" spans="2:6" x14ac:dyDescent="0.3">
      <c r="B24" s="17"/>
      <c r="C24" s="20" t="s">
        <v>41</v>
      </c>
      <c r="D24" s="23">
        <f>Allocation!M13+Allocation!M14</f>
        <v>-1406327.8575283606</v>
      </c>
      <c r="E24" s="23">
        <f>Allocation!N13+Allocation!N14</f>
        <v>-1827586.5594910469</v>
      </c>
      <c r="F24" s="18"/>
    </row>
    <row r="25" spans="2:6" x14ac:dyDescent="0.3">
      <c r="B25" s="17"/>
      <c r="C25" s="20" t="s">
        <v>42</v>
      </c>
      <c r="D25" s="23">
        <f>Allocation!O13+Allocation!O14</f>
        <v>-602711.93894072599</v>
      </c>
      <c r="E25" s="23">
        <f>Allocation!P13+Allocation!P14</f>
        <v>-783251.38263902022</v>
      </c>
      <c r="F25" s="18"/>
    </row>
    <row r="26" spans="2:6" x14ac:dyDescent="0.3">
      <c r="B26" s="17"/>
      <c r="C26" s="20" t="s">
        <v>43</v>
      </c>
      <c r="D26" s="23">
        <f>Allocation!Q13+Allocation!Q14</f>
        <v>-1229129.1134512338</v>
      </c>
      <c r="E26" s="23">
        <f>Allocation!R13+Allocation!R14</f>
        <v>-1597308.7894103106</v>
      </c>
      <c r="F26" s="18"/>
    </row>
    <row r="27" spans="2:6" ht="15" thickBot="1" x14ac:dyDescent="0.35">
      <c r="B27" s="17"/>
      <c r="C27" s="20"/>
      <c r="D27" s="24">
        <f>SUM(D22:D26)</f>
        <v>-18900000</v>
      </c>
      <c r="E27" s="24">
        <f>SUM(E22:E26)</f>
        <v>-24561403.50877193</v>
      </c>
      <c r="F27" s="18"/>
    </row>
    <row r="28" spans="2:6" ht="15" thickBot="1" x14ac:dyDescent="0.35">
      <c r="B28" s="25"/>
      <c r="C28" s="26"/>
      <c r="D28" s="26"/>
      <c r="E28" s="26"/>
      <c r="F28" s="27"/>
    </row>
  </sheetData>
  <mergeCells count="6">
    <mergeCell ref="C4:E4"/>
    <mergeCell ref="C5:E5"/>
    <mergeCell ref="C18:E18"/>
    <mergeCell ref="C19:E19"/>
    <mergeCell ref="J5:K5"/>
    <mergeCell ref="J4:K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"/>
  <sheetViews>
    <sheetView workbookViewId="0">
      <pane xSplit="4" ySplit="3" topLeftCell="E4" activePane="bottomRight" state="frozen"/>
      <selection activeCell="E24" sqref="E24"/>
      <selection pane="topRight" activeCell="E24" sqref="E24"/>
      <selection pane="bottomLeft" activeCell="E24" sqref="E24"/>
      <selection pane="bottomRight" activeCell="D6" sqref="D6"/>
    </sheetView>
  </sheetViews>
  <sheetFormatPr defaultRowHeight="14.4" x14ac:dyDescent="0.3"/>
  <cols>
    <col min="1" max="1" width="5" bestFit="1" customWidth="1"/>
    <col min="2" max="2" width="29.6640625" bestFit="1" customWidth="1"/>
    <col min="3" max="3" width="15.33203125" bestFit="1" customWidth="1"/>
    <col min="4" max="4" width="13" bestFit="1" customWidth="1"/>
    <col min="5" max="5" width="15.33203125" bestFit="1" customWidth="1"/>
    <col min="6" max="6" width="14.33203125" customWidth="1"/>
    <col min="7" max="7" width="16.5546875" customWidth="1"/>
    <col min="8" max="8" width="14.44140625" customWidth="1"/>
    <col min="9" max="9" width="16.5546875" customWidth="1"/>
    <col min="10" max="10" width="14.109375" customWidth="1"/>
    <col min="11" max="11" width="14.33203125" bestFit="1" customWidth="1"/>
    <col min="12" max="16" width="13.5546875" customWidth="1"/>
    <col min="17" max="17" width="13.33203125" bestFit="1" customWidth="1"/>
    <col min="18" max="18" width="14.88671875" customWidth="1"/>
  </cols>
  <sheetData>
    <row r="1" spans="1:29" ht="15" thickBot="1" x14ac:dyDescent="0.35">
      <c r="D1">
        <v>0.23050000000000001</v>
      </c>
      <c r="G1">
        <v>0.65</v>
      </c>
      <c r="I1">
        <v>0.35</v>
      </c>
      <c r="M1">
        <v>0.7</v>
      </c>
      <c r="O1">
        <v>0.3</v>
      </c>
    </row>
    <row r="2" spans="1:29" s="2" customFormat="1" ht="15" thickBot="1" x14ac:dyDescent="0.35">
      <c r="C2" s="51" t="s">
        <v>5</v>
      </c>
      <c r="D2" s="52"/>
      <c r="E2" s="51" t="s">
        <v>9</v>
      </c>
      <c r="F2" s="52"/>
      <c r="G2" s="51" t="s">
        <v>12</v>
      </c>
      <c r="H2" s="52"/>
      <c r="I2" s="51" t="s">
        <v>13</v>
      </c>
      <c r="J2" s="52"/>
      <c r="K2" s="51" t="s">
        <v>10</v>
      </c>
      <c r="L2" s="52"/>
      <c r="M2" s="51" t="s">
        <v>14</v>
      </c>
      <c r="N2" s="52"/>
      <c r="O2" s="51" t="s">
        <v>15</v>
      </c>
      <c r="P2" s="52"/>
      <c r="Q2" s="51" t="s">
        <v>11</v>
      </c>
      <c r="R2" s="52"/>
    </row>
    <row r="3" spans="1:29" s="1" customFormat="1" ht="28.8" x14ac:dyDescent="0.3">
      <c r="C3" s="1" t="s">
        <v>6</v>
      </c>
      <c r="D3" s="1" t="s">
        <v>7</v>
      </c>
      <c r="E3" s="1" t="s">
        <v>6</v>
      </c>
      <c r="F3" s="1" t="s">
        <v>7</v>
      </c>
      <c r="G3" s="1" t="s">
        <v>6</v>
      </c>
      <c r="H3" s="1" t="s">
        <v>7</v>
      </c>
      <c r="I3" s="1" t="s">
        <v>6</v>
      </c>
      <c r="J3" s="1" t="s">
        <v>7</v>
      </c>
      <c r="K3" s="1" t="s">
        <v>6</v>
      </c>
      <c r="L3" s="1" t="s">
        <v>7</v>
      </c>
      <c r="M3" s="1" t="s">
        <v>6</v>
      </c>
      <c r="N3" s="1" t="s">
        <v>7</v>
      </c>
      <c r="O3" s="1" t="s">
        <v>6</v>
      </c>
      <c r="P3" s="1" t="s">
        <v>7</v>
      </c>
      <c r="Q3" s="1" t="s">
        <v>6</v>
      </c>
      <c r="R3" s="1" t="s">
        <v>7</v>
      </c>
    </row>
    <row r="4" spans="1:29" x14ac:dyDescent="0.3">
      <c r="B4" s="4" t="s">
        <v>0</v>
      </c>
      <c r="C4" s="3">
        <v>-123986276</v>
      </c>
      <c r="D4" s="3">
        <f>C4/(1-$D$1)</f>
        <v>-161125764.78232619</v>
      </c>
      <c r="E4" s="3">
        <v>-102743498</v>
      </c>
      <c r="F4" s="3">
        <f>E4/(1-$D$1)</f>
        <v>-133519815.46458741</v>
      </c>
      <c r="G4" s="3">
        <f>E4*$G$1</f>
        <v>-66783273.700000003</v>
      </c>
      <c r="H4" s="3">
        <f>F4*$G$1</f>
        <v>-86787880.051981822</v>
      </c>
      <c r="I4" s="3">
        <f>E4*$I$1</f>
        <v>-35960224.299999997</v>
      </c>
      <c r="J4" s="3">
        <f>F4*$I$1</f>
        <v>-46731935.412605591</v>
      </c>
      <c r="K4" s="3">
        <v>-13179543</v>
      </c>
      <c r="L4" s="3">
        <f>K4/(1-$D$1)</f>
        <v>-17127411.306042887</v>
      </c>
      <c r="M4" s="3">
        <f>K4*$M$1</f>
        <v>-9225680.0999999996</v>
      </c>
      <c r="N4" s="3">
        <f>L4*$M$1</f>
        <v>-11989187.914230021</v>
      </c>
      <c r="O4" s="3">
        <f>K4*$O$1</f>
        <v>-3953862.9</v>
      </c>
      <c r="P4" s="3">
        <f>L4*$O$1</f>
        <v>-5138223.3918128656</v>
      </c>
      <c r="Q4" s="3">
        <v>-8063235</v>
      </c>
      <c r="R4" s="3">
        <f>Q4/(1-$D$1)</f>
        <v>-10478538.011695907</v>
      </c>
      <c r="S4" s="3"/>
      <c r="T4" s="3"/>
    </row>
    <row r="5" spans="1:29" x14ac:dyDescent="0.3">
      <c r="A5">
        <v>2019</v>
      </c>
      <c r="B5" t="s">
        <v>1</v>
      </c>
      <c r="C5" s="3">
        <v>-8736000</v>
      </c>
      <c r="D5" s="3">
        <f t="shared" ref="D5:F8" si="0">C5/(1-$D$1)</f>
        <v>-11352826.510721248</v>
      </c>
      <c r="E5" s="3">
        <v>-6804000</v>
      </c>
      <c r="F5" s="3">
        <f t="shared" si="0"/>
        <v>-8842105.2631578948</v>
      </c>
      <c r="G5" s="3">
        <f t="shared" ref="G5" si="1">E5*$G$1</f>
        <v>-4422600</v>
      </c>
      <c r="H5" s="3">
        <f t="shared" ref="H5:H8" si="2">F5*$G$1</f>
        <v>-5747368.4210526319</v>
      </c>
      <c r="I5" s="3">
        <f t="shared" ref="I5:I8" si="3">E5*$I$1</f>
        <v>-2381400</v>
      </c>
      <c r="J5" s="3">
        <f t="shared" ref="J5:J8" si="4">F5*$I$1</f>
        <v>-3094736.8421052629</v>
      </c>
      <c r="K5" s="3">
        <v>-1176000</v>
      </c>
      <c r="L5" s="3">
        <f t="shared" ref="L5" si="5">K5/(1-$D$1)</f>
        <v>-1528265.1072124757</v>
      </c>
      <c r="M5" s="3">
        <f t="shared" ref="M5:M8" si="6">K5*$M$1</f>
        <v>-823200</v>
      </c>
      <c r="N5" s="3">
        <f t="shared" ref="N5:N8" si="7">L5*$M$1</f>
        <v>-1069785.575048733</v>
      </c>
      <c r="O5" s="3">
        <f t="shared" ref="O5:O8" si="8">K5*$O$1</f>
        <v>-352800</v>
      </c>
      <c r="P5" s="3">
        <f t="shared" ref="P5:P8" si="9">L5*$O$1</f>
        <v>-458479.5321637427</v>
      </c>
      <c r="Q5" s="3">
        <v>-756000</v>
      </c>
      <c r="R5" s="3">
        <f t="shared" ref="R5" si="10">Q5/(1-$D$1)</f>
        <v>-982456.14035087719</v>
      </c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x14ac:dyDescent="0.3">
      <c r="A6">
        <v>2019</v>
      </c>
      <c r="B6" t="s">
        <v>2</v>
      </c>
      <c r="C6" s="3">
        <v>3458878</v>
      </c>
      <c r="D6" s="28">
        <v>2911748</v>
      </c>
      <c r="E6" s="3">
        <v>2968276</v>
      </c>
      <c r="F6" s="28">
        <f>D6*E6/C6</f>
        <v>2498750.0878747385</v>
      </c>
      <c r="G6" s="3">
        <f>E6*$G$1</f>
        <v>1929379.4000000001</v>
      </c>
      <c r="H6" s="3">
        <f>F6*$G$1</f>
        <v>1624187.55711858</v>
      </c>
      <c r="I6" s="3">
        <f t="shared" si="3"/>
        <v>1038896.6</v>
      </c>
      <c r="J6" s="3">
        <f t="shared" si="4"/>
        <v>874562.5307561584</v>
      </c>
      <c r="K6" s="3">
        <v>323187</v>
      </c>
      <c r="L6" s="3">
        <f>K6*D6/C6</f>
        <v>272064.84324569989</v>
      </c>
      <c r="M6" s="3">
        <f>K6*$M$1</f>
        <v>226230.9</v>
      </c>
      <c r="N6" s="3">
        <f t="shared" si="7"/>
        <v>190445.39027198992</v>
      </c>
      <c r="O6" s="3">
        <f t="shared" si="8"/>
        <v>96956.099999999991</v>
      </c>
      <c r="P6" s="3">
        <f t="shared" si="9"/>
        <v>81619.452973709966</v>
      </c>
      <c r="Q6" s="3">
        <v>167415</v>
      </c>
      <c r="R6" s="3">
        <f>Q6*D6/C6</f>
        <v>140933.06887956153</v>
      </c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x14ac:dyDescent="0.3">
      <c r="A7">
        <v>2019</v>
      </c>
      <c r="B7" t="s">
        <v>3</v>
      </c>
      <c r="C7" s="3">
        <v>-13574400</v>
      </c>
      <c r="D7" s="3">
        <f t="shared" si="0"/>
        <v>-17640545.808966864</v>
      </c>
      <c r="E7" s="3">
        <f>$C$7*E19</f>
        <v>-11248675.129586115</v>
      </c>
      <c r="F7" s="3">
        <f t="shared" si="0"/>
        <v>-14618161.31200275</v>
      </c>
      <c r="G7" s="3">
        <f>E7*$G$1</f>
        <v>-7311638.8342309752</v>
      </c>
      <c r="H7" s="3">
        <f t="shared" si="2"/>
        <v>-9501804.8528017886</v>
      </c>
      <c r="I7" s="3">
        <f t="shared" si="3"/>
        <v>-3937036.2953551402</v>
      </c>
      <c r="J7" s="3">
        <f t="shared" si="4"/>
        <v>-5116356.4592009624</v>
      </c>
      <c r="K7" s="3">
        <f>$C$7*K19</f>
        <v>-1442937.0271529085</v>
      </c>
      <c r="L7" s="3">
        <f t="shared" ref="L7" si="11">K7/(1-$D$1)</f>
        <v>-1875161.8286587505</v>
      </c>
      <c r="M7" s="3">
        <f t="shared" si="6"/>
        <v>-1010055.9190070359</v>
      </c>
      <c r="N7" s="3">
        <f t="shared" si="7"/>
        <v>-1312613.2800611253</v>
      </c>
      <c r="O7" s="3">
        <f t="shared" si="8"/>
        <v>-432881.10814587254</v>
      </c>
      <c r="P7" s="3">
        <f t="shared" si="9"/>
        <v>-562548.54859762511</v>
      </c>
      <c r="Q7" s="3">
        <f>$C$7*Q19</f>
        <v>-882787.84326097509</v>
      </c>
      <c r="R7" s="3">
        <f t="shared" ref="R7" si="12">Q7/(1-$D$1)</f>
        <v>-1147222.6683053607</v>
      </c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 x14ac:dyDescent="0.3">
      <c r="A8">
        <v>2019</v>
      </c>
      <c r="B8" t="s">
        <v>4</v>
      </c>
      <c r="C8" s="3">
        <f>-273500000*0.21</f>
        <v>-57435000</v>
      </c>
      <c r="D8" s="3">
        <f t="shared" si="0"/>
        <v>-74639376.218323588</v>
      </c>
      <c r="E8" s="3">
        <f>$C$8*E19</f>
        <v>-47594564.47929769</v>
      </c>
      <c r="F8" s="3">
        <f t="shared" si="0"/>
        <v>-61851285.873031437</v>
      </c>
      <c r="G8" s="3">
        <f>E8*$G$1</f>
        <v>-30936466.9115435</v>
      </c>
      <c r="H8" s="3">
        <f t="shared" si="2"/>
        <v>-40203335.817470439</v>
      </c>
      <c r="I8" s="3">
        <f t="shared" si="3"/>
        <v>-16658097.56775419</v>
      </c>
      <c r="J8" s="3">
        <f t="shared" si="4"/>
        <v>-21647950.055561002</v>
      </c>
      <c r="K8" s="3">
        <f>$C$8*K19</f>
        <v>-6105248.7148255017</v>
      </c>
      <c r="L8" s="3">
        <f t="shared" ref="L8" si="13">K8/(1-$D$1)</f>
        <v>-7934046.4130285922</v>
      </c>
      <c r="M8" s="3">
        <f t="shared" si="6"/>
        <v>-4273674.1003778512</v>
      </c>
      <c r="N8" s="3">
        <f t="shared" si="7"/>
        <v>-5553832.489120014</v>
      </c>
      <c r="O8" s="3">
        <f t="shared" si="8"/>
        <v>-1831574.6144476505</v>
      </c>
      <c r="P8" s="3">
        <f t="shared" si="9"/>
        <v>-2380213.9239085778</v>
      </c>
      <c r="Q8" s="3">
        <f>$C$8*Q19</f>
        <v>-3735186.805876805</v>
      </c>
      <c r="R8" s="3">
        <f t="shared" ref="R8" si="14">Q8/(1-$D$1)</f>
        <v>-4854043.9322635541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x14ac:dyDescent="0.3">
      <c r="B9" t="s">
        <v>8</v>
      </c>
      <c r="C9" s="5">
        <f>SUM(C4:C8)</f>
        <v>-200272798</v>
      </c>
      <c r="D9" s="5">
        <f>SUM(D4:D8)</f>
        <v>-261846765.32033789</v>
      </c>
      <c r="E9" s="5">
        <f t="shared" ref="E9:R9" si="15">SUM(E4:E8)</f>
        <v>-165422461.6088838</v>
      </c>
      <c r="F9" s="5">
        <f t="shared" si="15"/>
        <v>-216332617.82490474</v>
      </c>
      <c r="G9" s="5">
        <f t="shared" ref="G9" si="16">SUM(G4:G8)</f>
        <v>-107524600.04577447</v>
      </c>
      <c r="H9" s="5">
        <f t="shared" ref="H9" si="17">SUM(H4:H8)</f>
        <v>-140616201.58618811</v>
      </c>
      <c r="I9" s="5">
        <f t="shared" ref="I9" si="18">SUM(I4:I8)</f>
        <v>-57897861.563109323</v>
      </c>
      <c r="J9" s="5">
        <f t="shared" ref="J9" si="19">SUM(J4:J8)</f>
        <v>-75716416.238716662</v>
      </c>
      <c r="K9" s="5">
        <f t="shared" si="15"/>
        <v>-21580541.741978411</v>
      </c>
      <c r="L9" s="5">
        <f t="shared" si="15"/>
        <v>-28192819.811697006</v>
      </c>
      <c r="M9" s="5">
        <f t="shared" ref="M9" si="20">SUM(M4:M8)</f>
        <v>-15106379.219384886</v>
      </c>
      <c r="N9" s="5">
        <f t="shared" ref="N9" si="21">SUM(N4:N8)</f>
        <v>-19734973.868187904</v>
      </c>
      <c r="O9" s="5">
        <f t="shared" ref="O9" si="22">SUM(O4:O8)</f>
        <v>-6474162.5225935234</v>
      </c>
      <c r="P9" s="5">
        <f t="shared" ref="P9" si="23">SUM(P4:P8)</f>
        <v>-8457845.9435091019</v>
      </c>
      <c r="Q9" s="5">
        <f t="shared" si="15"/>
        <v>-13269794.64913778</v>
      </c>
      <c r="R9" s="5">
        <f t="shared" si="15"/>
        <v>-17321327.683736134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x14ac:dyDescent="0.3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x14ac:dyDescent="0.3">
      <c r="C11" s="3">
        <f>C7/0.21</f>
        <v>-64640000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x14ac:dyDescent="0.3">
      <c r="B12" t="s">
        <v>16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x14ac:dyDescent="0.3">
      <c r="B13" t="s">
        <v>17</v>
      </c>
      <c r="C13" s="3">
        <v>-13650000</v>
      </c>
      <c r="D13" s="3">
        <f>C13/(1-$D$1)</f>
        <v>-17738791.423001949</v>
      </c>
      <c r="E13" s="3">
        <f>C13*E19</f>
        <v>-11311322.453946434</v>
      </c>
      <c r="F13" s="3">
        <f t="shared" ref="F13:F14" si="24">E13/(1-$D$1)</f>
        <v>-14699574.339111676</v>
      </c>
      <c r="G13" s="3">
        <f t="shared" ref="G13:G14" si="25">E13*$G$1</f>
        <v>-7352359.5950651821</v>
      </c>
      <c r="H13" s="3">
        <f t="shared" ref="H13:H14" si="26">F13*$G$1</f>
        <v>-9554723.3204225898</v>
      </c>
      <c r="I13" s="3">
        <f t="shared" ref="I13:I14" si="27">E13*$I$1</f>
        <v>-3958962.8588812514</v>
      </c>
      <c r="J13" s="3">
        <f t="shared" ref="J13:J14" si="28">F13*$I$1</f>
        <v>-5144851.0186890867</v>
      </c>
      <c r="K13" s="3">
        <f>C13*K19</f>
        <v>-1450973.1863387849</v>
      </c>
      <c r="L13" s="3">
        <f t="shared" ref="L13:L14" si="29">K13/(1-$D$1)</f>
        <v>-1885605.1804272709</v>
      </c>
      <c r="M13" s="3">
        <f t="shared" ref="M13:M14" si="30">K13*$M$1</f>
        <v>-1015681.2304371493</v>
      </c>
      <c r="N13" s="3">
        <f t="shared" ref="N13:N14" si="31">L13*$M$1</f>
        <v>-1319923.6262990895</v>
      </c>
      <c r="O13" s="3">
        <f t="shared" ref="O13:O14" si="32">K13*$O$1</f>
        <v>-435291.95590163546</v>
      </c>
      <c r="P13" s="3">
        <f t="shared" ref="P13:P14" si="33">L13*$O$1</f>
        <v>-565681.55412818131</v>
      </c>
      <c r="Q13" s="3">
        <f>C13*Q19</f>
        <v>-887704.35971478</v>
      </c>
      <c r="R13" s="3">
        <f t="shared" ref="R13:R14" si="34">Q13/(1-$D$1)</f>
        <v>-1153611.9034630021</v>
      </c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29" x14ac:dyDescent="0.3">
      <c r="B14" t="s">
        <v>18</v>
      </c>
      <c r="C14" s="3">
        <f>-(15000000+10000000)*0.21</f>
        <v>-5250000</v>
      </c>
      <c r="D14" s="3">
        <f>C14/(1-$D$1)</f>
        <v>-6822612.0857699811</v>
      </c>
      <c r="E14" s="3">
        <f>C14*E19</f>
        <v>-4350508.6361332443</v>
      </c>
      <c r="F14" s="3">
        <f t="shared" si="24"/>
        <v>-5653682.4381198762</v>
      </c>
      <c r="G14" s="3">
        <f t="shared" si="25"/>
        <v>-2827830.613486609</v>
      </c>
      <c r="H14" s="3">
        <f t="shared" si="26"/>
        <v>-3674893.5847779196</v>
      </c>
      <c r="I14" s="3">
        <f t="shared" si="27"/>
        <v>-1522678.0226466353</v>
      </c>
      <c r="J14" s="3">
        <f t="shared" si="28"/>
        <v>-1978788.8533419566</v>
      </c>
      <c r="K14" s="3">
        <f>C14*K19</f>
        <v>-558066.61013030179</v>
      </c>
      <c r="L14" s="3">
        <f t="shared" si="29"/>
        <v>-725232.76170279644</v>
      </c>
      <c r="M14" s="3">
        <f t="shared" si="30"/>
        <v>-390646.62709121121</v>
      </c>
      <c r="N14" s="3">
        <f t="shared" si="31"/>
        <v>-507662.93319195748</v>
      </c>
      <c r="O14" s="3">
        <f t="shared" si="32"/>
        <v>-167419.98303909053</v>
      </c>
      <c r="P14" s="3">
        <f t="shared" si="33"/>
        <v>-217569.82851083894</v>
      </c>
      <c r="Q14" s="3">
        <f>C14*Q19</f>
        <v>-341424.75373645383</v>
      </c>
      <c r="R14" s="3">
        <f t="shared" si="34"/>
        <v>-443696.88594730844</v>
      </c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x14ac:dyDescent="0.3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x14ac:dyDescent="0.3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2:29" x14ac:dyDescent="0.3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2:29" x14ac:dyDescent="0.3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2:29" x14ac:dyDescent="0.3">
      <c r="C19" s="3"/>
      <c r="D19" s="3"/>
      <c r="E19" s="6">
        <f>E4/C4</f>
        <v>0.82866831164442745</v>
      </c>
      <c r="F19" s="6"/>
      <c r="G19" s="6"/>
      <c r="H19" s="6"/>
      <c r="I19" s="6"/>
      <c r="J19" s="6"/>
      <c r="K19" s="6">
        <f>K4/C4</f>
        <v>0.1062984019295813</v>
      </c>
      <c r="L19" s="6"/>
      <c r="M19" s="6"/>
      <c r="N19" s="6"/>
      <c r="O19" s="6"/>
      <c r="P19" s="6"/>
      <c r="Q19" s="6">
        <f>Q4/C4</f>
        <v>6.503328642599121E-2</v>
      </c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2:29" x14ac:dyDescent="0.3">
      <c r="C20" s="3"/>
      <c r="D20" s="3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2:29" x14ac:dyDescent="0.3">
      <c r="B21" t="s">
        <v>49</v>
      </c>
      <c r="C21" s="3">
        <f>-194702639+11135</f>
        <v>-194691504</v>
      </c>
      <c r="D21" s="3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2:29" x14ac:dyDescent="0.3">
      <c r="B22" t="s">
        <v>50</v>
      </c>
      <c r="C22" s="3">
        <v>-78808496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2:29" x14ac:dyDescent="0.3">
      <c r="C23" s="3">
        <f>SUM(C21:C22)</f>
        <v>-273500000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2:29" x14ac:dyDescent="0.3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2:29" x14ac:dyDescent="0.3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2:29" x14ac:dyDescent="0.3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2:29" x14ac:dyDescent="0.3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2:29" x14ac:dyDescent="0.3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2:29" x14ac:dyDescent="0.3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2:29" x14ac:dyDescent="0.3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2:29" x14ac:dyDescent="0.3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2:29" x14ac:dyDescent="0.3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3:29" x14ac:dyDescent="0.3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3:29" x14ac:dyDescent="0.3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3:29" x14ac:dyDescent="0.3"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</sheetData>
  <mergeCells count="8">
    <mergeCell ref="O2:P2"/>
    <mergeCell ref="Q2:R2"/>
    <mergeCell ref="C2:D2"/>
    <mergeCell ref="E2:F2"/>
    <mergeCell ref="G2:H2"/>
    <mergeCell ref="I2:J2"/>
    <mergeCell ref="K2:L2"/>
    <mergeCell ref="M2:N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activeCell="O8" sqref="O8"/>
    </sheetView>
  </sheetViews>
  <sheetFormatPr defaultRowHeight="14.4" x14ac:dyDescent="0.3"/>
  <cols>
    <col min="1" max="1" width="10.5546875" bestFit="1" customWidth="1"/>
    <col min="2" max="2" width="15.33203125" bestFit="1" customWidth="1"/>
    <col min="3" max="3" width="13.33203125" bestFit="1" customWidth="1"/>
    <col min="4" max="4" width="14.33203125" bestFit="1" customWidth="1"/>
    <col min="5" max="5" width="13.33203125" bestFit="1" customWidth="1"/>
    <col min="6" max="6" width="0.6640625" customWidth="1"/>
    <col min="7" max="7" width="11.5546875" customWidth="1"/>
    <col min="8" max="9" width="14.33203125" customWidth="1"/>
    <col min="10" max="10" width="12.5546875" bestFit="1" customWidth="1"/>
    <col min="11" max="11" width="11" bestFit="1" customWidth="1"/>
    <col min="12" max="13" width="14.33203125" bestFit="1" customWidth="1"/>
    <col min="14" max="14" width="14.5546875" customWidth="1"/>
    <col min="15" max="15" width="13.6640625" style="3" bestFit="1" customWidth="1"/>
    <col min="16" max="16" width="11" bestFit="1" customWidth="1"/>
    <col min="18" max="19" width="11" bestFit="1" customWidth="1"/>
  </cols>
  <sheetData>
    <row r="1" spans="1:19" x14ac:dyDescent="0.3">
      <c r="A1" t="s">
        <v>24</v>
      </c>
      <c r="C1" s="8">
        <v>44196</v>
      </c>
      <c r="D1" s="3">
        <f>SUMIF(A5:A18,C1,E5:E18)</f>
        <v>-93888003</v>
      </c>
      <c r="G1" s="10"/>
      <c r="J1" s="10">
        <v>0.21</v>
      </c>
      <c r="K1" t="s">
        <v>30</v>
      </c>
      <c r="L1" s="12">
        <v>7.2099999999999997E-2</v>
      </c>
    </row>
    <row r="2" spans="1:19" x14ac:dyDescent="0.3">
      <c r="A2" t="s">
        <v>25</v>
      </c>
      <c r="C2" s="9">
        <v>5</v>
      </c>
      <c r="K2" t="s">
        <v>31</v>
      </c>
      <c r="L2">
        <v>0.75</v>
      </c>
    </row>
    <row r="4" spans="1:19" s="1" customFormat="1" ht="57.6" x14ac:dyDescent="0.3">
      <c r="B4" s="1" t="s">
        <v>22</v>
      </c>
      <c r="C4" s="1" t="s">
        <v>21</v>
      </c>
      <c r="D4" s="1" t="s">
        <v>20</v>
      </c>
      <c r="E4" s="1" t="s">
        <v>19</v>
      </c>
      <c r="G4" s="1" t="s">
        <v>32</v>
      </c>
      <c r="H4" s="1" t="s">
        <v>26</v>
      </c>
      <c r="I4" s="1" t="s">
        <v>34</v>
      </c>
      <c r="J4" s="1" t="s">
        <v>27</v>
      </c>
      <c r="K4" s="1" t="s">
        <v>28</v>
      </c>
      <c r="L4" s="1" t="s">
        <v>29</v>
      </c>
      <c r="M4" s="1" t="s">
        <v>33</v>
      </c>
      <c r="N4" s="1" t="s">
        <v>35</v>
      </c>
      <c r="O4" s="13" t="s">
        <v>37</v>
      </c>
      <c r="P4" s="1" t="s">
        <v>38</v>
      </c>
    </row>
    <row r="5" spans="1:19" x14ac:dyDescent="0.3">
      <c r="A5" s="7">
        <v>43830</v>
      </c>
      <c r="B5" s="3">
        <v>-71205874</v>
      </c>
      <c r="C5" s="3"/>
      <c r="D5" s="3">
        <v>1929379</v>
      </c>
      <c r="E5" s="3">
        <f t="shared" ref="E5:E18" si="0">SUM(B5:D5)</f>
        <v>-69276495</v>
      </c>
      <c r="F5" s="3"/>
      <c r="G5" s="3">
        <v>0</v>
      </c>
      <c r="H5" s="11">
        <f>-D5</f>
        <v>-1929379</v>
      </c>
      <c r="I5" s="11">
        <f>-H5</f>
        <v>1929379</v>
      </c>
      <c r="J5" s="3">
        <f>I5*$J$1</f>
        <v>405169.58999999997</v>
      </c>
      <c r="K5" s="11">
        <f>I5-J5</f>
        <v>1524209.4100000001</v>
      </c>
      <c r="L5" s="3">
        <f>G5*$L$1/$L$2</f>
        <v>0</v>
      </c>
      <c r="M5" s="3">
        <f>(-K5/$L$2)+L5</f>
        <v>-2032279.2133333336</v>
      </c>
      <c r="N5" s="3"/>
    </row>
    <row r="6" spans="1:19" x14ac:dyDescent="0.3">
      <c r="A6" s="7">
        <v>44196</v>
      </c>
      <c r="B6" s="3">
        <f t="shared" ref="B6:B18" si="1">E5</f>
        <v>-69276495</v>
      </c>
      <c r="C6" s="3">
        <f>-7311639-10745756-7352360-1131132</f>
        <v>-26540887</v>
      </c>
      <c r="D6" s="3">
        <v>1929379</v>
      </c>
      <c r="E6" s="3">
        <f t="shared" si="0"/>
        <v>-93888003</v>
      </c>
      <c r="F6" s="3"/>
      <c r="G6" s="3">
        <f>E6-E5</f>
        <v>-24611508</v>
      </c>
      <c r="H6" s="11">
        <f>-D6</f>
        <v>-1929379</v>
      </c>
      <c r="I6" s="11">
        <f>-H6</f>
        <v>1929379</v>
      </c>
      <c r="J6" s="3">
        <f>I6*$J$1</f>
        <v>405169.58999999997</v>
      </c>
      <c r="K6" s="11">
        <f>I6-J6</f>
        <v>1524209.4100000001</v>
      </c>
      <c r="L6" s="3">
        <f>G6*$L$1/$L$2</f>
        <v>-2365986.3023999999</v>
      </c>
      <c r="M6" s="3">
        <f>(-K6/$L$2)+L6</f>
        <v>-4398265.5157333333</v>
      </c>
      <c r="N6" s="3">
        <f>M6-M5</f>
        <v>-2365986.3023999995</v>
      </c>
    </row>
    <row r="7" spans="1:19" x14ac:dyDescent="0.3">
      <c r="A7" s="7">
        <v>44561</v>
      </c>
      <c r="B7" s="3">
        <f t="shared" si="1"/>
        <v>-93888003</v>
      </c>
      <c r="C7" s="3">
        <f t="shared" ref="C7:C18" si="2">-7352360-1131132</f>
        <v>-8483492</v>
      </c>
      <c r="D7" s="3">
        <f>(-$D$1/$C$2)-C7</f>
        <v>27261092.600000001</v>
      </c>
      <c r="E7" s="3">
        <f t="shared" si="0"/>
        <v>-75110402.400000006</v>
      </c>
      <c r="G7" s="3">
        <f>G6+C7+D7</f>
        <v>-5833907.3999999985</v>
      </c>
      <c r="H7" s="11">
        <f t="shared" ref="H7:H18" si="3">-D7</f>
        <v>-27261092.600000001</v>
      </c>
      <c r="I7" s="11">
        <f t="shared" ref="I7:I18" si="4">-H7</f>
        <v>27261092.600000001</v>
      </c>
      <c r="J7" s="3">
        <f t="shared" ref="J7:J18" si="5">I7*$J$1</f>
        <v>5724829.4460000005</v>
      </c>
      <c r="K7" s="11">
        <f t="shared" ref="K7:K18" si="6">I7-J7</f>
        <v>21536263.153999999</v>
      </c>
      <c r="L7" s="3">
        <f t="shared" ref="L7:L18" si="7">G7*$L$1/$L$2</f>
        <v>-560832.96471999981</v>
      </c>
      <c r="M7" s="3">
        <f t="shared" ref="M7:M18" si="8">(-K7/$L$2)+L7</f>
        <v>-29275850.503386665</v>
      </c>
      <c r="N7" s="3">
        <f>M7-M6</f>
        <v>-24877584.98765333</v>
      </c>
      <c r="O7" s="3">
        <v>40800000</v>
      </c>
      <c r="P7" s="11">
        <f>SUM(N7:O7)</f>
        <v>15922415.01234667</v>
      </c>
      <c r="R7" s="11"/>
      <c r="S7" s="11"/>
    </row>
    <row r="8" spans="1:19" x14ac:dyDescent="0.3">
      <c r="A8" s="7">
        <v>44926</v>
      </c>
      <c r="B8" s="3">
        <f t="shared" si="1"/>
        <v>-75110402.400000006</v>
      </c>
      <c r="C8" s="3">
        <f t="shared" si="2"/>
        <v>-8483492</v>
      </c>
      <c r="D8" s="3">
        <f t="shared" ref="D8:D11" si="9">(-$D$1/$C$2)-C8</f>
        <v>27261092.600000001</v>
      </c>
      <c r="E8" s="3">
        <f t="shared" si="0"/>
        <v>-56332801.800000004</v>
      </c>
      <c r="G8" s="3">
        <f>G7+C8+D8</f>
        <v>12943693.200000003</v>
      </c>
      <c r="H8" s="11">
        <f t="shared" si="3"/>
        <v>-27261092.600000001</v>
      </c>
      <c r="I8" s="11">
        <f t="shared" si="4"/>
        <v>27261092.600000001</v>
      </c>
      <c r="J8" s="3">
        <f t="shared" si="5"/>
        <v>5724829.4460000005</v>
      </c>
      <c r="K8" s="11">
        <f t="shared" si="6"/>
        <v>21536263.153999999</v>
      </c>
      <c r="L8" s="3">
        <f t="shared" si="7"/>
        <v>1244320.3729600003</v>
      </c>
      <c r="M8" s="3">
        <f t="shared" si="8"/>
        <v>-27470697.165706664</v>
      </c>
      <c r="N8" s="3">
        <f t="shared" ref="N8:N18" si="10">M8-M7</f>
        <v>1805153.3376800008</v>
      </c>
      <c r="P8" s="11">
        <f t="shared" ref="P8:P18" si="11">SUM(N8:O8)</f>
        <v>1805153.3376800008</v>
      </c>
      <c r="R8" s="11"/>
      <c r="S8" s="11"/>
    </row>
    <row r="9" spans="1:19" x14ac:dyDescent="0.3">
      <c r="A9" s="7">
        <v>45291</v>
      </c>
      <c r="B9" s="3">
        <f t="shared" si="1"/>
        <v>-56332801.800000004</v>
      </c>
      <c r="C9" s="3">
        <f t="shared" si="2"/>
        <v>-8483492</v>
      </c>
      <c r="D9" s="3">
        <f t="shared" si="9"/>
        <v>27261092.600000001</v>
      </c>
      <c r="E9" s="3">
        <f t="shared" si="0"/>
        <v>-37555201.200000003</v>
      </c>
      <c r="G9" s="3">
        <f t="shared" ref="G9:G18" si="12">G8+C9+D9</f>
        <v>31721293.800000004</v>
      </c>
      <c r="H9" s="11">
        <f t="shared" si="3"/>
        <v>-27261092.600000001</v>
      </c>
      <c r="I9" s="11">
        <f t="shared" si="4"/>
        <v>27261092.600000001</v>
      </c>
      <c r="J9" s="3">
        <f t="shared" si="5"/>
        <v>5724829.4460000005</v>
      </c>
      <c r="K9" s="11">
        <f t="shared" si="6"/>
        <v>21536263.153999999</v>
      </c>
      <c r="L9" s="3">
        <f t="shared" si="7"/>
        <v>3049473.7106400002</v>
      </c>
      <c r="M9" s="3">
        <f t="shared" si="8"/>
        <v>-25665543.828026667</v>
      </c>
      <c r="N9" s="3">
        <f t="shared" si="10"/>
        <v>1805153.3376799971</v>
      </c>
      <c r="P9" s="11">
        <f t="shared" si="11"/>
        <v>1805153.3376799971</v>
      </c>
      <c r="R9" s="11"/>
      <c r="S9" s="11"/>
    </row>
    <row r="10" spans="1:19" x14ac:dyDescent="0.3">
      <c r="A10" s="7">
        <v>45657</v>
      </c>
      <c r="B10" s="3">
        <f t="shared" si="1"/>
        <v>-37555201.200000003</v>
      </c>
      <c r="C10" s="3">
        <f t="shared" si="2"/>
        <v>-8483492</v>
      </c>
      <c r="D10" s="3">
        <f t="shared" si="9"/>
        <v>27261092.600000001</v>
      </c>
      <c r="E10" s="3">
        <f t="shared" si="0"/>
        <v>-18777600.600000001</v>
      </c>
      <c r="G10" s="3">
        <f t="shared" si="12"/>
        <v>50498894.400000006</v>
      </c>
      <c r="H10" s="11">
        <f t="shared" si="3"/>
        <v>-27261092.600000001</v>
      </c>
      <c r="I10" s="11">
        <f t="shared" si="4"/>
        <v>27261092.600000001</v>
      </c>
      <c r="J10" s="3">
        <f t="shared" si="5"/>
        <v>5724829.4460000005</v>
      </c>
      <c r="K10" s="11">
        <f t="shared" si="6"/>
        <v>21536263.153999999</v>
      </c>
      <c r="L10" s="3">
        <f t="shared" si="7"/>
        <v>4854627.0483200001</v>
      </c>
      <c r="M10" s="3">
        <f t="shared" si="8"/>
        <v>-23860390.490346666</v>
      </c>
      <c r="N10" s="3">
        <f t="shared" si="10"/>
        <v>1805153.3376800008</v>
      </c>
      <c r="P10" s="11">
        <f t="shared" si="11"/>
        <v>1805153.3376800008</v>
      </c>
      <c r="R10" s="11"/>
      <c r="S10" s="11"/>
    </row>
    <row r="11" spans="1:19" x14ac:dyDescent="0.3">
      <c r="A11" s="7">
        <v>46022</v>
      </c>
      <c r="B11" s="3">
        <f t="shared" si="1"/>
        <v>-18777600.600000001</v>
      </c>
      <c r="C11" s="3">
        <f t="shared" si="2"/>
        <v>-8483492</v>
      </c>
      <c r="D11" s="3">
        <f t="shared" si="9"/>
        <v>27261092.600000001</v>
      </c>
      <c r="E11" s="3">
        <f t="shared" si="0"/>
        <v>0</v>
      </c>
      <c r="G11" s="3">
        <f t="shared" si="12"/>
        <v>69276495</v>
      </c>
      <c r="H11" s="11">
        <f t="shared" si="3"/>
        <v>-27261092.600000001</v>
      </c>
      <c r="I11" s="11">
        <f t="shared" si="4"/>
        <v>27261092.600000001</v>
      </c>
      <c r="J11" s="3">
        <f t="shared" si="5"/>
        <v>5724829.4460000005</v>
      </c>
      <c r="K11" s="11">
        <f t="shared" si="6"/>
        <v>21536263.153999999</v>
      </c>
      <c r="L11" s="3">
        <f t="shared" si="7"/>
        <v>6659780.3859999999</v>
      </c>
      <c r="M11" s="3">
        <f t="shared" si="8"/>
        <v>-22055237.152666666</v>
      </c>
      <c r="N11" s="3">
        <f t="shared" si="10"/>
        <v>1805153.3376800008</v>
      </c>
      <c r="P11" s="11">
        <f t="shared" si="11"/>
        <v>1805153.3376800008</v>
      </c>
      <c r="R11" s="11"/>
      <c r="S11" s="11"/>
    </row>
    <row r="12" spans="1:19" x14ac:dyDescent="0.3">
      <c r="A12" s="7">
        <v>46387</v>
      </c>
      <c r="B12" s="3">
        <f t="shared" si="1"/>
        <v>0</v>
      </c>
      <c r="C12" s="3">
        <f t="shared" si="2"/>
        <v>-8483492</v>
      </c>
      <c r="D12" s="3">
        <f>-C12</f>
        <v>8483492</v>
      </c>
      <c r="E12" s="3">
        <f t="shared" si="0"/>
        <v>0</v>
      </c>
      <c r="G12" s="3">
        <f t="shared" si="12"/>
        <v>69276495</v>
      </c>
      <c r="H12" s="11">
        <f t="shared" si="3"/>
        <v>-8483492</v>
      </c>
      <c r="I12" s="11">
        <f t="shared" si="4"/>
        <v>8483492</v>
      </c>
      <c r="J12" s="3">
        <f t="shared" si="5"/>
        <v>1781533.3199999998</v>
      </c>
      <c r="K12" s="11">
        <f t="shared" si="6"/>
        <v>6701958.6799999997</v>
      </c>
      <c r="L12" s="3">
        <f t="shared" si="7"/>
        <v>6659780.3859999999</v>
      </c>
      <c r="M12" s="3">
        <f t="shared" si="8"/>
        <v>-2276164.5206666663</v>
      </c>
      <c r="N12" s="3">
        <f t="shared" si="10"/>
        <v>19779072.631999999</v>
      </c>
      <c r="P12" s="11">
        <f t="shared" si="11"/>
        <v>19779072.631999999</v>
      </c>
      <c r="R12" s="11"/>
      <c r="S12" s="11"/>
    </row>
    <row r="13" spans="1:19" x14ac:dyDescent="0.3">
      <c r="A13" s="7">
        <v>46752</v>
      </c>
      <c r="B13" s="3">
        <f t="shared" si="1"/>
        <v>0</v>
      </c>
      <c r="C13" s="3">
        <f t="shared" si="2"/>
        <v>-8483492</v>
      </c>
      <c r="D13" s="3">
        <f t="shared" ref="D13:D18" si="13">-C13</f>
        <v>8483492</v>
      </c>
      <c r="E13" s="3">
        <f t="shared" si="0"/>
        <v>0</v>
      </c>
      <c r="G13" s="3">
        <f t="shared" si="12"/>
        <v>69276495</v>
      </c>
      <c r="H13" s="11">
        <f t="shared" si="3"/>
        <v>-8483492</v>
      </c>
      <c r="I13" s="11">
        <f t="shared" si="4"/>
        <v>8483492</v>
      </c>
      <c r="J13" s="3">
        <f t="shared" si="5"/>
        <v>1781533.3199999998</v>
      </c>
      <c r="K13" s="11">
        <f t="shared" si="6"/>
        <v>6701958.6799999997</v>
      </c>
      <c r="L13" s="3">
        <f t="shared" si="7"/>
        <v>6659780.3859999999</v>
      </c>
      <c r="M13" s="3">
        <f t="shared" si="8"/>
        <v>-2276164.5206666663</v>
      </c>
      <c r="N13" s="3">
        <f t="shared" si="10"/>
        <v>0</v>
      </c>
      <c r="P13" s="11">
        <f t="shared" si="11"/>
        <v>0</v>
      </c>
      <c r="R13" s="11"/>
      <c r="S13" s="11"/>
    </row>
    <row r="14" spans="1:19" x14ac:dyDescent="0.3">
      <c r="A14" s="7">
        <v>47118</v>
      </c>
      <c r="B14" s="3">
        <f t="shared" si="1"/>
        <v>0</v>
      </c>
      <c r="C14" s="3">
        <f t="shared" si="2"/>
        <v>-8483492</v>
      </c>
      <c r="D14" s="3">
        <f t="shared" si="13"/>
        <v>8483492</v>
      </c>
      <c r="E14" s="3">
        <f t="shared" si="0"/>
        <v>0</v>
      </c>
      <c r="G14" s="3">
        <f t="shared" si="12"/>
        <v>69276495</v>
      </c>
      <c r="H14" s="11">
        <f t="shared" si="3"/>
        <v>-8483492</v>
      </c>
      <c r="I14" s="11">
        <f t="shared" si="4"/>
        <v>8483492</v>
      </c>
      <c r="J14" s="3">
        <f t="shared" si="5"/>
        <v>1781533.3199999998</v>
      </c>
      <c r="K14" s="11">
        <f t="shared" si="6"/>
        <v>6701958.6799999997</v>
      </c>
      <c r="L14" s="3">
        <f t="shared" si="7"/>
        <v>6659780.3859999999</v>
      </c>
      <c r="M14" s="3">
        <f t="shared" si="8"/>
        <v>-2276164.5206666663</v>
      </c>
      <c r="N14" s="3">
        <f t="shared" si="10"/>
        <v>0</v>
      </c>
      <c r="P14" s="11">
        <f t="shared" si="11"/>
        <v>0</v>
      </c>
      <c r="R14" s="11"/>
      <c r="S14" s="11"/>
    </row>
    <row r="15" spans="1:19" x14ac:dyDescent="0.3">
      <c r="A15" s="7">
        <v>47483</v>
      </c>
      <c r="B15" s="3">
        <f t="shared" si="1"/>
        <v>0</v>
      </c>
      <c r="C15" s="3">
        <f t="shared" si="2"/>
        <v>-8483492</v>
      </c>
      <c r="D15" s="3">
        <f t="shared" si="13"/>
        <v>8483492</v>
      </c>
      <c r="E15" s="3">
        <f t="shared" si="0"/>
        <v>0</v>
      </c>
      <c r="G15" s="3">
        <f t="shared" si="12"/>
        <v>69276495</v>
      </c>
      <c r="H15" s="11">
        <f t="shared" si="3"/>
        <v>-8483492</v>
      </c>
      <c r="I15" s="11">
        <f t="shared" si="4"/>
        <v>8483492</v>
      </c>
      <c r="J15" s="3">
        <f t="shared" si="5"/>
        <v>1781533.3199999998</v>
      </c>
      <c r="K15" s="11">
        <f t="shared" si="6"/>
        <v>6701958.6799999997</v>
      </c>
      <c r="L15" s="3">
        <f t="shared" si="7"/>
        <v>6659780.3859999999</v>
      </c>
      <c r="M15" s="3">
        <f t="shared" si="8"/>
        <v>-2276164.5206666663</v>
      </c>
      <c r="N15" s="3">
        <f t="shared" si="10"/>
        <v>0</v>
      </c>
      <c r="P15" s="11">
        <f t="shared" si="11"/>
        <v>0</v>
      </c>
      <c r="R15" s="11"/>
      <c r="S15" s="11"/>
    </row>
    <row r="16" spans="1:19" x14ac:dyDescent="0.3">
      <c r="A16" s="7">
        <v>47848</v>
      </c>
      <c r="B16" s="3">
        <f t="shared" si="1"/>
        <v>0</v>
      </c>
      <c r="C16" s="3">
        <f t="shared" si="2"/>
        <v>-8483492</v>
      </c>
      <c r="D16" s="3">
        <f t="shared" si="13"/>
        <v>8483492</v>
      </c>
      <c r="E16" s="3">
        <f t="shared" si="0"/>
        <v>0</v>
      </c>
      <c r="G16" s="3">
        <f t="shared" si="12"/>
        <v>69276495</v>
      </c>
      <c r="H16" s="11">
        <f t="shared" si="3"/>
        <v>-8483492</v>
      </c>
      <c r="I16" s="11">
        <f t="shared" si="4"/>
        <v>8483492</v>
      </c>
      <c r="J16" s="3">
        <f t="shared" si="5"/>
        <v>1781533.3199999998</v>
      </c>
      <c r="K16" s="11">
        <f t="shared" si="6"/>
        <v>6701958.6799999997</v>
      </c>
      <c r="L16" s="3">
        <f t="shared" si="7"/>
        <v>6659780.3859999999</v>
      </c>
      <c r="M16" s="3">
        <f t="shared" si="8"/>
        <v>-2276164.5206666663</v>
      </c>
      <c r="N16" s="3">
        <f t="shared" si="10"/>
        <v>0</v>
      </c>
      <c r="P16" s="11">
        <f t="shared" si="11"/>
        <v>0</v>
      </c>
      <c r="R16" s="11"/>
      <c r="S16" s="11"/>
    </row>
    <row r="17" spans="1:19" x14ac:dyDescent="0.3">
      <c r="A17" s="7">
        <v>48213</v>
      </c>
      <c r="B17" s="3">
        <f t="shared" si="1"/>
        <v>0</v>
      </c>
      <c r="C17" s="3">
        <f t="shared" si="2"/>
        <v>-8483492</v>
      </c>
      <c r="D17" s="3">
        <f t="shared" si="13"/>
        <v>8483492</v>
      </c>
      <c r="E17" s="3">
        <f t="shared" si="0"/>
        <v>0</v>
      </c>
      <c r="G17" s="3">
        <f t="shared" si="12"/>
        <v>69276495</v>
      </c>
      <c r="H17" s="11">
        <f t="shared" si="3"/>
        <v>-8483492</v>
      </c>
      <c r="I17" s="11">
        <f t="shared" si="4"/>
        <v>8483492</v>
      </c>
      <c r="J17" s="3">
        <f t="shared" si="5"/>
        <v>1781533.3199999998</v>
      </c>
      <c r="K17" s="11">
        <f t="shared" si="6"/>
        <v>6701958.6799999997</v>
      </c>
      <c r="L17" s="3">
        <f t="shared" si="7"/>
        <v>6659780.3859999999</v>
      </c>
      <c r="M17" s="3">
        <f t="shared" si="8"/>
        <v>-2276164.5206666663</v>
      </c>
      <c r="N17" s="3">
        <f t="shared" si="10"/>
        <v>0</v>
      </c>
      <c r="P17" s="11">
        <f t="shared" si="11"/>
        <v>0</v>
      </c>
      <c r="R17" s="11"/>
      <c r="S17" s="11"/>
    </row>
    <row r="18" spans="1:19" x14ac:dyDescent="0.3">
      <c r="A18" s="7">
        <v>48579</v>
      </c>
      <c r="B18" s="3">
        <f t="shared" si="1"/>
        <v>0</v>
      </c>
      <c r="C18" s="3">
        <f t="shared" si="2"/>
        <v>-8483492</v>
      </c>
      <c r="D18" s="3">
        <f t="shared" si="13"/>
        <v>8483492</v>
      </c>
      <c r="E18" s="3">
        <f t="shared" si="0"/>
        <v>0</v>
      </c>
      <c r="G18" s="3">
        <f t="shared" si="12"/>
        <v>69276495</v>
      </c>
      <c r="H18" s="11">
        <f t="shared" si="3"/>
        <v>-8483492</v>
      </c>
      <c r="I18" s="11">
        <f t="shared" si="4"/>
        <v>8483492</v>
      </c>
      <c r="J18" s="3">
        <f t="shared" si="5"/>
        <v>1781533.3199999998</v>
      </c>
      <c r="K18" s="11">
        <f t="shared" si="6"/>
        <v>6701958.6799999997</v>
      </c>
      <c r="L18" s="3">
        <f t="shared" si="7"/>
        <v>6659780.3859999999</v>
      </c>
      <c r="M18" s="3">
        <f t="shared" si="8"/>
        <v>-2276164.5206666663</v>
      </c>
      <c r="N18" s="3">
        <f t="shared" si="10"/>
        <v>0</v>
      </c>
      <c r="P18" s="11">
        <f t="shared" si="11"/>
        <v>0</v>
      </c>
      <c r="R18" s="11"/>
      <c r="S18" s="11"/>
    </row>
    <row r="19" spans="1:19" x14ac:dyDescent="0.3">
      <c r="C19" s="3"/>
      <c r="D19" s="3"/>
      <c r="E19" s="3"/>
    </row>
    <row r="20" spans="1:19" x14ac:dyDescent="0.3">
      <c r="G20" t="s">
        <v>36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activeCell="O7" sqref="O7:O18"/>
    </sheetView>
  </sheetViews>
  <sheetFormatPr defaultRowHeight="14.4" x14ac:dyDescent="0.3"/>
  <cols>
    <col min="1" max="1" width="10.5546875" bestFit="1" customWidth="1"/>
    <col min="2" max="2" width="15.33203125" bestFit="1" customWidth="1"/>
    <col min="3" max="3" width="13.33203125" bestFit="1" customWidth="1"/>
    <col min="4" max="4" width="14.33203125" bestFit="1" customWidth="1"/>
    <col min="5" max="5" width="13.33203125" bestFit="1" customWidth="1"/>
    <col min="6" max="6" width="0.6640625" customWidth="1"/>
    <col min="7" max="7" width="11.5546875" customWidth="1"/>
    <col min="8" max="9" width="14.33203125" customWidth="1"/>
    <col min="10" max="10" width="12.5546875" bestFit="1" customWidth="1"/>
    <col min="11" max="11" width="11" bestFit="1" customWidth="1"/>
    <col min="12" max="13" width="14.33203125" bestFit="1" customWidth="1"/>
    <col min="14" max="14" width="14.5546875" customWidth="1"/>
    <col min="15" max="15" width="13.6640625" style="3" bestFit="1" customWidth="1"/>
    <col min="16" max="16" width="11.5546875" bestFit="1" customWidth="1"/>
    <col min="18" max="19" width="11" bestFit="1" customWidth="1"/>
  </cols>
  <sheetData>
    <row r="1" spans="1:19" x14ac:dyDescent="0.3">
      <c r="A1" t="s">
        <v>24</v>
      </c>
      <c r="C1" s="8">
        <v>44196</v>
      </c>
      <c r="D1" s="3">
        <f>SUMIF(A5:A18,C1,E5:E18)</f>
        <v>-50555078</v>
      </c>
      <c r="G1" s="10"/>
      <c r="J1" s="10">
        <v>0.21</v>
      </c>
      <c r="K1" t="s">
        <v>30</v>
      </c>
      <c r="L1" s="12">
        <v>7.2099999999999997E-2</v>
      </c>
    </row>
    <row r="2" spans="1:19" x14ac:dyDescent="0.3">
      <c r="A2" t="s">
        <v>25</v>
      </c>
      <c r="C2" s="9">
        <v>5</v>
      </c>
      <c r="K2" t="s">
        <v>31</v>
      </c>
      <c r="L2">
        <v>0.75</v>
      </c>
    </row>
    <row r="4" spans="1:19" s="1" customFormat="1" ht="43.2" x14ac:dyDescent="0.3">
      <c r="B4" s="1" t="s">
        <v>22</v>
      </c>
      <c r="C4" s="1" t="s">
        <v>21</v>
      </c>
      <c r="D4" s="1" t="s">
        <v>20</v>
      </c>
      <c r="E4" s="1" t="s">
        <v>19</v>
      </c>
      <c r="G4" s="1" t="s">
        <v>32</v>
      </c>
      <c r="H4" s="1" t="s">
        <v>26</v>
      </c>
      <c r="I4" s="1" t="s">
        <v>34</v>
      </c>
      <c r="J4" s="1" t="s">
        <v>27</v>
      </c>
      <c r="K4" s="1" t="s">
        <v>28</v>
      </c>
      <c r="L4" s="1" t="s">
        <v>29</v>
      </c>
      <c r="M4" s="1" t="s">
        <v>33</v>
      </c>
      <c r="N4" s="1" t="s">
        <v>35</v>
      </c>
      <c r="O4" s="13" t="s">
        <v>37</v>
      </c>
      <c r="P4" s="1" t="s">
        <v>38</v>
      </c>
    </row>
    <row r="5" spans="1:19" x14ac:dyDescent="0.3">
      <c r="A5" s="7">
        <v>43830</v>
      </c>
      <c r="B5" s="3">
        <v>-38341625</v>
      </c>
      <c r="C5" s="3"/>
      <c r="D5" s="3">
        <v>1038897</v>
      </c>
      <c r="E5" s="3">
        <f t="shared" ref="E5:E18" si="0">SUM(B5:D5)</f>
        <v>-37302728</v>
      </c>
      <c r="F5" s="3"/>
      <c r="G5" s="3">
        <v>0</v>
      </c>
      <c r="H5" s="11">
        <f>-D5</f>
        <v>-1038897</v>
      </c>
      <c r="I5" s="11">
        <f>-H5</f>
        <v>1038897</v>
      </c>
      <c r="J5" s="3">
        <f>I5*$J$1</f>
        <v>218168.37</v>
      </c>
      <c r="K5" s="11">
        <f>I5-J5</f>
        <v>820728.63</v>
      </c>
      <c r="L5" s="3">
        <f>G5*$L$1/$L$2</f>
        <v>0</v>
      </c>
      <c r="M5" s="3">
        <f>(-K5/$L$2)+L5</f>
        <v>-1094304.8400000001</v>
      </c>
      <c r="N5" s="3"/>
    </row>
    <row r="6" spans="1:19" x14ac:dyDescent="0.3">
      <c r="A6" s="7">
        <v>44196</v>
      </c>
      <c r="B6" s="3">
        <f t="shared" ref="B6:B18" si="1">E5</f>
        <v>-37302728</v>
      </c>
      <c r="C6" s="3">
        <v>-14291247</v>
      </c>
      <c r="D6" s="3">
        <v>1038897</v>
      </c>
      <c r="E6" s="3">
        <f t="shared" si="0"/>
        <v>-50555078</v>
      </c>
      <c r="F6" s="3"/>
      <c r="G6" s="3">
        <f>E6-E5</f>
        <v>-13252350</v>
      </c>
      <c r="H6" s="11">
        <f>-D6</f>
        <v>-1038897</v>
      </c>
      <c r="I6" s="11">
        <f>-H6</f>
        <v>1038897</v>
      </c>
      <c r="J6" s="3">
        <f>I6*$J$1</f>
        <v>218168.37</v>
      </c>
      <c r="K6" s="11">
        <f>I6-J6</f>
        <v>820728.63</v>
      </c>
      <c r="L6" s="3">
        <f>G6*$L$1/$L$2</f>
        <v>-1273992.5799999998</v>
      </c>
      <c r="M6" s="3">
        <f>(-K6/$L$2)+L6</f>
        <v>-2368297.42</v>
      </c>
      <c r="N6" s="3">
        <f>M6-M5</f>
        <v>-1273992.5799999998</v>
      </c>
    </row>
    <row r="7" spans="1:19" x14ac:dyDescent="0.3">
      <c r="A7" s="7">
        <v>44561</v>
      </c>
      <c r="B7" s="3">
        <f t="shared" si="1"/>
        <v>-50555078</v>
      </c>
      <c r="C7" s="3">
        <v>-4568034</v>
      </c>
      <c r="D7" s="3">
        <f>(-$D$1/$C$2)-C7</f>
        <v>14679049.6</v>
      </c>
      <c r="E7" s="3">
        <f t="shared" si="0"/>
        <v>-40444062.399999999</v>
      </c>
      <c r="G7" s="3">
        <f>G6+C7+D7</f>
        <v>-3141334.4000000004</v>
      </c>
      <c r="H7" s="11">
        <f t="shared" ref="H7:H18" si="2">-D7</f>
        <v>-14679049.6</v>
      </c>
      <c r="I7" s="11">
        <f t="shared" ref="I7:I18" si="3">-H7</f>
        <v>14679049.6</v>
      </c>
      <c r="J7" s="3">
        <f t="shared" ref="J7:J18" si="4">I7*$J$1</f>
        <v>3082600.4159999997</v>
      </c>
      <c r="K7" s="11">
        <f t="shared" ref="K7:K18" si="5">I7-J7</f>
        <v>11596449.184</v>
      </c>
      <c r="L7" s="3">
        <f t="shared" ref="L7:L18" si="6">G7*$L$1/$L$2</f>
        <v>-301986.94698666671</v>
      </c>
      <c r="M7" s="3">
        <f t="shared" ref="M7:M18" si="7">(-K7/$L$2)+L7</f>
        <v>-15763919.19232</v>
      </c>
      <c r="N7" s="3">
        <f>M7-M6</f>
        <v>-13395621.77232</v>
      </c>
      <c r="P7" s="11">
        <f>SUM(N7:O7)</f>
        <v>-13395621.77232</v>
      </c>
      <c r="R7" s="11"/>
      <c r="S7" s="11"/>
    </row>
    <row r="8" spans="1:19" x14ac:dyDescent="0.3">
      <c r="A8" s="7">
        <v>44926</v>
      </c>
      <c r="B8" s="3">
        <f t="shared" si="1"/>
        <v>-40444062.399999999</v>
      </c>
      <c r="C8" s="3">
        <v>-4568034</v>
      </c>
      <c r="D8" s="3">
        <f t="shared" ref="D8:D11" si="8">(-$D$1/$C$2)-C8</f>
        <v>14679049.6</v>
      </c>
      <c r="E8" s="3">
        <f t="shared" si="0"/>
        <v>-30333046.799999997</v>
      </c>
      <c r="G8" s="3">
        <f>G7+C8+D8</f>
        <v>6969681.1999999993</v>
      </c>
      <c r="H8" s="11">
        <f t="shared" si="2"/>
        <v>-14679049.6</v>
      </c>
      <c r="I8" s="11">
        <f t="shared" si="3"/>
        <v>14679049.6</v>
      </c>
      <c r="J8" s="3">
        <f t="shared" si="4"/>
        <v>3082600.4159999997</v>
      </c>
      <c r="K8" s="11">
        <f t="shared" si="5"/>
        <v>11596449.184</v>
      </c>
      <c r="L8" s="3">
        <f t="shared" si="6"/>
        <v>670018.68602666655</v>
      </c>
      <c r="M8" s="3">
        <f t="shared" si="7"/>
        <v>-14791913.559306668</v>
      </c>
      <c r="N8" s="3">
        <f t="shared" ref="N8:N18" si="9">M8-M7</f>
        <v>972005.63301333226</v>
      </c>
      <c r="P8" s="11">
        <f t="shared" ref="P8:P18" si="10">SUM(N8:O8)</f>
        <v>972005.63301333226</v>
      </c>
      <c r="R8" s="11"/>
      <c r="S8" s="11"/>
    </row>
    <row r="9" spans="1:19" x14ac:dyDescent="0.3">
      <c r="A9" s="7">
        <v>45291</v>
      </c>
      <c r="B9" s="3">
        <f t="shared" si="1"/>
        <v>-30333046.799999997</v>
      </c>
      <c r="C9" s="3">
        <v>-4568034</v>
      </c>
      <c r="D9" s="3">
        <f t="shared" si="8"/>
        <v>14679049.6</v>
      </c>
      <c r="E9" s="3">
        <f t="shared" si="0"/>
        <v>-20222031.199999996</v>
      </c>
      <c r="G9" s="3">
        <f t="shared" ref="G9:G18" si="11">G8+C9+D9</f>
        <v>17080696.799999997</v>
      </c>
      <c r="H9" s="11">
        <f t="shared" si="2"/>
        <v>-14679049.6</v>
      </c>
      <c r="I9" s="11">
        <f t="shared" si="3"/>
        <v>14679049.6</v>
      </c>
      <c r="J9" s="3">
        <f t="shared" si="4"/>
        <v>3082600.4159999997</v>
      </c>
      <c r="K9" s="11">
        <f t="shared" si="5"/>
        <v>11596449.184</v>
      </c>
      <c r="L9" s="3">
        <f t="shared" si="6"/>
        <v>1642024.3190399995</v>
      </c>
      <c r="M9" s="3">
        <f t="shared" si="7"/>
        <v>-13819907.926293336</v>
      </c>
      <c r="N9" s="3">
        <f t="shared" si="9"/>
        <v>972005.63301333226</v>
      </c>
      <c r="P9" s="11">
        <f t="shared" si="10"/>
        <v>972005.63301333226</v>
      </c>
      <c r="R9" s="11"/>
      <c r="S9" s="11"/>
    </row>
    <row r="10" spans="1:19" x14ac:dyDescent="0.3">
      <c r="A10" s="7">
        <v>45657</v>
      </c>
      <c r="B10" s="3">
        <f t="shared" si="1"/>
        <v>-20222031.199999996</v>
      </c>
      <c r="C10" s="3">
        <v>-4568034</v>
      </c>
      <c r="D10" s="3">
        <f t="shared" si="8"/>
        <v>14679049.6</v>
      </c>
      <c r="E10" s="3">
        <f t="shared" si="0"/>
        <v>-10111015.599999996</v>
      </c>
      <c r="G10" s="3">
        <f t="shared" si="11"/>
        <v>27191712.399999999</v>
      </c>
      <c r="H10" s="11">
        <f t="shared" si="2"/>
        <v>-14679049.6</v>
      </c>
      <c r="I10" s="11">
        <f t="shared" si="3"/>
        <v>14679049.6</v>
      </c>
      <c r="J10" s="3">
        <f t="shared" si="4"/>
        <v>3082600.4159999997</v>
      </c>
      <c r="K10" s="11">
        <f t="shared" si="5"/>
        <v>11596449.184</v>
      </c>
      <c r="L10" s="3">
        <f t="shared" si="6"/>
        <v>2614029.9520533332</v>
      </c>
      <c r="M10" s="3">
        <f t="shared" si="7"/>
        <v>-12847902.293280002</v>
      </c>
      <c r="N10" s="3">
        <f t="shared" si="9"/>
        <v>972005.63301333413</v>
      </c>
      <c r="P10" s="11">
        <f t="shared" si="10"/>
        <v>972005.63301333413</v>
      </c>
      <c r="R10" s="11"/>
      <c r="S10" s="11"/>
    </row>
    <row r="11" spans="1:19" x14ac:dyDescent="0.3">
      <c r="A11" s="7">
        <v>46022</v>
      </c>
      <c r="B11" s="3">
        <f t="shared" si="1"/>
        <v>-10111015.599999996</v>
      </c>
      <c r="C11" s="3">
        <v>-4568034</v>
      </c>
      <c r="D11" s="3">
        <f t="shared" si="8"/>
        <v>14679049.6</v>
      </c>
      <c r="E11" s="3">
        <f t="shared" si="0"/>
        <v>0</v>
      </c>
      <c r="G11" s="3">
        <f t="shared" si="11"/>
        <v>37302728</v>
      </c>
      <c r="H11" s="11">
        <f t="shared" si="2"/>
        <v>-14679049.6</v>
      </c>
      <c r="I11" s="11">
        <f t="shared" si="3"/>
        <v>14679049.6</v>
      </c>
      <c r="J11" s="3">
        <f t="shared" si="4"/>
        <v>3082600.4159999997</v>
      </c>
      <c r="K11" s="11">
        <f t="shared" si="5"/>
        <v>11596449.184</v>
      </c>
      <c r="L11" s="3">
        <f t="shared" si="6"/>
        <v>3586035.5850666668</v>
      </c>
      <c r="M11" s="3">
        <f t="shared" si="7"/>
        <v>-11875896.660266668</v>
      </c>
      <c r="N11" s="3">
        <f t="shared" si="9"/>
        <v>972005.63301333413</v>
      </c>
      <c r="P11" s="11">
        <f t="shared" si="10"/>
        <v>972005.63301333413</v>
      </c>
      <c r="R11" s="11"/>
      <c r="S11" s="11"/>
    </row>
    <row r="12" spans="1:19" x14ac:dyDescent="0.3">
      <c r="A12" s="7">
        <v>46387</v>
      </c>
      <c r="B12" s="3">
        <f t="shared" si="1"/>
        <v>0</v>
      </c>
      <c r="C12" s="3">
        <v>-4568034</v>
      </c>
      <c r="D12" s="3">
        <f>-C12</f>
        <v>4568034</v>
      </c>
      <c r="E12" s="3">
        <f t="shared" si="0"/>
        <v>0</v>
      </c>
      <c r="G12" s="3">
        <f t="shared" si="11"/>
        <v>37302728</v>
      </c>
      <c r="H12" s="11">
        <f t="shared" si="2"/>
        <v>-4568034</v>
      </c>
      <c r="I12" s="11">
        <f t="shared" si="3"/>
        <v>4568034</v>
      </c>
      <c r="J12" s="3">
        <f t="shared" si="4"/>
        <v>959287.14</v>
      </c>
      <c r="K12" s="11">
        <f t="shared" si="5"/>
        <v>3608746.86</v>
      </c>
      <c r="L12" s="3">
        <f t="shared" si="6"/>
        <v>3586035.5850666668</v>
      </c>
      <c r="M12" s="3">
        <f t="shared" si="7"/>
        <v>-1225626.8949333327</v>
      </c>
      <c r="N12" s="3">
        <f t="shared" si="9"/>
        <v>10650269.765333336</v>
      </c>
      <c r="P12" s="11">
        <f t="shared" si="10"/>
        <v>10650269.765333336</v>
      </c>
      <c r="R12" s="11"/>
      <c r="S12" s="11"/>
    </row>
    <row r="13" spans="1:19" x14ac:dyDescent="0.3">
      <c r="A13" s="7">
        <v>46752</v>
      </c>
      <c r="B13" s="3">
        <f t="shared" si="1"/>
        <v>0</v>
      </c>
      <c r="C13" s="3">
        <v>-4568034</v>
      </c>
      <c r="D13" s="3">
        <f t="shared" ref="D13:D18" si="12">-C13</f>
        <v>4568034</v>
      </c>
      <c r="E13" s="3">
        <f t="shared" si="0"/>
        <v>0</v>
      </c>
      <c r="G13" s="3">
        <f t="shared" si="11"/>
        <v>37302728</v>
      </c>
      <c r="H13" s="11">
        <f t="shared" si="2"/>
        <v>-4568034</v>
      </c>
      <c r="I13" s="11">
        <f t="shared" si="3"/>
        <v>4568034</v>
      </c>
      <c r="J13" s="3">
        <f t="shared" si="4"/>
        <v>959287.14</v>
      </c>
      <c r="K13" s="11">
        <f t="shared" si="5"/>
        <v>3608746.86</v>
      </c>
      <c r="L13" s="3">
        <f t="shared" si="6"/>
        <v>3586035.5850666668</v>
      </c>
      <c r="M13" s="3">
        <f t="shared" si="7"/>
        <v>-1225626.8949333327</v>
      </c>
      <c r="N13" s="3">
        <f t="shared" si="9"/>
        <v>0</v>
      </c>
      <c r="P13" s="11">
        <f t="shared" si="10"/>
        <v>0</v>
      </c>
      <c r="R13" s="11"/>
      <c r="S13" s="11"/>
    </row>
    <row r="14" spans="1:19" x14ac:dyDescent="0.3">
      <c r="A14" s="7">
        <v>47118</v>
      </c>
      <c r="B14" s="3">
        <f t="shared" si="1"/>
        <v>0</v>
      </c>
      <c r="C14" s="3">
        <v>-4568034</v>
      </c>
      <c r="D14" s="3">
        <f t="shared" si="12"/>
        <v>4568034</v>
      </c>
      <c r="E14" s="3">
        <f t="shared" si="0"/>
        <v>0</v>
      </c>
      <c r="G14" s="3">
        <f t="shared" si="11"/>
        <v>37302728</v>
      </c>
      <c r="H14" s="11">
        <f t="shared" si="2"/>
        <v>-4568034</v>
      </c>
      <c r="I14" s="11">
        <f t="shared" si="3"/>
        <v>4568034</v>
      </c>
      <c r="J14" s="3">
        <f t="shared" si="4"/>
        <v>959287.14</v>
      </c>
      <c r="K14" s="11">
        <f t="shared" si="5"/>
        <v>3608746.86</v>
      </c>
      <c r="L14" s="3">
        <f t="shared" si="6"/>
        <v>3586035.5850666668</v>
      </c>
      <c r="M14" s="3">
        <f t="shared" si="7"/>
        <v>-1225626.8949333327</v>
      </c>
      <c r="N14" s="3">
        <f t="shared" si="9"/>
        <v>0</v>
      </c>
      <c r="P14" s="11">
        <f t="shared" si="10"/>
        <v>0</v>
      </c>
      <c r="R14" s="11"/>
      <c r="S14" s="11"/>
    </row>
    <row r="15" spans="1:19" x14ac:dyDescent="0.3">
      <c r="A15" s="7">
        <v>47483</v>
      </c>
      <c r="B15" s="3">
        <f t="shared" si="1"/>
        <v>0</v>
      </c>
      <c r="C15" s="3">
        <v>-4568034</v>
      </c>
      <c r="D15" s="3">
        <f t="shared" si="12"/>
        <v>4568034</v>
      </c>
      <c r="E15" s="3">
        <f t="shared" si="0"/>
        <v>0</v>
      </c>
      <c r="G15" s="3">
        <f t="shared" si="11"/>
        <v>37302728</v>
      </c>
      <c r="H15" s="11">
        <f t="shared" si="2"/>
        <v>-4568034</v>
      </c>
      <c r="I15" s="11">
        <f t="shared" si="3"/>
        <v>4568034</v>
      </c>
      <c r="J15" s="3">
        <f t="shared" si="4"/>
        <v>959287.14</v>
      </c>
      <c r="K15" s="11">
        <f t="shared" si="5"/>
        <v>3608746.86</v>
      </c>
      <c r="L15" s="3">
        <f t="shared" si="6"/>
        <v>3586035.5850666668</v>
      </c>
      <c r="M15" s="3">
        <f t="shared" si="7"/>
        <v>-1225626.8949333327</v>
      </c>
      <c r="N15" s="3">
        <f t="shared" si="9"/>
        <v>0</v>
      </c>
      <c r="P15" s="11">
        <f t="shared" si="10"/>
        <v>0</v>
      </c>
      <c r="R15" s="11"/>
      <c r="S15" s="11"/>
    </row>
    <row r="16" spans="1:19" x14ac:dyDescent="0.3">
      <c r="A16" s="7">
        <v>47848</v>
      </c>
      <c r="B16" s="3">
        <f t="shared" si="1"/>
        <v>0</v>
      </c>
      <c r="C16" s="3">
        <v>-4568034</v>
      </c>
      <c r="D16" s="3">
        <f t="shared" si="12"/>
        <v>4568034</v>
      </c>
      <c r="E16" s="3">
        <f t="shared" si="0"/>
        <v>0</v>
      </c>
      <c r="G16" s="3">
        <f t="shared" si="11"/>
        <v>37302728</v>
      </c>
      <c r="H16" s="11">
        <f t="shared" si="2"/>
        <v>-4568034</v>
      </c>
      <c r="I16" s="11">
        <f t="shared" si="3"/>
        <v>4568034</v>
      </c>
      <c r="J16" s="3">
        <f t="shared" si="4"/>
        <v>959287.14</v>
      </c>
      <c r="K16" s="11">
        <f t="shared" si="5"/>
        <v>3608746.86</v>
      </c>
      <c r="L16" s="3">
        <f t="shared" si="6"/>
        <v>3586035.5850666668</v>
      </c>
      <c r="M16" s="3">
        <f t="shared" si="7"/>
        <v>-1225626.8949333327</v>
      </c>
      <c r="N16" s="3">
        <f t="shared" si="9"/>
        <v>0</v>
      </c>
      <c r="P16" s="11">
        <f t="shared" si="10"/>
        <v>0</v>
      </c>
      <c r="R16" s="11"/>
      <c r="S16" s="11"/>
    </row>
    <row r="17" spans="1:19" x14ac:dyDescent="0.3">
      <c r="A17" s="7">
        <v>48213</v>
      </c>
      <c r="B17" s="3">
        <f t="shared" si="1"/>
        <v>0</v>
      </c>
      <c r="C17" s="3">
        <v>-4568034</v>
      </c>
      <c r="D17" s="3">
        <f t="shared" si="12"/>
        <v>4568034</v>
      </c>
      <c r="E17" s="3">
        <f t="shared" si="0"/>
        <v>0</v>
      </c>
      <c r="G17" s="3">
        <f t="shared" si="11"/>
        <v>37302728</v>
      </c>
      <c r="H17" s="11">
        <f t="shared" si="2"/>
        <v>-4568034</v>
      </c>
      <c r="I17" s="11">
        <f t="shared" si="3"/>
        <v>4568034</v>
      </c>
      <c r="J17" s="3">
        <f t="shared" si="4"/>
        <v>959287.14</v>
      </c>
      <c r="K17" s="11">
        <f t="shared" si="5"/>
        <v>3608746.86</v>
      </c>
      <c r="L17" s="3">
        <f t="shared" si="6"/>
        <v>3586035.5850666668</v>
      </c>
      <c r="M17" s="3">
        <f t="shared" si="7"/>
        <v>-1225626.8949333327</v>
      </c>
      <c r="N17" s="3">
        <f t="shared" si="9"/>
        <v>0</v>
      </c>
      <c r="P17" s="11">
        <f t="shared" si="10"/>
        <v>0</v>
      </c>
      <c r="R17" s="11"/>
      <c r="S17" s="11"/>
    </row>
    <row r="18" spans="1:19" x14ac:dyDescent="0.3">
      <c r="A18" s="7">
        <v>48579</v>
      </c>
      <c r="B18" s="3">
        <f t="shared" si="1"/>
        <v>0</v>
      </c>
      <c r="C18" s="3">
        <v>-4568034</v>
      </c>
      <c r="D18" s="3">
        <f t="shared" si="12"/>
        <v>4568034</v>
      </c>
      <c r="E18" s="3">
        <f t="shared" si="0"/>
        <v>0</v>
      </c>
      <c r="G18" s="3">
        <f t="shared" si="11"/>
        <v>37302728</v>
      </c>
      <c r="H18" s="11">
        <f t="shared" si="2"/>
        <v>-4568034</v>
      </c>
      <c r="I18" s="11">
        <f t="shared" si="3"/>
        <v>4568034</v>
      </c>
      <c r="J18" s="3">
        <f t="shared" si="4"/>
        <v>959287.14</v>
      </c>
      <c r="K18" s="11">
        <f t="shared" si="5"/>
        <v>3608746.86</v>
      </c>
      <c r="L18" s="3">
        <f t="shared" si="6"/>
        <v>3586035.5850666668</v>
      </c>
      <c r="M18" s="3">
        <f t="shared" si="7"/>
        <v>-1225626.8949333327</v>
      </c>
      <c r="N18" s="3">
        <f t="shared" si="9"/>
        <v>0</v>
      </c>
      <c r="P18" s="11">
        <f t="shared" si="10"/>
        <v>0</v>
      </c>
      <c r="R18" s="11"/>
      <c r="S18" s="11"/>
    </row>
    <row r="19" spans="1:19" x14ac:dyDescent="0.3">
      <c r="C19" s="3"/>
      <c r="D19" s="3"/>
      <c r="E19" s="3"/>
    </row>
    <row r="20" spans="1:19" x14ac:dyDescent="0.3">
      <c r="G20" t="s">
        <v>36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activeCell="O8" sqref="O8"/>
    </sheetView>
  </sheetViews>
  <sheetFormatPr defaultRowHeight="14.4" x14ac:dyDescent="0.3"/>
  <cols>
    <col min="1" max="1" width="10.5546875" bestFit="1" customWidth="1"/>
    <col min="2" max="2" width="15.33203125" bestFit="1" customWidth="1"/>
    <col min="3" max="3" width="13.33203125" bestFit="1" customWidth="1"/>
    <col min="4" max="4" width="14.33203125" bestFit="1" customWidth="1"/>
    <col min="5" max="5" width="13.33203125" bestFit="1" customWidth="1"/>
    <col min="6" max="6" width="0.6640625" customWidth="1"/>
    <col min="7" max="7" width="11.5546875" customWidth="1"/>
    <col min="8" max="9" width="14.33203125" customWidth="1"/>
    <col min="10" max="10" width="12.5546875" bestFit="1" customWidth="1"/>
    <col min="11" max="11" width="11" bestFit="1" customWidth="1"/>
    <col min="12" max="13" width="14.33203125" bestFit="1" customWidth="1"/>
    <col min="14" max="14" width="14.5546875" customWidth="1"/>
    <col min="15" max="15" width="13.6640625" style="3" bestFit="1" customWidth="1"/>
    <col min="16" max="16" width="11" bestFit="1" customWidth="1"/>
    <col min="18" max="19" width="11" bestFit="1" customWidth="1"/>
  </cols>
  <sheetData>
    <row r="1" spans="1:19" x14ac:dyDescent="0.3">
      <c r="A1" t="s">
        <v>24</v>
      </c>
      <c r="C1" s="8">
        <v>44196</v>
      </c>
      <c r="D1" s="3">
        <f>SUMIF(A5:A18,C1,E5:E18)</f>
        <v>-13262871</v>
      </c>
      <c r="G1" s="10"/>
      <c r="J1" s="10">
        <v>0.21</v>
      </c>
      <c r="K1" t="s">
        <v>30</v>
      </c>
      <c r="L1" s="12">
        <v>7.2099999999999997E-2</v>
      </c>
    </row>
    <row r="2" spans="1:19" x14ac:dyDescent="0.3">
      <c r="A2" t="s">
        <v>25</v>
      </c>
      <c r="C2" s="9">
        <v>5</v>
      </c>
      <c r="K2" t="s">
        <v>31</v>
      </c>
      <c r="L2">
        <v>0.75</v>
      </c>
    </row>
    <row r="4" spans="1:19" s="1" customFormat="1" ht="57.6" x14ac:dyDescent="0.3">
      <c r="B4" s="1" t="s">
        <v>22</v>
      </c>
      <c r="C4" s="1" t="s">
        <v>21</v>
      </c>
      <c r="D4" s="1" t="s">
        <v>20</v>
      </c>
      <c r="E4" s="1" t="s">
        <v>19</v>
      </c>
      <c r="G4" s="1" t="s">
        <v>32</v>
      </c>
      <c r="H4" s="1" t="s">
        <v>26</v>
      </c>
      <c r="I4" s="1" t="s">
        <v>34</v>
      </c>
      <c r="J4" s="1" t="s">
        <v>27</v>
      </c>
      <c r="K4" s="1" t="s">
        <v>28</v>
      </c>
      <c r="L4" s="1" t="s">
        <v>29</v>
      </c>
      <c r="M4" s="1" t="s">
        <v>33</v>
      </c>
      <c r="N4" s="1" t="s">
        <v>35</v>
      </c>
      <c r="O4" s="13" t="s">
        <v>37</v>
      </c>
      <c r="P4" s="1" t="s">
        <v>38</v>
      </c>
    </row>
    <row r="5" spans="1:19" x14ac:dyDescent="0.3">
      <c r="A5" s="7">
        <v>43830</v>
      </c>
      <c r="B5" s="3">
        <v>-10048880</v>
      </c>
      <c r="C5" s="3"/>
      <c r="D5" s="3">
        <v>226231</v>
      </c>
      <c r="E5" s="3">
        <f t="shared" ref="E5:E18" si="0">SUM(B5:D5)</f>
        <v>-9822649</v>
      </c>
      <c r="F5" s="3"/>
      <c r="G5" s="3">
        <v>0</v>
      </c>
      <c r="H5" s="11">
        <f>-D5</f>
        <v>-226231</v>
      </c>
      <c r="I5" s="11">
        <f>-H5</f>
        <v>226231</v>
      </c>
      <c r="J5" s="3">
        <f>I5*$J$1</f>
        <v>47508.509999999995</v>
      </c>
      <c r="K5" s="11">
        <f>I5-J5</f>
        <v>178722.49</v>
      </c>
      <c r="L5" s="3">
        <f>G5*$L$1/$L$2</f>
        <v>0</v>
      </c>
      <c r="M5" s="3">
        <f>(-K5/$L$2)+L5</f>
        <v>-238296.65333333332</v>
      </c>
      <c r="N5" s="3"/>
    </row>
    <row r="6" spans="1:19" x14ac:dyDescent="0.3">
      <c r="A6" s="7">
        <v>44196</v>
      </c>
      <c r="B6" s="3">
        <f t="shared" ref="B6:B18" si="1">E5</f>
        <v>-9822649</v>
      </c>
      <c r="C6" s="3">
        <v>-3666453</v>
      </c>
      <c r="D6" s="3">
        <v>226231</v>
      </c>
      <c r="E6" s="3">
        <f t="shared" si="0"/>
        <v>-13262871</v>
      </c>
      <c r="F6" s="3"/>
      <c r="G6" s="3">
        <f>E6-E5</f>
        <v>-3440222</v>
      </c>
      <c r="H6" s="11">
        <f>-D6</f>
        <v>-226231</v>
      </c>
      <c r="I6" s="11">
        <f>-H6</f>
        <v>226231</v>
      </c>
      <c r="J6" s="3">
        <f>I6*$J$1</f>
        <v>47508.509999999995</v>
      </c>
      <c r="K6" s="11">
        <f>I6-J6</f>
        <v>178722.49</v>
      </c>
      <c r="L6" s="3">
        <f>G6*$L$1/$L$2</f>
        <v>-330720.00826666667</v>
      </c>
      <c r="M6" s="3">
        <f>(-K6/$L$2)+L6</f>
        <v>-569016.66159999999</v>
      </c>
      <c r="N6" s="3">
        <f>M6-M5</f>
        <v>-330720.00826666667</v>
      </c>
    </row>
    <row r="7" spans="1:19" x14ac:dyDescent="0.3">
      <c r="A7" s="7">
        <v>44561</v>
      </c>
      <c r="B7" s="3">
        <f t="shared" si="1"/>
        <v>-13262871</v>
      </c>
      <c r="C7" s="3">
        <v>-1171940</v>
      </c>
      <c r="D7" s="3">
        <f>(-$D$1/$C$2)-C7</f>
        <v>3824514.2</v>
      </c>
      <c r="E7" s="3">
        <f t="shared" si="0"/>
        <v>-10610296.800000001</v>
      </c>
      <c r="G7" s="3">
        <f>G6+C7+D7</f>
        <v>-787647.79999999981</v>
      </c>
      <c r="H7" s="11">
        <f t="shared" ref="H7:H18" si="2">-D7</f>
        <v>-3824514.2</v>
      </c>
      <c r="I7" s="11">
        <f t="shared" ref="I7:I18" si="3">-H7</f>
        <v>3824514.2</v>
      </c>
      <c r="J7" s="3">
        <f t="shared" ref="J7:J18" si="4">I7*$J$1</f>
        <v>803147.98199999996</v>
      </c>
      <c r="K7" s="11">
        <f t="shared" ref="K7:K18" si="5">I7-J7</f>
        <v>3021366.2180000003</v>
      </c>
      <c r="L7" s="3">
        <f t="shared" ref="L7:L18" si="6">G7*$L$1/$L$2</f>
        <v>-75719.208506666648</v>
      </c>
      <c r="M7" s="3">
        <f t="shared" ref="M7:M18" si="7">(-K7/$L$2)+L7</f>
        <v>-4104207.4991733339</v>
      </c>
      <c r="N7" s="3">
        <f>M7-M6</f>
        <v>-3535190.8375733336</v>
      </c>
      <c r="O7" s="3">
        <v>15300000</v>
      </c>
      <c r="P7" s="11">
        <f>SUM(N7:O7)</f>
        <v>11764809.162426665</v>
      </c>
      <c r="R7" s="11"/>
      <c r="S7" s="11"/>
    </row>
    <row r="8" spans="1:19" x14ac:dyDescent="0.3">
      <c r="A8" s="7">
        <v>44926</v>
      </c>
      <c r="B8" s="3">
        <f t="shared" si="1"/>
        <v>-10610296.800000001</v>
      </c>
      <c r="C8" s="3">
        <v>-1171940</v>
      </c>
      <c r="D8" s="3">
        <f t="shared" ref="D8:D11" si="8">(-$D$1/$C$2)-C8</f>
        <v>3824514.2</v>
      </c>
      <c r="E8" s="3">
        <f t="shared" si="0"/>
        <v>-7957722.6000000006</v>
      </c>
      <c r="G8" s="3">
        <f>G7+C8+D8</f>
        <v>1864926.4000000004</v>
      </c>
      <c r="H8" s="11">
        <f t="shared" si="2"/>
        <v>-3824514.2</v>
      </c>
      <c r="I8" s="11">
        <f t="shared" si="3"/>
        <v>3824514.2</v>
      </c>
      <c r="J8" s="3">
        <f t="shared" si="4"/>
        <v>803147.98199999996</v>
      </c>
      <c r="K8" s="11">
        <f t="shared" si="5"/>
        <v>3021366.2180000003</v>
      </c>
      <c r="L8" s="3">
        <f t="shared" si="6"/>
        <v>179281.59125333338</v>
      </c>
      <c r="M8" s="3">
        <f t="shared" si="7"/>
        <v>-3849206.699413334</v>
      </c>
      <c r="N8" s="3">
        <f t="shared" ref="N8:N18" si="9">M8-M7</f>
        <v>255000.79975999985</v>
      </c>
      <c r="P8" s="11">
        <f t="shared" ref="P8:P18" si="10">SUM(N8:O8)</f>
        <v>255000.79975999985</v>
      </c>
      <c r="R8" s="11"/>
      <c r="S8" s="11"/>
    </row>
    <row r="9" spans="1:19" x14ac:dyDescent="0.3">
      <c r="A9" s="7">
        <v>45291</v>
      </c>
      <c r="B9" s="3">
        <f t="shared" si="1"/>
        <v>-7957722.6000000006</v>
      </c>
      <c r="C9" s="3">
        <v>-1171940</v>
      </c>
      <c r="D9" s="3">
        <f t="shared" si="8"/>
        <v>3824514.2</v>
      </c>
      <c r="E9" s="3">
        <f t="shared" si="0"/>
        <v>-5305148.4000000013</v>
      </c>
      <c r="G9" s="3">
        <f t="shared" ref="G9:G18" si="11">G8+C9+D9</f>
        <v>4517500.6000000006</v>
      </c>
      <c r="H9" s="11">
        <f t="shared" si="2"/>
        <v>-3824514.2</v>
      </c>
      <c r="I9" s="11">
        <f t="shared" si="3"/>
        <v>3824514.2</v>
      </c>
      <c r="J9" s="3">
        <f t="shared" si="4"/>
        <v>803147.98199999996</v>
      </c>
      <c r="K9" s="11">
        <f t="shared" si="5"/>
        <v>3021366.2180000003</v>
      </c>
      <c r="L9" s="3">
        <f t="shared" si="6"/>
        <v>434282.39101333334</v>
      </c>
      <c r="M9" s="3">
        <f t="shared" si="7"/>
        <v>-3594205.8996533342</v>
      </c>
      <c r="N9" s="3">
        <f t="shared" si="9"/>
        <v>255000.79975999985</v>
      </c>
      <c r="P9" s="11">
        <f t="shared" si="10"/>
        <v>255000.79975999985</v>
      </c>
      <c r="R9" s="11"/>
      <c r="S9" s="11"/>
    </row>
    <row r="10" spans="1:19" x14ac:dyDescent="0.3">
      <c r="A10" s="7">
        <v>45657</v>
      </c>
      <c r="B10" s="3">
        <f t="shared" si="1"/>
        <v>-5305148.4000000013</v>
      </c>
      <c r="C10" s="3">
        <v>-1171940</v>
      </c>
      <c r="D10" s="3">
        <f t="shared" si="8"/>
        <v>3824514.2</v>
      </c>
      <c r="E10" s="3">
        <f t="shared" si="0"/>
        <v>-2652574.2000000011</v>
      </c>
      <c r="G10" s="3">
        <f t="shared" si="11"/>
        <v>7170074.8000000007</v>
      </c>
      <c r="H10" s="11">
        <f t="shared" si="2"/>
        <v>-3824514.2</v>
      </c>
      <c r="I10" s="11">
        <f t="shared" si="3"/>
        <v>3824514.2</v>
      </c>
      <c r="J10" s="3">
        <f t="shared" si="4"/>
        <v>803147.98199999996</v>
      </c>
      <c r="K10" s="11">
        <f t="shared" si="5"/>
        <v>3021366.2180000003</v>
      </c>
      <c r="L10" s="3">
        <f t="shared" si="6"/>
        <v>689283.19077333331</v>
      </c>
      <c r="M10" s="3">
        <f t="shared" si="7"/>
        <v>-3339205.0998933339</v>
      </c>
      <c r="N10" s="3">
        <f t="shared" si="9"/>
        <v>255000.79976000031</v>
      </c>
      <c r="P10" s="11">
        <f t="shared" si="10"/>
        <v>255000.79976000031</v>
      </c>
      <c r="R10" s="11"/>
      <c r="S10" s="11"/>
    </row>
    <row r="11" spans="1:19" x14ac:dyDescent="0.3">
      <c r="A11" s="7">
        <v>46022</v>
      </c>
      <c r="B11" s="3">
        <f t="shared" si="1"/>
        <v>-2652574.2000000011</v>
      </c>
      <c r="C11" s="3">
        <v>-1171940</v>
      </c>
      <c r="D11" s="3">
        <f t="shared" si="8"/>
        <v>3824514.2</v>
      </c>
      <c r="E11" s="3">
        <f t="shared" si="0"/>
        <v>0</v>
      </c>
      <c r="G11" s="3">
        <f t="shared" si="11"/>
        <v>9822649</v>
      </c>
      <c r="H11" s="11">
        <f t="shared" si="2"/>
        <v>-3824514.2</v>
      </c>
      <c r="I11" s="11">
        <f t="shared" si="3"/>
        <v>3824514.2</v>
      </c>
      <c r="J11" s="3">
        <f t="shared" si="4"/>
        <v>803147.98199999996</v>
      </c>
      <c r="K11" s="11">
        <f t="shared" si="5"/>
        <v>3021366.2180000003</v>
      </c>
      <c r="L11" s="3">
        <f t="shared" si="6"/>
        <v>944283.99053333327</v>
      </c>
      <c r="M11" s="3">
        <f t="shared" si="7"/>
        <v>-3084204.300133334</v>
      </c>
      <c r="N11" s="3">
        <f t="shared" si="9"/>
        <v>255000.79975999985</v>
      </c>
      <c r="P11" s="11">
        <f t="shared" si="10"/>
        <v>255000.79975999985</v>
      </c>
      <c r="R11" s="11"/>
      <c r="S11" s="11"/>
    </row>
    <row r="12" spans="1:19" x14ac:dyDescent="0.3">
      <c r="A12" s="7">
        <v>46387</v>
      </c>
      <c r="B12" s="3">
        <f t="shared" si="1"/>
        <v>0</v>
      </c>
      <c r="C12" s="3">
        <v>-1171940</v>
      </c>
      <c r="D12" s="3">
        <f>-C12</f>
        <v>1171940</v>
      </c>
      <c r="E12" s="3">
        <f t="shared" si="0"/>
        <v>0</v>
      </c>
      <c r="G12" s="3">
        <f t="shared" si="11"/>
        <v>9822649</v>
      </c>
      <c r="H12" s="11">
        <f t="shared" si="2"/>
        <v>-1171940</v>
      </c>
      <c r="I12" s="11">
        <f t="shared" si="3"/>
        <v>1171940</v>
      </c>
      <c r="J12" s="3">
        <f t="shared" si="4"/>
        <v>246107.4</v>
      </c>
      <c r="K12" s="11">
        <f t="shared" si="5"/>
        <v>925832.6</v>
      </c>
      <c r="L12" s="3">
        <f t="shared" si="6"/>
        <v>944283.99053333327</v>
      </c>
      <c r="M12" s="3">
        <f t="shared" si="7"/>
        <v>-290159.47613333329</v>
      </c>
      <c r="N12" s="3">
        <f t="shared" si="9"/>
        <v>2794044.824000001</v>
      </c>
      <c r="P12" s="11">
        <f t="shared" si="10"/>
        <v>2794044.824000001</v>
      </c>
      <c r="R12" s="11"/>
      <c r="S12" s="11"/>
    </row>
    <row r="13" spans="1:19" x14ac:dyDescent="0.3">
      <c r="A13" s="7">
        <v>46752</v>
      </c>
      <c r="B13" s="3">
        <f t="shared" si="1"/>
        <v>0</v>
      </c>
      <c r="C13" s="3">
        <v>-1171940</v>
      </c>
      <c r="D13" s="3">
        <f t="shared" ref="D13:D18" si="12">-C13</f>
        <v>1171940</v>
      </c>
      <c r="E13" s="3">
        <f t="shared" si="0"/>
        <v>0</v>
      </c>
      <c r="G13" s="3">
        <f t="shared" si="11"/>
        <v>9822649</v>
      </c>
      <c r="H13" s="11">
        <f t="shared" si="2"/>
        <v>-1171940</v>
      </c>
      <c r="I13" s="11">
        <f t="shared" si="3"/>
        <v>1171940</v>
      </c>
      <c r="J13" s="3">
        <f t="shared" si="4"/>
        <v>246107.4</v>
      </c>
      <c r="K13" s="11">
        <f t="shared" si="5"/>
        <v>925832.6</v>
      </c>
      <c r="L13" s="3">
        <f t="shared" si="6"/>
        <v>944283.99053333327</v>
      </c>
      <c r="M13" s="3">
        <f t="shared" si="7"/>
        <v>-290159.47613333329</v>
      </c>
      <c r="N13" s="3">
        <f t="shared" si="9"/>
        <v>0</v>
      </c>
      <c r="P13" s="11">
        <f t="shared" si="10"/>
        <v>0</v>
      </c>
      <c r="R13" s="11"/>
      <c r="S13" s="11"/>
    </row>
    <row r="14" spans="1:19" x14ac:dyDescent="0.3">
      <c r="A14" s="7">
        <v>47118</v>
      </c>
      <c r="B14" s="3">
        <f t="shared" si="1"/>
        <v>0</v>
      </c>
      <c r="C14" s="3">
        <v>-1171940</v>
      </c>
      <c r="D14" s="3">
        <f t="shared" si="12"/>
        <v>1171940</v>
      </c>
      <c r="E14" s="3">
        <f t="shared" si="0"/>
        <v>0</v>
      </c>
      <c r="G14" s="3">
        <f t="shared" si="11"/>
        <v>9822649</v>
      </c>
      <c r="H14" s="11">
        <f t="shared" si="2"/>
        <v>-1171940</v>
      </c>
      <c r="I14" s="11">
        <f t="shared" si="3"/>
        <v>1171940</v>
      </c>
      <c r="J14" s="3">
        <f t="shared" si="4"/>
        <v>246107.4</v>
      </c>
      <c r="K14" s="11">
        <f t="shared" si="5"/>
        <v>925832.6</v>
      </c>
      <c r="L14" s="3">
        <f t="shared" si="6"/>
        <v>944283.99053333327</v>
      </c>
      <c r="M14" s="3">
        <f t="shared" si="7"/>
        <v>-290159.47613333329</v>
      </c>
      <c r="N14" s="3">
        <f t="shared" si="9"/>
        <v>0</v>
      </c>
      <c r="P14" s="11">
        <f t="shared" si="10"/>
        <v>0</v>
      </c>
      <c r="R14" s="11"/>
      <c r="S14" s="11"/>
    </row>
    <row r="15" spans="1:19" x14ac:dyDescent="0.3">
      <c r="A15" s="7">
        <v>47483</v>
      </c>
      <c r="B15" s="3">
        <f t="shared" si="1"/>
        <v>0</v>
      </c>
      <c r="C15" s="3">
        <v>-1171940</v>
      </c>
      <c r="D15" s="3">
        <f t="shared" si="12"/>
        <v>1171940</v>
      </c>
      <c r="E15" s="3">
        <f t="shared" si="0"/>
        <v>0</v>
      </c>
      <c r="G15" s="3">
        <f t="shared" si="11"/>
        <v>9822649</v>
      </c>
      <c r="H15" s="11">
        <f t="shared" si="2"/>
        <v>-1171940</v>
      </c>
      <c r="I15" s="11">
        <f t="shared" si="3"/>
        <v>1171940</v>
      </c>
      <c r="J15" s="3">
        <f t="shared" si="4"/>
        <v>246107.4</v>
      </c>
      <c r="K15" s="11">
        <f t="shared" si="5"/>
        <v>925832.6</v>
      </c>
      <c r="L15" s="3">
        <f t="shared" si="6"/>
        <v>944283.99053333327</v>
      </c>
      <c r="M15" s="3">
        <f t="shared" si="7"/>
        <v>-290159.47613333329</v>
      </c>
      <c r="N15" s="3">
        <f t="shared" si="9"/>
        <v>0</v>
      </c>
      <c r="P15" s="11">
        <f t="shared" si="10"/>
        <v>0</v>
      </c>
      <c r="R15" s="11"/>
      <c r="S15" s="11"/>
    </row>
    <row r="16" spans="1:19" x14ac:dyDescent="0.3">
      <c r="A16" s="7">
        <v>47848</v>
      </c>
      <c r="B16" s="3">
        <f t="shared" si="1"/>
        <v>0</v>
      </c>
      <c r="C16" s="3">
        <v>-1171940</v>
      </c>
      <c r="D16" s="3">
        <f t="shared" si="12"/>
        <v>1171940</v>
      </c>
      <c r="E16" s="3">
        <f t="shared" si="0"/>
        <v>0</v>
      </c>
      <c r="G16" s="3">
        <f t="shared" si="11"/>
        <v>9822649</v>
      </c>
      <c r="H16" s="11">
        <f t="shared" si="2"/>
        <v>-1171940</v>
      </c>
      <c r="I16" s="11">
        <f t="shared" si="3"/>
        <v>1171940</v>
      </c>
      <c r="J16" s="3">
        <f t="shared" si="4"/>
        <v>246107.4</v>
      </c>
      <c r="K16" s="11">
        <f t="shared" si="5"/>
        <v>925832.6</v>
      </c>
      <c r="L16" s="3">
        <f t="shared" si="6"/>
        <v>944283.99053333327</v>
      </c>
      <c r="M16" s="3">
        <f t="shared" si="7"/>
        <v>-290159.47613333329</v>
      </c>
      <c r="N16" s="3">
        <f t="shared" si="9"/>
        <v>0</v>
      </c>
      <c r="P16" s="11">
        <f t="shared" si="10"/>
        <v>0</v>
      </c>
      <c r="R16" s="11"/>
      <c r="S16" s="11"/>
    </row>
    <row r="17" spans="1:19" x14ac:dyDescent="0.3">
      <c r="A17" s="7">
        <v>48213</v>
      </c>
      <c r="B17" s="3">
        <f t="shared" si="1"/>
        <v>0</v>
      </c>
      <c r="C17" s="3">
        <v>-1171940</v>
      </c>
      <c r="D17" s="3">
        <f t="shared" si="12"/>
        <v>1171940</v>
      </c>
      <c r="E17" s="3">
        <f t="shared" si="0"/>
        <v>0</v>
      </c>
      <c r="G17" s="3">
        <f t="shared" si="11"/>
        <v>9822649</v>
      </c>
      <c r="H17" s="11">
        <f t="shared" si="2"/>
        <v>-1171940</v>
      </c>
      <c r="I17" s="11">
        <f t="shared" si="3"/>
        <v>1171940</v>
      </c>
      <c r="J17" s="3">
        <f t="shared" si="4"/>
        <v>246107.4</v>
      </c>
      <c r="K17" s="11">
        <f t="shared" si="5"/>
        <v>925832.6</v>
      </c>
      <c r="L17" s="3">
        <f t="shared" si="6"/>
        <v>944283.99053333327</v>
      </c>
      <c r="M17" s="3">
        <f t="shared" si="7"/>
        <v>-290159.47613333329</v>
      </c>
      <c r="N17" s="3">
        <f t="shared" si="9"/>
        <v>0</v>
      </c>
      <c r="P17" s="11">
        <f t="shared" si="10"/>
        <v>0</v>
      </c>
      <c r="R17" s="11"/>
      <c r="S17" s="11"/>
    </row>
    <row r="18" spans="1:19" x14ac:dyDescent="0.3">
      <c r="A18" s="7">
        <v>48579</v>
      </c>
      <c r="B18" s="3">
        <f t="shared" si="1"/>
        <v>0</v>
      </c>
      <c r="C18" s="3">
        <v>-1171940</v>
      </c>
      <c r="D18" s="3">
        <f t="shared" si="12"/>
        <v>1171940</v>
      </c>
      <c r="E18" s="3">
        <f t="shared" si="0"/>
        <v>0</v>
      </c>
      <c r="G18" s="3">
        <f t="shared" si="11"/>
        <v>9822649</v>
      </c>
      <c r="H18" s="11">
        <f t="shared" si="2"/>
        <v>-1171940</v>
      </c>
      <c r="I18" s="11">
        <f t="shared" si="3"/>
        <v>1171940</v>
      </c>
      <c r="J18" s="3">
        <f t="shared" si="4"/>
        <v>246107.4</v>
      </c>
      <c r="K18" s="11">
        <f t="shared" si="5"/>
        <v>925832.6</v>
      </c>
      <c r="L18" s="3">
        <f t="shared" si="6"/>
        <v>944283.99053333327</v>
      </c>
      <c r="M18" s="3">
        <f t="shared" si="7"/>
        <v>-290159.47613333329</v>
      </c>
      <c r="N18" s="3">
        <f t="shared" si="9"/>
        <v>0</v>
      </c>
      <c r="P18" s="11">
        <f t="shared" si="10"/>
        <v>0</v>
      </c>
      <c r="R18" s="11"/>
      <c r="S18" s="11"/>
    </row>
    <row r="19" spans="1:19" x14ac:dyDescent="0.3">
      <c r="C19" s="3"/>
      <c r="D19" s="3"/>
      <c r="E19" s="3"/>
    </row>
    <row r="20" spans="1:19" x14ac:dyDescent="0.3">
      <c r="G20" t="s">
        <v>36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activeCell="C22" sqref="C22"/>
    </sheetView>
  </sheetViews>
  <sheetFormatPr defaultRowHeight="14.4" x14ac:dyDescent="0.3"/>
  <cols>
    <col min="1" max="1" width="10.5546875" bestFit="1" customWidth="1"/>
    <col min="2" max="2" width="15.33203125" bestFit="1" customWidth="1"/>
    <col min="3" max="3" width="13.33203125" bestFit="1" customWidth="1"/>
    <col min="4" max="4" width="14.33203125" bestFit="1" customWidth="1"/>
    <col min="5" max="5" width="13.33203125" bestFit="1" customWidth="1"/>
    <col min="6" max="6" width="0.6640625" customWidth="1"/>
    <col min="7" max="7" width="11.5546875" customWidth="1"/>
    <col min="8" max="9" width="14.33203125" customWidth="1"/>
    <col min="10" max="10" width="12.5546875" bestFit="1" customWidth="1"/>
    <col min="11" max="11" width="11" bestFit="1" customWidth="1"/>
    <col min="12" max="13" width="14.33203125" bestFit="1" customWidth="1"/>
    <col min="14" max="14" width="14.5546875" customWidth="1"/>
    <col min="15" max="15" width="13.6640625" style="3" bestFit="1" customWidth="1"/>
    <col min="16" max="16" width="11" bestFit="1" customWidth="1"/>
    <col min="18" max="19" width="11" bestFit="1" customWidth="1"/>
  </cols>
  <sheetData>
    <row r="1" spans="1:19" x14ac:dyDescent="0.3">
      <c r="A1" t="s">
        <v>24</v>
      </c>
      <c r="C1" s="8">
        <v>44196</v>
      </c>
      <c r="D1" s="3">
        <f>SUMIF(A5:A18,C1,E5:E18)</f>
        <v>-5684088</v>
      </c>
      <c r="G1" s="10"/>
      <c r="J1" s="10">
        <v>0.21</v>
      </c>
      <c r="K1" t="s">
        <v>30</v>
      </c>
      <c r="L1" s="12">
        <v>7.2099999999999997E-2</v>
      </c>
    </row>
    <row r="2" spans="1:19" x14ac:dyDescent="0.3">
      <c r="A2" t="s">
        <v>25</v>
      </c>
      <c r="C2" s="9">
        <v>5</v>
      </c>
      <c r="K2" t="s">
        <v>31</v>
      </c>
      <c r="L2">
        <v>0.75</v>
      </c>
    </row>
    <row r="4" spans="1:19" s="1" customFormat="1" ht="57.6" x14ac:dyDescent="0.3">
      <c r="B4" s="1" t="s">
        <v>22</v>
      </c>
      <c r="C4" s="1" t="s">
        <v>21</v>
      </c>
      <c r="D4" s="1" t="s">
        <v>20</v>
      </c>
      <c r="E4" s="1" t="s">
        <v>19</v>
      </c>
      <c r="G4" s="1" t="s">
        <v>32</v>
      </c>
      <c r="H4" s="1" t="s">
        <v>26</v>
      </c>
      <c r="I4" s="1" t="s">
        <v>34</v>
      </c>
      <c r="J4" s="1" t="s">
        <v>27</v>
      </c>
      <c r="K4" s="1" t="s">
        <v>28</v>
      </c>
      <c r="L4" s="1" t="s">
        <v>29</v>
      </c>
      <c r="M4" s="1" t="s">
        <v>33</v>
      </c>
      <c r="N4" s="1" t="s">
        <v>35</v>
      </c>
      <c r="O4" s="13" t="s">
        <v>37</v>
      </c>
      <c r="P4" s="1" t="s">
        <v>38</v>
      </c>
    </row>
    <row r="5" spans="1:19" x14ac:dyDescent="0.3">
      <c r="A5" s="7">
        <v>43830</v>
      </c>
      <c r="B5" s="3">
        <v>-4306663</v>
      </c>
      <c r="C5" s="3"/>
      <c r="D5" s="3">
        <v>96956</v>
      </c>
      <c r="E5" s="3">
        <f t="shared" ref="E5:E18" si="0">SUM(B5:D5)</f>
        <v>-4209707</v>
      </c>
      <c r="F5" s="3"/>
      <c r="G5" s="3">
        <v>0</v>
      </c>
      <c r="H5" s="11">
        <f>-D5</f>
        <v>-96956</v>
      </c>
      <c r="I5" s="11">
        <f>-H5</f>
        <v>96956</v>
      </c>
      <c r="J5" s="3">
        <f>I5*$J$1</f>
        <v>20360.759999999998</v>
      </c>
      <c r="K5" s="11">
        <f>I5-J5</f>
        <v>76595.240000000005</v>
      </c>
      <c r="L5" s="3">
        <f>G5*$L$1/$L$2</f>
        <v>0</v>
      </c>
      <c r="M5" s="3">
        <f>(-K5/$L$2)+L5</f>
        <v>-102126.98666666668</v>
      </c>
      <c r="N5" s="3"/>
    </row>
    <row r="6" spans="1:19" x14ac:dyDescent="0.3">
      <c r="A6" s="7">
        <v>44196</v>
      </c>
      <c r="B6" s="3">
        <f t="shared" ref="B6:B18" si="1">E5</f>
        <v>-4209707</v>
      </c>
      <c r="C6" s="3">
        <v>-1571337</v>
      </c>
      <c r="D6" s="3">
        <v>96956</v>
      </c>
      <c r="E6" s="3">
        <f t="shared" si="0"/>
        <v>-5684088</v>
      </c>
      <c r="F6" s="3"/>
      <c r="G6" s="3">
        <f>E6-E5</f>
        <v>-1474381</v>
      </c>
      <c r="H6" s="11">
        <f>-D6</f>
        <v>-96956</v>
      </c>
      <c r="I6" s="11">
        <f>-H6</f>
        <v>96956</v>
      </c>
      <c r="J6" s="3">
        <f>I6*$J$1</f>
        <v>20360.759999999998</v>
      </c>
      <c r="K6" s="11">
        <f>I6-J6</f>
        <v>76595.240000000005</v>
      </c>
      <c r="L6" s="3">
        <f>G6*$L$1/$L$2</f>
        <v>-141737.16013333332</v>
      </c>
      <c r="M6" s="3">
        <f>(-K6/$L$2)+L6</f>
        <v>-243864.14679999999</v>
      </c>
      <c r="N6" s="3">
        <f>M6-M5</f>
        <v>-141737.16013333329</v>
      </c>
    </row>
    <row r="7" spans="1:19" x14ac:dyDescent="0.3">
      <c r="A7" s="7">
        <v>44561</v>
      </c>
      <c r="B7" s="3">
        <f t="shared" si="1"/>
        <v>-5684088</v>
      </c>
      <c r="C7" s="3">
        <v>-502260</v>
      </c>
      <c r="D7" s="3">
        <f>(-$D$1/$C$2)-C7</f>
        <v>1639077.6</v>
      </c>
      <c r="E7" s="3">
        <f t="shared" si="0"/>
        <v>-4547270.4000000004</v>
      </c>
      <c r="G7" s="3">
        <f>G6+C7+D7</f>
        <v>-337563.39999999991</v>
      </c>
      <c r="H7" s="11">
        <f t="shared" ref="H7:H18" si="2">-D7</f>
        <v>-1639077.6</v>
      </c>
      <c r="I7" s="11">
        <f t="shared" ref="I7:I18" si="3">-H7</f>
        <v>1639077.6</v>
      </c>
      <c r="J7" s="3">
        <f t="shared" ref="J7:J18" si="4">I7*$J$1</f>
        <v>344206.29600000003</v>
      </c>
      <c r="K7" s="11">
        <f t="shared" ref="K7:K18" si="5">I7-J7</f>
        <v>1294871.304</v>
      </c>
      <c r="L7" s="3">
        <f t="shared" ref="L7:L18" si="6">G7*$L$1/$L$2</f>
        <v>-32451.094853333325</v>
      </c>
      <c r="M7" s="3">
        <f t="shared" ref="M7:M18" si="7">(-K7/$L$2)+L7</f>
        <v>-1758946.1668533334</v>
      </c>
      <c r="N7" s="3">
        <f>M7-M6</f>
        <v>-1515082.0200533334</v>
      </c>
      <c r="P7" s="11">
        <f>SUM(N7:O7)</f>
        <v>-1515082.0200533334</v>
      </c>
      <c r="R7" s="11"/>
      <c r="S7" s="11"/>
    </row>
    <row r="8" spans="1:19" x14ac:dyDescent="0.3">
      <c r="A8" s="7">
        <v>44926</v>
      </c>
      <c r="B8" s="3">
        <f t="shared" si="1"/>
        <v>-4547270.4000000004</v>
      </c>
      <c r="C8" s="3">
        <v>-502260</v>
      </c>
      <c r="D8" s="3">
        <f t="shared" ref="D8:D11" si="8">(-$D$1/$C$2)-C8</f>
        <v>1639077.6</v>
      </c>
      <c r="E8" s="3">
        <f t="shared" si="0"/>
        <v>-3410452.8000000003</v>
      </c>
      <c r="G8" s="3">
        <f>G7+C8+D8</f>
        <v>799254.20000000019</v>
      </c>
      <c r="H8" s="11">
        <f t="shared" si="2"/>
        <v>-1639077.6</v>
      </c>
      <c r="I8" s="11">
        <f t="shared" si="3"/>
        <v>1639077.6</v>
      </c>
      <c r="J8" s="3">
        <f t="shared" si="4"/>
        <v>344206.29600000003</v>
      </c>
      <c r="K8" s="11">
        <f t="shared" si="5"/>
        <v>1294871.304</v>
      </c>
      <c r="L8" s="3">
        <f t="shared" si="6"/>
        <v>76834.970426666681</v>
      </c>
      <c r="M8" s="3">
        <f t="shared" si="7"/>
        <v>-1649660.1015733331</v>
      </c>
      <c r="N8" s="3">
        <f t="shared" ref="N8:N18" si="9">M8-M7</f>
        <v>109286.06528000021</v>
      </c>
      <c r="P8" s="11">
        <f t="shared" ref="P8:P18" si="10">SUM(N8:O8)</f>
        <v>109286.06528000021</v>
      </c>
      <c r="R8" s="11"/>
      <c r="S8" s="11"/>
    </row>
    <row r="9" spans="1:19" x14ac:dyDescent="0.3">
      <c r="A9" s="7">
        <v>45291</v>
      </c>
      <c r="B9" s="3">
        <f t="shared" si="1"/>
        <v>-3410452.8000000003</v>
      </c>
      <c r="C9" s="3">
        <v>-502260</v>
      </c>
      <c r="D9" s="3">
        <f t="shared" si="8"/>
        <v>1639077.6</v>
      </c>
      <c r="E9" s="3">
        <f t="shared" si="0"/>
        <v>-2273635.2000000002</v>
      </c>
      <c r="G9" s="3">
        <f t="shared" ref="G9:G18" si="11">G8+C9+D9</f>
        <v>1936071.8000000003</v>
      </c>
      <c r="H9" s="11">
        <f t="shared" si="2"/>
        <v>-1639077.6</v>
      </c>
      <c r="I9" s="11">
        <f t="shared" si="3"/>
        <v>1639077.6</v>
      </c>
      <c r="J9" s="3">
        <f t="shared" si="4"/>
        <v>344206.29600000003</v>
      </c>
      <c r="K9" s="11">
        <f t="shared" si="5"/>
        <v>1294871.304</v>
      </c>
      <c r="L9" s="3">
        <f t="shared" si="6"/>
        <v>186121.03570666668</v>
      </c>
      <c r="M9" s="3">
        <f t="shared" si="7"/>
        <v>-1540374.0362933332</v>
      </c>
      <c r="N9" s="3">
        <f t="shared" si="9"/>
        <v>109286.06527999998</v>
      </c>
      <c r="P9" s="11">
        <f t="shared" si="10"/>
        <v>109286.06527999998</v>
      </c>
      <c r="R9" s="11"/>
      <c r="S9" s="11"/>
    </row>
    <row r="10" spans="1:19" x14ac:dyDescent="0.3">
      <c r="A10" s="7">
        <v>45657</v>
      </c>
      <c r="B10" s="3">
        <f t="shared" si="1"/>
        <v>-2273635.2000000002</v>
      </c>
      <c r="C10" s="3">
        <v>-502260</v>
      </c>
      <c r="D10" s="3">
        <f t="shared" si="8"/>
        <v>1639077.6</v>
      </c>
      <c r="E10" s="3">
        <f t="shared" si="0"/>
        <v>-1136817.6000000001</v>
      </c>
      <c r="G10" s="3">
        <f t="shared" si="11"/>
        <v>3072889.4000000004</v>
      </c>
      <c r="H10" s="11">
        <f t="shared" si="2"/>
        <v>-1639077.6</v>
      </c>
      <c r="I10" s="11">
        <f t="shared" si="3"/>
        <v>1639077.6</v>
      </c>
      <c r="J10" s="3">
        <f t="shared" si="4"/>
        <v>344206.29600000003</v>
      </c>
      <c r="K10" s="11">
        <f t="shared" si="5"/>
        <v>1294871.304</v>
      </c>
      <c r="L10" s="3">
        <f t="shared" si="6"/>
        <v>295407.10098666669</v>
      </c>
      <c r="M10" s="3">
        <f t="shared" si="7"/>
        <v>-1431087.9710133332</v>
      </c>
      <c r="N10" s="3">
        <f t="shared" si="9"/>
        <v>109286.06527999998</v>
      </c>
      <c r="P10" s="11">
        <f t="shared" si="10"/>
        <v>109286.06527999998</v>
      </c>
      <c r="R10" s="11"/>
      <c r="S10" s="11"/>
    </row>
    <row r="11" spans="1:19" x14ac:dyDescent="0.3">
      <c r="A11" s="7">
        <v>46022</v>
      </c>
      <c r="B11" s="3">
        <f t="shared" si="1"/>
        <v>-1136817.6000000001</v>
      </c>
      <c r="C11" s="3">
        <v>-502260</v>
      </c>
      <c r="D11" s="3">
        <f t="shared" si="8"/>
        <v>1639077.6</v>
      </c>
      <c r="E11" s="3">
        <f t="shared" si="0"/>
        <v>0</v>
      </c>
      <c r="G11" s="3">
        <f t="shared" si="11"/>
        <v>4209707</v>
      </c>
      <c r="H11" s="11">
        <f t="shared" si="2"/>
        <v>-1639077.6</v>
      </c>
      <c r="I11" s="11">
        <f t="shared" si="3"/>
        <v>1639077.6</v>
      </c>
      <c r="J11" s="3">
        <f t="shared" si="4"/>
        <v>344206.29600000003</v>
      </c>
      <c r="K11" s="11">
        <f t="shared" si="5"/>
        <v>1294871.304</v>
      </c>
      <c r="L11" s="3">
        <f t="shared" si="6"/>
        <v>404693.16626666667</v>
      </c>
      <c r="M11" s="3">
        <f t="shared" si="7"/>
        <v>-1321801.9057333332</v>
      </c>
      <c r="N11" s="3">
        <f t="shared" si="9"/>
        <v>109286.06527999998</v>
      </c>
      <c r="P11" s="11">
        <f t="shared" si="10"/>
        <v>109286.06527999998</v>
      </c>
      <c r="R11" s="11"/>
      <c r="S11" s="11"/>
    </row>
    <row r="12" spans="1:19" x14ac:dyDescent="0.3">
      <c r="A12" s="7">
        <v>46387</v>
      </c>
      <c r="B12" s="3">
        <f t="shared" si="1"/>
        <v>0</v>
      </c>
      <c r="C12" s="3">
        <v>-502260</v>
      </c>
      <c r="D12" s="3">
        <f>-C12</f>
        <v>502260</v>
      </c>
      <c r="E12" s="3">
        <f t="shared" si="0"/>
        <v>0</v>
      </c>
      <c r="G12" s="3">
        <f t="shared" si="11"/>
        <v>4209707</v>
      </c>
      <c r="H12" s="11">
        <f t="shared" si="2"/>
        <v>-502260</v>
      </c>
      <c r="I12" s="11">
        <f t="shared" si="3"/>
        <v>502260</v>
      </c>
      <c r="J12" s="3">
        <f t="shared" si="4"/>
        <v>105474.59999999999</v>
      </c>
      <c r="K12" s="11">
        <f t="shared" si="5"/>
        <v>396785.4</v>
      </c>
      <c r="L12" s="3">
        <f t="shared" si="6"/>
        <v>404693.16626666667</v>
      </c>
      <c r="M12" s="3">
        <f t="shared" si="7"/>
        <v>-124354.0337333334</v>
      </c>
      <c r="N12" s="3">
        <f t="shared" si="9"/>
        <v>1197447.8719999997</v>
      </c>
      <c r="P12" s="11">
        <f t="shared" si="10"/>
        <v>1197447.8719999997</v>
      </c>
      <c r="R12" s="11"/>
      <c r="S12" s="11"/>
    </row>
    <row r="13" spans="1:19" x14ac:dyDescent="0.3">
      <c r="A13" s="7">
        <v>46752</v>
      </c>
      <c r="B13" s="3">
        <f t="shared" si="1"/>
        <v>0</v>
      </c>
      <c r="C13" s="3">
        <v>-502260</v>
      </c>
      <c r="D13" s="3">
        <f t="shared" ref="D13:D18" si="12">-C13</f>
        <v>502260</v>
      </c>
      <c r="E13" s="3">
        <f t="shared" si="0"/>
        <v>0</v>
      </c>
      <c r="G13" s="3">
        <f t="shared" si="11"/>
        <v>4209707</v>
      </c>
      <c r="H13" s="11">
        <f t="shared" si="2"/>
        <v>-502260</v>
      </c>
      <c r="I13" s="11">
        <f t="shared" si="3"/>
        <v>502260</v>
      </c>
      <c r="J13" s="3">
        <f t="shared" si="4"/>
        <v>105474.59999999999</v>
      </c>
      <c r="K13" s="11">
        <f t="shared" si="5"/>
        <v>396785.4</v>
      </c>
      <c r="L13" s="3">
        <f t="shared" si="6"/>
        <v>404693.16626666667</v>
      </c>
      <c r="M13" s="3">
        <f t="shared" si="7"/>
        <v>-124354.0337333334</v>
      </c>
      <c r="N13" s="3">
        <f t="shared" si="9"/>
        <v>0</v>
      </c>
      <c r="P13" s="11">
        <f t="shared" si="10"/>
        <v>0</v>
      </c>
      <c r="R13" s="11"/>
      <c r="S13" s="11"/>
    </row>
    <row r="14" spans="1:19" x14ac:dyDescent="0.3">
      <c r="A14" s="7">
        <v>47118</v>
      </c>
      <c r="B14" s="3">
        <f t="shared" si="1"/>
        <v>0</v>
      </c>
      <c r="C14" s="3">
        <v>-502260</v>
      </c>
      <c r="D14" s="3">
        <f t="shared" si="12"/>
        <v>502260</v>
      </c>
      <c r="E14" s="3">
        <f t="shared" si="0"/>
        <v>0</v>
      </c>
      <c r="G14" s="3">
        <f t="shared" si="11"/>
        <v>4209707</v>
      </c>
      <c r="H14" s="11">
        <f t="shared" si="2"/>
        <v>-502260</v>
      </c>
      <c r="I14" s="11">
        <f t="shared" si="3"/>
        <v>502260</v>
      </c>
      <c r="J14" s="3">
        <f t="shared" si="4"/>
        <v>105474.59999999999</v>
      </c>
      <c r="K14" s="11">
        <f t="shared" si="5"/>
        <v>396785.4</v>
      </c>
      <c r="L14" s="3">
        <f t="shared" si="6"/>
        <v>404693.16626666667</v>
      </c>
      <c r="M14" s="3">
        <f t="shared" si="7"/>
        <v>-124354.0337333334</v>
      </c>
      <c r="N14" s="3">
        <f t="shared" si="9"/>
        <v>0</v>
      </c>
      <c r="P14" s="11">
        <f t="shared" si="10"/>
        <v>0</v>
      </c>
      <c r="R14" s="11"/>
      <c r="S14" s="11"/>
    </row>
    <row r="15" spans="1:19" x14ac:dyDescent="0.3">
      <c r="A15" s="7">
        <v>47483</v>
      </c>
      <c r="B15" s="3">
        <f t="shared" si="1"/>
        <v>0</v>
      </c>
      <c r="C15" s="3">
        <v>-502260</v>
      </c>
      <c r="D15" s="3">
        <f t="shared" si="12"/>
        <v>502260</v>
      </c>
      <c r="E15" s="3">
        <f t="shared" si="0"/>
        <v>0</v>
      </c>
      <c r="G15" s="3">
        <f t="shared" si="11"/>
        <v>4209707</v>
      </c>
      <c r="H15" s="11">
        <f t="shared" si="2"/>
        <v>-502260</v>
      </c>
      <c r="I15" s="11">
        <f t="shared" si="3"/>
        <v>502260</v>
      </c>
      <c r="J15" s="3">
        <f t="shared" si="4"/>
        <v>105474.59999999999</v>
      </c>
      <c r="K15" s="11">
        <f t="shared" si="5"/>
        <v>396785.4</v>
      </c>
      <c r="L15" s="3">
        <f t="shared" si="6"/>
        <v>404693.16626666667</v>
      </c>
      <c r="M15" s="3">
        <f t="shared" si="7"/>
        <v>-124354.0337333334</v>
      </c>
      <c r="N15" s="3">
        <f t="shared" si="9"/>
        <v>0</v>
      </c>
      <c r="P15" s="11">
        <f t="shared" si="10"/>
        <v>0</v>
      </c>
      <c r="R15" s="11"/>
      <c r="S15" s="11"/>
    </row>
    <row r="16" spans="1:19" x14ac:dyDescent="0.3">
      <c r="A16" s="7">
        <v>47848</v>
      </c>
      <c r="B16" s="3">
        <f t="shared" si="1"/>
        <v>0</v>
      </c>
      <c r="C16" s="3">
        <v>-502260</v>
      </c>
      <c r="D16" s="3">
        <f t="shared" si="12"/>
        <v>502260</v>
      </c>
      <c r="E16" s="3">
        <f t="shared" si="0"/>
        <v>0</v>
      </c>
      <c r="G16" s="3">
        <f t="shared" si="11"/>
        <v>4209707</v>
      </c>
      <c r="H16" s="11">
        <f t="shared" si="2"/>
        <v>-502260</v>
      </c>
      <c r="I16" s="11">
        <f t="shared" si="3"/>
        <v>502260</v>
      </c>
      <c r="J16" s="3">
        <f t="shared" si="4"/>
        <v>105474.59999999999</v>
      </c>
      <c r="K16" s="11">
        <f t="shared" si="5"/>
        <v>396785.4</v>
      </c>
      <c r="L16" s="3">
        <f t="shared" si="6"/>
        <v>404693.16626666667</v>
      </c>
      <c r="M16" s="3">
        <f t="shared" si="7"/>
        <v>-124354.0337333334</v>
      </c>
      <c r="N16" s="3">
        <f t="shared" si="9"/>
        <v>0</v>
      </c>
      <c r="P16" s="11">
        <f t="shared" si="10"/>
        <v>0</v>
      </c>
      <c r="R16" s="11"/>
      <c r="S16" s="11"/>
    </row>
    <row r="17" spans="1:19" x14ac:dyDescent="0.3">
      <c r="A17" s="7">
        <v>48213</v>
      </c>
      <c r="B17" s="3">
        <f t="shared" si="1"/>
        <v>0</v>
      </c>
      <c r="C17" s="3">
        <v>-502260</v>
      </c>
      <c r="D17" s="3">
        <f t="shared" si="12"/>
        <v>502260</v>
      </c>
      <c r="E17" s="3">
        <f t="shared" si="0"/>
        <v>0</v>
      </c>
      <c r="G17" s="3">
        <f t="shared" si="11"/>
        <v>4209707</v>
      </c>
      <c r="H17" s="11">
        <f t="shared" si="2"/>
        <v>-502260</v>
      </c>
      <c r="I17" s="11">
        <f t="shared" si="3"/>
        <v>502260</v>
      </c>
      <c r="J17" s="3">
        <f t="shared" si="4"/>
        <v>105474.59999999999</v>
      </c>
      <c r="K17" s="11">
        <f t="shared" si="5"/>
        <v>396785.4</v>
      </c>
      <c r="L17" s="3">
        <f t="shared" si="6"/>
        <v>404693.16626666667</v>
      </c>
      <c r="M17" s="3">
        <f t="shared" si="7"/>
        <v>-124354.0337333334</v>
      </c>
      <c r="N17" s="3">
        <f t="shared" si="9"/>
        <v>0</v>
      </c>
      <c r="P17" s="11">
        <f t="shared" si="10"/>
        <v>0</v>
      </c>
      <c r="R17" s="11"/>
      <c r="S17" s="11"/>
    </row>
    <row r="18" spans="1:19" x14ac:dyDescent="0.3">
      <c r="A18" s="7">
        <v>48579</v>
      </c>
      <c r="B18" s="3">
        <f t="shared" si="1"/>
        <v>0</v>
      </c>
      <c r="C18" s="3">
        <v>-502260</v>
      </c>
      <c r="D18" s="3">
        <f t="shared" si="12"/>
        <v>502260</v>
      </c>
      <c r="E18" s="3">
        <f t="shared" si="0"/>
        <v>0</v>
      </c>
      <c r="G18" s="3">
        <f t="shared" si="11"/>
        <v>4209707</v>
      </c>
      <c r="H18" s="11">
        <f t="shared" si="2"/>
        <v>-502260</v>
      </c>
      <c r="I18" s="11">
        <f t="shared" si="3"/>
        <v>502260</v>
      </c>
      <c r="J18" s="3">
        <f t="shared" si="4"/>
        <v>105474.59999999999</v>
      </c>
      <c r="K18" s="11">
        <f t="shared" si="5"/>
        <v>396785.4</v>
      </c>
      <c r="L18" s="3">
        <f t="shared" si="6"/>
        <v>404693.16626666667</v>
      </c>
      <c r="M18" s="3">
        <f t="shared" si="7"/>
        <v>-124354.0337333334</v>
      </c>
      <c r="N18" s="3">
        <f t="shared" si="9"/>
        <v>0</v>
      </c>
      <c r="P18" s="11">
        <f t="shared" si="10"/>
        <v>0</v>
      </c>
      <c r="R18" s="11"/>
      <c r="S18" s="11"/>
    </row>
    <row r="19" spans="1:19" x14ac:dyDescent="0.3">
      <c r="C19" s="3"/>
      <c r="D19" s="3"/>
      <c r="E19" s="3"/>
    </row>
    <row r="20" spans="1:19" x14ac:dyDescent="0.3">
      <c r="G20" t="s">
        <v>36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A08A98646D534B82D0990F27BFBC3C" ma:contentTypeVersion="52" ma:contentTypeDescription="" ma:contentTypeScope="" ma:versionID="dd3c9ba9876fec2b89245930455a71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200901</DocketNumber>
    <Prefix xmlns="dc463f71-b30c-4ab2-9473-d307f9d35888">UG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Suspended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7059D5C-AFEF-4326-BEBD-DC641618062E}"/>
</file>

<file path=customXml/itemProps2.xml><?xml version="1.0" encoding="utf-8"?>
<ds:datastoreItem xmlns:ds="http://schemas.openxmlformats.org/officeDocument/2006/customXml" ds:itemID="{5B5DD803-79DA-44C4-9D14-28EE9CDB7D84}"/>
</file>

<file path=customXml/itemProps3.xml><?xml version="1.0" encoding="utf-8"?>
<ds:datastoreItem xmlns:ds="http://schemas.openxmlformats.org/officeDocument/2006/customXml" ds:itemID="{F3912407-6A23-4D43-81AE-D1F702A4F89C}"/>
</file>

<file path=customXml/itemProps4.xml><?xml version="1.0" encoding="utf-8"?>
<ds:datastoreItem xmlns:ds="http://schemas.openxmlformats.org/officeDocument/2006/customXml" ds:itemID="{76EA911C-8C8E-4A5E-A79C-5E67F8E1AD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Table 9.29.2020</vt:lpstr>
      <vt:lpstr>Allocation 9.29.2020</vt:lpstr>
      <vt:lpstr>Meter Add</vt:lpstr>
      <vt:lpstr>Table</vt:lpstr>
      <vt:lpstr>Allocation</vt:lpstr>
      <vt:lpstr>WA E - Analysis</vt:lpstr>
      <vt:lpstr>ID E - Analysis</vt:lpstr>
      <vt:lpstr>WA - G Analysis</vt:lpstr>
      <vt:lpstr>ID G - Analysis</vt:lpstr>
      <vt:lpstr>OR G - Analysis</vt:lpstr>
      <vt:lpstr>Back-up Info</vt:lpstr>
      <vt:lpstr>'Allocation 9.29.2020'!Print_Area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Pluth, Jeanne</dc:creator>
  <cp:lastModifiedBy>Pluth, Jeanne</cp:lastModifiedBy>
  <cp:lastPrinted>2020-10-06T17:08:46Z</cp:lastPrinted>
  <dcterms:created xsi:type="dcterms:W3CDTF">2020-04-14T14:12:04Z</dcterms:created>
  <dcterms:modified xsi:type="dcterms:W3CDTF">2020-10-06T17:09:31Z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0x0101006E56B4D1795A2E4DB2F0B01679ED314A0027A08A98646D534B82D0990F27BFBC3C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