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570" yWindow="-210" windowWidth="22755" windowHeight="12300" tabRatio="838"/>
  </bookViews>
  <sheets>
    <sheet name="PROP0SED RATES-2016" sheetId="54" r:id="rId1"/>
    <sheet name="RR SUMMARY" sheetId="55" r:id="rId2"/>
    <sheet name="CF" sheetId="56" r:id="rId3"/>
    <sheet name="ADJ DETAIL INPUT" sheetId="1" r:id="rId4"/>
    <sheet name="LEAD SHEETS-DO NOT ENTER" sheetId="76" r:id="rId5"/>
    <sheet name="ADJ SUMMARY" sheetId="3" r:id="rId6"/>
    <sheet name="DEBT CALC" sheetId="75" r:id="rId7"/>
    <sheet name="ROO INPUT" sheetId="5" r:id="rId8"/>
  </sheets>
  <externalReferences>
    <externalReference r:id="rId9"/>
    <externalReference r:id="rId10"/>
    <externalReference r:id="rId11"/>
  </externalReferences>
  <definedNames>
    <definedName name="ID_Elec" localSheetId="2">[1]DebtCalc!#REF!</definedName>
    <definedName name="ID_Elec" localSheetId="6">'DEBT CALC'!$A$79:$F$156</definedName>
    <definedName name="ID_Elec" localSheetId="4">#REF!</definedName>
    <definedName name="ID_Elec" localSheetId="0">[2]DebtCalc!#REF!</definedName>
    <definedName name="ID_Elec" localSheetId="1">[2]DebtCalc!#REF!</definedName>
    <definedName name="ID_Gas" localSheetId="6">'DEBT CALC'!#REF!</definedName>
    <definedName name="ID_Gas" localSheetId="4">#REF!</definedName>
    <definedName name="_xlnm.Print_Area" localSheetId="3">'ADJ DETAIL INPUT'!$A$2:$AR$88</definedName>
    <definedName name="_xlnm.Print_Area" localSheetId="5">'ADJ SUMMARY'!$A$1:$F$48</definedName>
    <definedName name="_xlnm.Print_Area" localSheetId="2">CF!$A$1:$E$27</definedName>
    <definedName name="_xlnm.Print_Area" localSheetId="6">'DEBT CALC'!$A$1:$I$57</definedName>
    <definedName name="_xlnm.Print_Area" localSheetId="4">'LEAD SHEETS-DO NOT ENTER'!$A$2:$AJ$82</definedName>
    <definedName name="_xlnm.Print_Area" localSheetId="0">'PROP0SED RATES-2016'!$A$2:$J$82</definedName>
    <definedName name="_xlnm.Print_Area" localSheetId="7">'ROO INPUT'!$A$3:$G$82</definedName>
    <definedName name="_xlnm.Print_Area" localSheetId="1">'RR SUMMARY'!$A$1:$H$45,'RR SUMMARY'!$I$1:$N$22</definedName>
    <definedName name="Print_for_Checking" localSheetId="6">'[3]ADJ SUMMARY'!$A$1:'[3]ADJ SUMMARY'!#REF!</definedName>
    <definedName name="_xlnm.Print_Titles" localSheetId="3">'ADJ DETAIL INPUT'!$A:$D,'ADJ DETAIL INPUT'!$2:$11</definedName>
    <definedName name="_xlnm.Print_Titles" localSheetId="4">'LEAD SHEETS-DO NOT ENTER'!$A:$D,'LEAD SHEETS-DO NOT ENTER'!$2:$11</definedName>
    <definedName name="Summary" localSheetId="6">#REF!</definedName>
    <definedName name="Summary" localSheetId="4">#REF!</definedName>
    <definedName name="WA_Elec" localSheetId="2">[1]DebtCalc!#REF!</definedName>
    <definedName name="WA_Elec" localSheetId="6">'DEBT CALC'!$A$1:$F$78</definedName>
    <definedName name="WA_Elec" localSheetId="4">#REF!</definedName>
    <definedName name="WA_Elec" localSheetId="0">[2]DebtCalc!#REF!</definedName>
    <definedName name="WA_Elec" localSheetId="1">[2]DebtCalc!#REF!</definedName>
    <definedName name="WA_Gas" localSheetId="6">'DEBT CALC'!#REF!</definedName>
    <definedName name="WA_Gas" localSheetId="4">#REF!</definedName>
    <definedName name="Z_5BE913A1_B14F_11D2_B0DC_0000832CDFF0_.wvu.Cols" localSheetId="3" hidden="1">'ADJ DETAIL INPUT'!$U:$AG</definedName>
    <definedName name="Z_5BE913A1_B14F_11D2_B0DC_0000832CDFF0_.wvu.Cols" localSheetId="4" hidden="1">'LEAD SHEETS-DO NOT ENTER'!$W:$Z</definedName>
    <definedName name="Z_5BE913A1_B14F_11D2_B0DC_0000832CDFF0_.wvu.PrintArea" localSheetId="3" hidden="1">'ADJ DETAIL INPUT'!$E$12:$AG$83</definedName>
    <definedName name="Z_5BE913A1_B14F_11D2_B0DC_0000832CDFF0_.wvu.PrintArea" localSheetId="5" hidden="1">'ADJ SUMMARY'!$A$1:$G$62</definedName>
    <definedName name="Z_5BE913A1_B14F_11D2_B0DC_0000832CDFF0_.wvu.PrintArea" localSheetId="4" hidden="1">'LEAD SHEETS-DO NOT ENTER'!$E$12:$Z$83</definedName>
    <definedName name="Z_5BE913A1_B14F_11D2_B0DC_0000832CDFF0_.wvu.PrintArea" localSheetId="7" hidden="1">'ROO INPUT'!$A$3:$G$82</definedName>
    <definedName name="Z_5BE913A1_B14F_11D2_B0DC_0000832CDFF0_.wvu.PrintTitles" localSheetId="3" hidden="1">'ADJ DETAIL INPUT'!$A:$D,'ADJ DETAIL INPUT'!$2:$11</definedName>
    <definedName name="Z_5BE913A1_B14F_11D2_B0DC_0000832CDFF0_.wvu.PrintTitles" localSheetId="4" hidden="1">'LEAD SHEETS-DO NOT ENTER'!$A:$D,'LEAD SHEETS-DO NOT ENTER'!$2:$11</definedName>
    <definedName name="Z_5BE913A1_B14F_11D2_B0DC_0000832CDFF0_.wvu.Rows" localSheetId="5" hidden="1">'ADJ SUMMARY'!$25:$25,'ADJ SUMMARY'!$29:$58,'ADJ SUMMARY'!#REF!</definedName>
    <definedName name="Z_A15D1964_B049_11D2_8670_0000832CEEE8_.wvu.Cols" localSheetId="3" hidden="1">'ADJ DETAIL INPUT'!$U:$AG</definedName>
    <definedName name="Z_A15D1964_B049_11D2_8670_0000832CEEE8_.wvu.Cols" localSheetId="4" hidden="1">'LEAD SHEETS-DO NOT ENTER'!$W:$Z</definedName>
    <definedName name="Z_A15D1964_B049_11D2_8670_0000832CEEE8_.wvu.PrintArea" localSheetId="3" hidden="1">'ADJ DETAIL INPUT'!$E$12:$AG$83</definedName>
    <definedName name="Z_A15D1964_B049_11D2_8670_0000832CEEE8_.wvu.PrintArea" localSheetId="5" hidden="1">'ADJ SUMMARY'!$A$1:$G$62</definedName>
    <definedName name="Z_A15D1964_B049_11D2_8670_0000832CEEE8_.wvu.PrintArea" localSheetId="4" hidden="1">'LEAD SHEETS-DO NOT ENTER'!$E$12:$Z$83</definedName>
    <definedName name="Z_A15D1964_B049_11D2_8670_0000832CEEE8_.wvu.PrintArea" localSheetId="7" hidden="1">'ROO INPUT'!$A$3:$G$82</definedName>
    <definedName name="Z_A15D1964_B049_11D2_8670_0000832CEEE8_.wvu.PrintTitles" localSheetId="3" hidden="1">'ADJ DETAIL INPUT'!$A:$D,'ADJ DETAIL INPUT'!$2:$11</definedName>
    <definedName name="Z_A15D1964_B049_11D2_8670_0000832CEEE8_.wvu.PrintTitles" localSheetId="4" hidden="1">'LEAD SHEETS-DO NOT ENTER'!$A:$D,'LEAD SHEETS-DO NOT ENTER'!$2:$11</definedName>
    <definedName name="Z_A15D1964_B049_11D2_8670_0000832CEEE8_.wvu.Rows" localSheetId="5" hidden="1">'ADJ SUMMARY'!$25:$25,'ADJ SUMMARY'!$29:$58,'ADJ SUMMARY'!#REF!</definedName>
  </definedNames>
  <calcPr calcId="125725"/>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AN11" i="1"/>
  <c r="AL11"/>
  <c r="AP55"/>
  <c r="AO55"/>
  <c r="O14" i="55"/>
  <c r="X8" i="76"/>
  <c r="X9"/>
  <c r="X10"/>
  <c r="X12"/>
  <c r="X15"/>
  <c r="X16"/>
  <c r="X17"/>
  <c r="X22"/>
  <c r="X25" s="1"/>
  <c r="X23"/>
  <c r="X24"/>
  <c r="X28"/>
  <c r="X29"/>
  <c r="X30"/>
  <c r="X34"/>
  <c r="X35"/>
  <c r="X36"/>
  <c r="X39"/>
  <c r="X40"/>
  <c r="X41"/>
  <c r="X44"/>
  <c r="X45"/>
  <c r="X46"/>
  <c r="X47"/>
  <c r="X56"/>
  <c r="X57"/>
  <c r="X63"/>
  <c r="X64"/>
  <c r="X65"/>
  <c r="X69"/>
  <c r="X70"/>
  <c r="X71"/>
  <c r="X74"/>
  <c r="X76"/>
  <c r="X77"/>
  <c r="X78"/>
  <c r="X79"/>
  <c r="N13" i="55"/>
  <c r="X18" i="76" l="1"/>
  <c r="X48"/>
  <c r="X66"/>
  <c r="X37"/>
  <c r="X31"/>
  <c r="X72"/>
  <c r="X73" s="1"/>
  <c r="X75" s="1"/>
  <c r="X82" s="1"/>
  <c r="Z37" i="1"/>
  <c r="Y37"/>
  <c r="X49" i="76" l="1"/>
  <c r="X51" s="1"/>
  <c r="AF74" i="1"/>
  <c r="AF65"/>
  <c r="AF45"/>
  <c r="AH74"/>
  <c r="AH65"/>
  <c r="AH45"/>
  <c r="AH11"/>
  <c r="Y34" i="76" l="1"/>
  <c r="Y39"/>
  <c r="Y40"/>
  <c r="Y44"/>
  <c r="Y41"/>
  <c r="AI71" i="1"/>
  <c r="AI45" l="1"/>
  <c r="AH71"/>
  <c r="AF71"/>
  <c r="AF64"/>
  <c r="AI65"/>
  <c r="Q35" i="76"/>
  <c r="AE44" i="1"/>
  <c r="AE39"/>
  <c r="AE36"/>
  <c r="S44"/>
  <c r="S39"/>
  <c r="S36"/>
  <c r="R44"/>
  <c r="R39"/>
  <c r="R36"/>
  <c r="M18"/>
  <c r="M25"/>
  <c r="M31"/>
  <c r="M37"/>
  <c r="M48"/>
  <c r="M66"/>
  <c r="M72"/>
  <c r="F78" i="5"/>
  <c r="F65"/>
  <c r="F46"/>
  <c r="F29"/>
  <c r="F23"/>
  <c r="M49" i="1" l="1"/>
  <c r="M51" s="1"/>
  <c r="M54" s="1"/>
  <c r="M73"/>
  <c r="M75" s="1"/>
  <c r="M82" s="1"/>
  <c r="F197" i="5"/>
  <c r="F102"/>
  <c r="C42" i="3"/>
  <c r="B39" i="75" s="1"/>
  <c r="C44" i="3"/>
  <c r="B42" i="75" s="1"/>
  <c r="B42" i="3"/>
  <c r="B44"/>
  <c r="C36"/>
  <c r="B35" i="75" s="1"/>
  <c r="B36" i="3"/>
  <c r="C22"/>
  <c r="B25" i="75" s="1"/>
  <c r="B22" i="3"/>
  <c r="AG10" i="76"/>
  <c r="AI10"/>
  <c r="AE8"/>
  <c r="AF8"/>
  <c r="AH8"/>
  <c r="AE9"/>
  <c r="AF9"/>
  <c r="AH9"/>
  <c r="AE10"/>
  <c r="AF10"/>
  <c r="AE12"/>
  <c r="AF12"/>
  <c r="AH12"/>
  <c r="AE15"/>
  <c r="AF15"/>
  <c r="AH15"/>
  <c r="AE16"/>
  <c r="AF16"/>
  <c r="AH16"/>
  <c r="AE17"/>
  <c r="AF17"/>
  <c r="AH17"/>
  <c r="AE22"/>
  <c r="AF22"/>
  <c r="AH22"/>
  <c r="AE23"/>
  <c r="AF23"/>
  <c r="AH23"/>
  <c r="AE24"/>
  <c r="AF24"/>
  <c r="AH24"/>
  <c r="AE28"/>
  <c r="AF28"/>
  <c r="AH28"/>
  <c r="AE29"/>
  <c r="AF29"/>
  <c r="AH29"/>
  <c r="AE30"/>
  <c r="AF30"/>
  <c r="AH30"/>
  <c r="AE34"/>
  <c r="AF34"/>
  <c r="AH34"/>
  <c r="AE35"/>
  <c r="AF35"/>
  <c r="AH35"/>
  <c r="AE36"/>
  <c r="AF36"/>
  <c r="AH36"/>
  <c r="AE39"/>
  <c r="AF39"/>
  <c r="AH39"/>
  <c r="AE40"/>
  <c r="AF40"/>
  <c r="AH40"/>
  <c r="AE41"/>
  <c r="AF41"/>
  <c r="AH41"/>
  <c r="AE44"/>
  <c r="AF44"/>
  <c r="AE45"/>
  <c r="AF45"/>
  <c r="AH45"/>
  <c r="AE46"/>
  <c r="AF46"/>
  <c r="AH46"/>
  <c r="AE47"/>
  <c r="AF47"/>
  <c r="AH47"/>
  <c r="AE56"/>
  <c r="AF56"/>
  <c r="AH56"/>
  <c r="AE57"/>
  <c r="AF57"/>
  <c r="AH57"/>
  <c r="AE63"/>
  <c r="AF63"/>
  <c r="AH63"/>
  <c r="AE64"/>
  <c r="AF64"/>
  <c r="AH64"/>
  <c r="AE65"/>
  <c r="AF65"/>
  <c r="AH65"/>
  <c r="AE69"/>
  <c r="AF69"/>
  <c r="AH69"/>
  <c r="AE70"/>
  <c r="AF70"/>
  <c r="AH70"/>
  <c r="AE71"/>
  <c r="AF71"/>
  <c r="AH71"/>
  <c r="AE74"/>
  <c r="AF74"/>
  <c r="AH74"/>
  <c r="AE76"/>
  <c r="AF76"/>
  <c r="AH76"/>
  <c r="AE77"/>
  <c r="AF77"/>
  <c r="AH77"/>
  <c r="AE78"/>
  <c r="AF78"/>
  <c r="AH78"/>
  <c r="AE79"/>
  <c r="AF79"/>
  <c r="AH79"/>
  <c r="AJ8"/>
  <c r="AI8"/>
  <c r="AG8"/>
  <c r="AJ9"/>
  <c r="AI9"/>
  <c r="AG9"/>
  <c r="AJ10"/>
  <c r="AJ12"/>
  <c r="AI12"/>
  <c r="AG12"/>
  <c r="AJ15"/>
  <c r="AI15"/>
  <c r="AG15"/>
  <c r="AJ16"/>
  <c r="AI16"/>
  <c r="AG16"/>
  <c r="AJ17"/>
  <c r="AI17"/>
  <c r="AG17"/>
  <c r="AJ22"/>
  <c r="AI22"/>
  <c r="AG22"/>
  <c r="AJ23"/>
  <c r="AI23"/>
  <c r="AG23"/>
  <c r="AJ24"/>
  <c r="AI24"/>
  <c r="AG24"/>
  <c r="AJ28"/>
  <c r="AI28"/>
  <c r="AG28"/>
  <c r="AJ29"/>
  <c r="AI29"/>
  <c r="AG29"/>
  <c r="AJ30"/>
  <c r="AI30"/>
  <c r="AG30"/>
  <c r="AJ34"/>
  <c r="AI34"/>
  <c r="AG34"/>
  <c r="AJ35"/>
  <c r="AI35"/>
  <c r="AG35"/>
  <c r="AJ36"/>
  <c r="AI36"/>
  <c r="AG36"/>
  <c r="AJ39"/>
  <c r="AI39"/>
  <c r="AG39"/>
  <c r="AJ40"/>
  <c r="AI40"/>
  <c r="AG40"/>
  <c r="AJ41"/>
  <c r="AI41"/>
  <c r="AG41"/>
  <c r="AJ44"/>
  <c r="AI44"/>
  <c r="AG44"/>
  <c r="AJ45"/>
  <c r="AI45"/>
  <c r="AG45"/>
  <c r="AJ46"/>
  <c r="AI46"/>
  <c r="AG46"/>
  <c r="AJ47"/>
  <c r="AI47"/>
  <c r="AG47"/>
  <c r="AJ56"/>
  <c r="AI56"/>
  <c r="AG56"/>
  <c r="AJ57"/>
  <c r="AI57"/>
  <c r="AG57"/>
  <c r="AJ63"/>
  <c r="AI63"/>
  <c r="AG63"/>
  <c r="AJ64"/>
  <c r="AI64"/>
  <c r="AG64"/>
  <c r="AJ65"/>
  <c r="AI65"/>
  <c r="AG65"/>
  <c r="AJ69"/>
  <c r="AI69"/>
  <c r="AG69"/>
  <c r="AJ70"/>
  <c r="AI70"/>
  <c r="AG70"/>
  <c r="AJ71"/>
  <c r="AI71"/>
  <c r="AG71"/>
  <c r="AJ74"/>
  <c r="AI74"/>
  <c r="AG74"/>
  <c r="AJ76"/>
  <c r="AI76"/>
  <c r="AG76"/>
  <c r="AJ77"/>
  <c r="AI77"/>
  <c r="AG77"/>
  <c r="AJ78"/>
  <c r="AI78"/>
  <c r="AG78"/>
  <c r="AJ79"/>
  <c r="AI79"/>
  <c r="AG79"/>
  <c r="S8"/>
  <c r="S9"/>
  <c r="S10"/>
  <c r="S12"/>
  <c r="S15"/>
  <c r="S16"/>
  <c r="S17"/>
  <c r="S22"/>
  <c r="S23"/>
  <c r="S24"/>
  <c r="S28"/>
  <c r="S29"/>
  <c r="S30"/>
  <c r="S34"/>
  <c r="S35"/>
  <c r="S36"/>
  <c r="S39"/>
  <c r="S40"/>
  <c r="S41"/>
  <c r="S44"/>
  <c r="S45"/>
  <c r="S46"/>
  <c r="S47"/>
  <c r="S56"/>
  <c r="S57"/>
  <c r="S63"/>
  <c r="S64"/>
  <c r="S65"/>
  <c r="S69"/>
  <c r="S70"/>
  <c r="S71"/>
  <c r="S74"/>
  <c r="S76"/>
  <c r="S77"/>
  <c r="S78"/>
  <c r="S79"/>
  <c r="AL72" i="1"/>
  <c r="AL66"/>
  <c r="AL48"/>
  <c r="AL37"/>
  <c r="AL31"/>
  <c r="AL25"/>
  <c r="AL18"/>
  <c r="AJ66" i="76" l="1"/>
  <c r="AE18"/>
  <c r="AJ18"/>
  <c r="AL73" i="1"/>
  <c r="AL75" s="1"/>
  <c r="AL82" s="1"/>
  <c r="AF18" i="76"/>
  <c r="AJ72"/>
  <c r="AJ37"/>
  <c r="AG37"/>
  <c r="AI25"/>
  <c r="AI72"/>
  <c r="AG66"/>
  <c r="AH72"/>
  <c r="AE25"/>
  <c r="AJ48"/>
  <c r="AG18"/>
  <c r="AE48"/>
  <c r="AH31"/>
  <c r="AH18"/>
  <c r="AI48"/>
  <c r="AJ31"/>
  <c r="AG31"/>
  <c r="AI18"/>
  <c r="AH66"/>
  <c r="AE37"/>
  <c r="AH25"/>
  <c r="AI31"/>
  <c r="AF37"/>
  <c r="AG72"/>
  <c r="AI66"/>
  <c r="AJ25"/>
  <c r="AG25"/>
  <c r="AF48"/>
  <c r="AH37"/>
  <c r="AE31"/>
  <c r="AF25"/>
  <c r="AG48"/>
  <c r="AL49" i="1"/>
  <c r="AL51" s="1"/>
  <c r="AI37" i="76"/>
  <c r="AF72"/>
  <c r="AF66"/>
  <c r="AF31"/>
  <c r="AE72"/>
  <c r="AE66"/>
  <c r="S18"/>
  <c r="S48"/>
  <c r="S37"/>
  <c r="S66"/>
  <c r="S72"/>
  <c r="S25"/>
  <c r="S31"/>
  <c r="S72" i="1"/>
  <c r="S66"/>
  <c r="S48"/>
  <c r="S37"/>
  <c r="S31"/>
  <c r="S25"/>
  <c r="S18"/>
  <c r="AI73" i="76" l="1"/>
  <c r="AI75" s="1"/>
  <c r="AI82" s="1"/>
  <c r="AF49"/>
  <c r="AF51" s="1"/>
  <c r="AH73"/>
  <c r="AH75" s="1"/>
  <c r="AH82" s="1"/>
  <c r="AJ73"/>
  <c r="AJ75" s="1"/>
  <c r="AJ82" s="1"/>
  <c r="AE49"/>
  <c r="AE51" s="1"/>
  <c r="AJ49"/>
  <c r="AJ51" s="1"/>
  <c r="AG73"/>
  <c r="AG75" s="1"/>
  <c r="AG82" s="1"/>
  <c r="AG49"/>
  <c r="AG51" s="1"/>
  <c r="E44" i="3"/>
  <c r="F42" i="75" s="1"/>
  <c r="G42" s="1"/>
  <c r="S73" i="1"/>
  <c r="S75" s="1"/>
  <c r="S82" s="1"/>
  <c r="AI49" i="76"/>
  <c r="AI51" s="1"/>
  <c r="AF73"/>
  <c r="AF75" s="1"/>
  <c r="AF82" s="1"/>
  <c r="AE73"/>
  <c r="AE75" s="1"/>
  <c r="AE82" s="1"/>
  <c r="S73"/>
  <c r="S75" s="1"/>
  <c r="S82" s="1"/>
  <c r="S49"/>
  <c r="S51" s="1"/>
  <c r="AL54" i="1"/>
  <c r="AI54" i="76" s="1"/>
  <c r="S49" i="1"/>
  <c r="S51" s="1"/>
  <c r="E22" i="3" l="1"/>
  <c r="F25" i="75" s="1"/>
  <c r="G25" s="1"/>
  <c r="S54" i="1"/>
  <c r="S54" i="76" s="1"/>
  <c r="A3" i="54"/>
  <c r="AC10" i="76" l="1"/>
  <c r="AC8"/>
  <c r="AC9"/>
  <c r="AC12"/>
  <c r="AC15"/>
  <c r="AC16"/>
  <c r="AC17"/>
  <c r="AC22"/>
  <c r="AC23"/>
  <c r="AC24"/>
  <c r="AC28"/>
  <c r="AC29"/>
  <c r="AC30"/>
  <c r="AC34"/>
  <c r="AC35"/>
  <c r="AC36"/>
  <c r="AC39"/>
  <c r="AC40"/>
  <c r="AC41"/>
  <c r="AC44"/>
  <c r="AC45"/>
  <c r="AC46"/>
  <c r="AC47"/>
  <c r="AC56"/>
  <c r="AC57"/>
  <c r="AC63"/>
  <c r="AC64"/>
  <c r="AC65"/>
  <c r="AC69"/>
  <c r="AC70"/>
  <c r="AC71"/>
  <c r="AC74"/>
  <c r="AC76"/>
  <c r="AC77"/>
  <c r="AC78"/>
  <c r="AC79"/>
  <c r="AE72" i="1"/>
  <c r="AE66"/>
  <c r="AE48"/>
  <c r="AE37"/>
  <c r="AE31"/>
  <c r="AE25"/>
  <c r="AE18"/>
  <c r="AE73" l="1"/>
  <c r="AE75" s="1"/>
  <c r="AE82" s="1"/>
  <c r="E36" i="3" s="1"/>
  <c r="F35" i="75" s="1"/>
  <c r="G35" s="1"/>
  <c r="AC25" i="76"/>
  <c r="AC18"/>
  <c r="AC31"/>
  <c r="AC72"/>
  <c r="AC37"/>
  <c r="AC66"/>
  <c r="AC48"/>
  <c r="AE49" i="1"/>
  <c r="AE51" s="1"/>
  <c r="AE54" s="1"/>
  <c r="AC54" i="76" s="1"/>
  <c r="AC73" l="1"/>
  <c r="AC75" s="1"/>
  <c r="AC82" s="1"/>
  <c r="AC49"/>
  <c r="AC51" s="1"/>
  <c r="C34" i="3"/>
  <c r="B33" i="75" s="1"/>
  <c r="B34" i="3"/>
  <c r="AH44" i="76" l="1"/>
  <c r="AH48" s="1"/>
  <c r="AH49" s="1"/>
  <c r="AH51" s="1"/>
  <c r="G8"/>
  <c r="H8"/>
  <c r="I8"/>
  <c r="J8"/>
  <c r="K8"/>
  <c r="L8"/>
  <c r="M8"/>
  <c r="N8"/>
  <c r="O8"/>
  <c r="P8"/>
  <c r="Q8"/>
  <c r="R8"/>
  <c r="T8"/>
  <c r="U8"/>
  <c r="V8"/>
  <c r="W8"/>
  <c r="Y8"/>
  <c r="Z8"/>
  <c r="AA8"/>
  <c r="AB8"/>
  <c r="AD8"/>
  <c r="G9"/>
  <c r="H9"/>
  <c r="I9"/>
  <c r="J9"/>
  <c r="K9"/>
  <c r="L9"/>
  <c r="M9"/>
  <c r="N9"/>
  <c r="O9"/>
  <c r="P9"/>
  <c r="Q9"/>
  <c r="R9"/>
  <c r="T9"/>
  <c r="U9"/>
  <c r="V9"/>
  <c r="W9"/>
  <c r="Y9"/>
  <c r="Z9"/>
  <c r="AA9"/>
  <c r="AB9"/>
  <c r="AD9"/>
  <c r="G10"/>
  <c r="I10"/>
  <c r="J10"/>
  <c r="M10"/>
  <c r="N10"/>
  <c r="O10"/>
  <c r="P10"/>
  <c r="R10"/>
  <c r="T10"/>
  <c r="U10"/>
  <c r="V10"/>
  <c r="W10"/>
  <c r="Y10"/>
  <c r="AA10"/>
  <c r="AB10"/>
  <c r="AD10"/>
  <c r="I11"/>
  <c r="W11"/>
  <c r="G12"/>
  <c r="H12"/>
  <c r="I12"/>
  <c r="J12"/>
  <c r="K12"/>
  <c r="L12"/>
  <c r="M12"/>
  <c r="N12"/>
  <c r="O12"/>
  <c r="P12"/>
  <c r="Q12"/>
  <c r="R12"/>
  <c r="T12"/>
  <c r="U12"/>
  <c r="V12"/>
  <c r="W12"/>
  <c r="Y12"/>
  <c r="Z12"/>
  <c r="AA12"/>
  <c r="AB12"/>
  <c r="AD12"/>
  <c r="G15"/>
  <c r="H15"/>
  <c r="I15"/>
  <c r="J15"/>
  <c r="K15"/>
  <c r="L15"/>
  <c r="M15"/>
  <c r="N15"/>
  <c r="O15"/>
  <c r="P15"/>
  <c r="Q15"/>
  <c r="R15"/>
  <c r="T15"/>
  <c r="U15"/>
  <c r="V15"/>
  <c r="W15"/>
  <c r="Y15"/>
  <c r="Z15"/>
  <c r="AA15"/>
  <c r="AB15"/>
  <c r="AD15"/>
  <c r="G16"/>
  <c r="H16"/>
  <c r="I16"/>
  <c r="J16"/>
  <c r="K16"/>
  <c r="L16"/>
  <c r="M16"/>
  <c r="N16"/>
  <c r="O16"/>
  <c r="P16"/>
  <c r="Q16"/>
  <c r="R16"/>
  <c r="T16"/>
  <c r="U16"/>
  <c r="V16"/>
  <c r="W16"/>
  <c r="Y16"/>
  <c r="Z16"/>
  <c r="AA16"/>
  <c r="AB16"/>
  <c r="AD16"/>
  <c r="G17"/>
  <c r="H17"/>
  <c r="I17"/>
  <c r="J17"/>
  <c r="K17"/>
  <c r="L17"/>
  <c r="M17"/>
  <c r="N17"/>
  <c r="O17"/>
  <c r="P17"/>
  <c r="Q17"/>
  <c r="R17"/>
  <c r="T17"/>
  <c r="U17"/>
  <c r="V17"/>
  <c r="W17"/>
  <c r="Y17"/>
  <c r="Z17"/>
  <c r="AA17"/>
  <c r="AB17"/>
  <c r="AD17"/>
  <c r="G22"/>
  <c r="H22"/>
  <c r="I22"/>
  <c r="J22"/>
  <c r="K22"/>
  <c r="L22"/>
  <c r="M22"/>
  <c r="N22"/>
  <c r="O22"/>
  <c r="P22"/>
  <c r="Q22"/>
  <c r="R22"/>
  <c r="T22"/>
  <c r="U22"/>
  <c r="V22"/>
  <c r="W22"/>
  <c r="Y22"/>
  <c r="Z22"/>
  <c r="AA22"/>
  <c r="AB22"/>
  <c r="AD22"/>
  <c r="G23"/>
  <c r="H23"/>
  <c r="I23"/>
  <c r="J23"/>
  <c r="K23"/>
  <c r="L23"/>
  <c r="M23"/>
  <c r="N23"/>
  <c r="O23"/>
  <c r="P23"/>
  <c r="Q23"/>
  <c r="R23"/>
  <c r="T23"/>
  <c r="U23"/>
  <c r="V23"/>
  <c r="Y23"/>
  <c r="Z23"/>
  <c r="AA23"/>
  <c r="AB23"/>
  <c r="AD23"/>
  <c r="G24"/>
  <c r="H24"/>
  <c r="I24"/>
  <c r="J24"/>
  <c r="K24"/>
  <c r="L24"/>
  <c r="M24"/>
  <c r="N24"/>
  <c r="O24"/>
  <c r="P24"/>
  <c r="Q24"/>
  <c r="R24"/>
  <c r="T24"/>
  <c r="U24"/>
  <c r="V24"/>
  <c r="W24"/>
  <c r="Y24"/>
  <c r="Z24"/>
  <c r="AA24"/>
  <c r="AB24"/>
  <c r="AD24"/>
  <c r="G28"/>
  <c r="H28"/>
  <c r="I28"/>
  <c r="J28"/>
  <c r="K28"/>
  <c r="L28"/>
  <c r="M28"/>
  <c r="N28"/>
  <c r="O28"/>
  <c r="P28"/>
  <c r="Q28"/>
  <c r="R28"/>
  <c r="T28"/>
  <c r="U28"/>
  <c r="V28"/>
  <c r="Y28"/>
  <c r="Z28"/>
  <c r="AA28"/>
  <c r="AB28"/>
  <c r="AD28"/>
  <c r="G29"/>
  <c r="H29"/>
  <c r="I29"/>
  <c r="J29"/>
  <c r="K29"/>
  <c r="L29"/>
  <c r="M29"/>
  <c r="N29"/>
  <c r="O29"/>
  <c r="P29"/>
  <c r="Q29"/>
  <c r="R29"/>
  <c r="T29"/>
  <c r="U29"/>
  <c r="V29"/>
  <c r="W29"/>
  <c r="Y29"/>
  <c r="Z29"/>
  <c r="AA29"/>
  <c r="AB29"/>
  <c r="AD29"/>
  <c r="G30"/>
  <c r="H30"/>
  <c r="I30"/>
  <c r="J30"/>
  <c r="K30"/>
  <c r="L30"/>
  <c r="M30"/>
  <c r="N30"/>
  <c r="O30"/>
  <c r="P30"/>
  <c r="Q30"/>
  <c r="R30"/>
  <c r="T30"/>
  <c r="U30"/>
  <c r="V30"/>
  <c r="W30"/>
  <c r="Y30"/>
  <c r="Z30"/>
  <c r="AA30"/>
  <c r="AB30"/>
  <c r="AD30"/>
  <c r="G34"/>
  <c r="H34"/>
  <c r="I34"/>
  <c r="J34"/>
  <c r="K34"/>
  <c r="L34"/>
  <c r="M34"/>
  <c r="N34"/>
  <c r="O34"/>
  <c r="P34"/>
  <c r="Q34"/>
  <c r="R34"/>
  <c r="T34"/>
  <c r="U34"/>
  <c r="V34"/>
  <c r="Z34"/>
  <c r="AA34"/>
  <c r="AB34"/>
  <c r="AD34"/>
  <c r="G35"/>
  <c r="H35"/>
  <c r="I35"/>
  <c r="J35"/>
  <c r="K35"/>
  <c r="L35"/>
  <c r="M35"/>
  <c r="N35"/>
  <c r="O35"/>
  <c r="P35"/>
  <c r="R35"/>
  <c r="T35"/>
  <c r="U35"/>
  <c r="V35"/>
  <c r="W35"/>
  <c r="Y35"/>
  <c r="Z35"/>
  <c r="AA35"/>
  <c r="AB35"/>
  <c r="AD35"/>
  <c r="G36"/>
  <c r="H36"/>
  <c r="I36"/>
  <c r="J36"/>
  <c r="K36"/>
  <c r="L36"/>
  <c r="M36"/>
  <c r="N36"/>
  <c r="O36"/>
  <c r="P36"/>
  <c r="Q36"/>
  <c r="R36"/>
  <c r="T36"/>
  <c r="U36"/>
  <c r="V36"/>
  <c r="W36"/>
  <c r="Y36"/>
  <c r="Z36"/>
  <c r="AA36"/>
  <c r="AB36"/>
  <c r="AD36"/>
  <c r="G39"/>
  <c r="H39"/>
  <c r="I39"/>
  <c r="J39"/>
  <c r="K39"/>
  <c r="L39"/>
  <c r="M39"/>
  <c r="N39"/>
  <c r="O39"/>
  <c r="P39"/>
  <c r="Q39"/>
  <c r="R39"/>
  <c r="T39"/>
  <c r="U39"/>
  <c r="V39"/>
  <c r="Z39"/>
  <c r="AA39"/>
  <c r="AB39"/>
  <c r="AD39"/>
  <c r="G40"/>
  <c r="H40"/>
  <c r="I40"/>
  <c r="J40"/>
  <c r="K40"/>
  <c r="L40"/>
  <c r="M40"/>
  <c r="N40"/>
  <c r="O40"/>
  <c r="P40"/>
  <c r="Q40"/>
  <c r="R40"/>
  <c r="T40"/>
  <c r="U40"/>
  <c r="V40"/>
  <c r="Z40"/>
  <c r="AA40"/>
  <c r="AB40"/>
  <c r="AD40"/>
  <c r="G41"/>
  <c r="H41"/>
  <c r="I41"/>
  <c r="J41"/>
  <c r="K41"/>
  <c r="L41"/>
  <c r="M41"/>
  <c r="N41"/>
  <c r="O41"/>
  <c r="P41"/>
  <c r="Q41"/>
  <c r="R41"/>
  <c r="T41"/>
  <c r="U41"/>
  <c r="V41"/>
  <c r="Z41"/>
  <c r="AA41"/>
  <c r="AB41"/>
  <c r="AD41"/>
  <c r="G44"/>
  <c r="H44"/>
  <c r="I44"/>
  <c r="J44"/>
  <c r="K44"/>
  <c r="L44"/>
  <c r="M44"/>
  <c r="N44"/>
  <c r="O44"/>
  <c r="P44"/>
  <c r="Q44"/>
  <c r="R44"/>
  <c r="T44"/>
  <c r="U44"/>
  <c r="V44"/>
  <c r="Z44"/>
  <c r="AA44"/>
  <c r="AB44"/>
  <c r="AD44"/>
  <c r="G45"/>
  <c r="H45"/>
  <c r="I45"/>
  <c r="J45"/>
  <c r="K45"/>
  <c r="L45"/>
  <c r="M45"/>
  <c r="N45"/>
  <c r="O45"/>
  <c r="P45"/>
  <c r="Q45"/>
  <c r="R45"/>
  <c r="T45"/>
  <c r="U45"/>
  <c r="V45"/>
  <c r="W45"/>
  <c r="Y45"/>
  <c r="Z45"/>
  <c r="AA45"/>
  <c r="AB45"/>
  <c r="G46"/>
  <c r="H46"/>
  <c r="I46"/>
  <c r="J46"/>
  <c r="K46"/>
  <c r="L46"/>
  <c r="M46"/>
  <c r="N46"/>
  <c r="O46"/>
  <c r="P46"/>
  <c r="Q46"/>
  <c r="R46"/>
  <c r="T46"/>
  <c r="U46"/>
  <c r="V46"/>
  <c r="W46"/>
  <c r="Y46"/>
  <c r="Z46"/>
  <c r="AA46"/>
  <c r="AB46"/>
  <c r="AD46"/>
  <c r="G47"/>
  <c r="H47"/>
  <c r="I47"/>
  <c r="J47"/>
  <c r="K47"/>
  <c r="L47"/>
  <c r="M47"/>
  <c r="N47"/>
  <c r="O47"/>
  <c r="P47"/>
  <c r="Q47"/>
  <c r="R47"/>
  <c r="T47"/>
  <c r="U47"/>
  <c r="V47"/>
  <c r="W47"/>
  <c r="Y47"/>
  <c r="Z47"/>
  <c r="AA47"/>
  <c r="AB47"/>
  <c r="AD47"/>
  <c r="N54"/>
  <c r="N55"/>
  <c r="V55"/>
  <c r="G56"/>
  <c r="H56"/>
  <c r="I56"/>
  <c r="J56"/>
  <c r="K56"/>
  <c r="L56"/>
  <c r="M56"/>
  <c r="N56"/>
  <c r="O56"/>
  <c r="P56"/>
  <c r="Q56"/>
  <c r="R56"/>
  <c r="T56"/>
  <c r="U56"/>
  <c r="V56"/>
  <c r="W56"/>
  <c r="Y56"/>
  <c r="Z56"/>
  <c r="AA56"/>
  <c r="AB56"/>
  <c r="AD56"/>
  <c r="G57"/>
  <c r="H57"/>
  <c r="I57"/>
  <c r="J57"/>
  <c r="K57"/>
  <c r="L57"/>
  <c r="M57"/>
  <c r="N57"/>
  <c r="O57"/>
  <c r="P57"/>
  <c r="Q57"/>
  <c r="R57"/>
  <c r="T57"/>
  <c r="U57"/>
  <c r="V57"/>
  <c r="W57"/>
  <c r="Y57"/>
  <c r="Z57"/>
  <c r="AA57"/>
  <c r="AB57"/>
  <c r="AD57"/>
  <c r="G63"/>
  <c r="H63"/>
  <c r="I63"/>
  <c r="J63"/>
  <c r="K63"/>
  <c r="L63"/>
  <c r="M63"/>
  <c r="N63"/>
  <c r="O63"/>
  <c r="P63"/>
  <c r="Q63"/>
  <c r="R63"/>
  <c r="T63"/>
  <c r="U63"/>
  <c r="V63"/>
  <c r="W63"/>
  <c r="Y63"/>
  <c r="Z63"/>
  <c r="AA63"/>
  <c r="AB63"/>
  <c r="AD63"/>
  <c r="G64"/>
  <c r="H64"/>
  <c r="I64"/>
  <c r="J64"/>
  <c r="K64"/>
  <c r="L64"/>
  <c r="M64"/>
  <c r="N64"/>
  <c r="O64"/>
  <c r="P64"/>
  <c r="Q64"/>
  <c r="R64"/>
  <c r="T64"/>
  <c r="U64"/>
  <c r="V64"/>
  <c r="W64"/>
  <c r="Y64"/>
  <c r="Z64"/>
  <c r="AA64"/>
  <c r="AB64"/>
  <c r="AD64"/>
  <c r="G65"/>
  <c r="H65"/>
  <c r="I65"/>
  <c r="J65"/>
  <c r="K65"/>
  <c r="L65"/>
  <c r="M65"/>
  <c r="N65"/>
  <c r="O65"/>
  <c r="P65"/>
  <c r="Q65"/>
  <c r="R65"/>
  <c r="T65"/>
  <c r="U65"/>
  <c r="V65"/>
  <c r="W65"/>
  <c r="Y65"/>
  <c r="Z65"/>
  <c r="AA65"/>
  <c r="AB65"/>
  <c r="G69"/>
  <c r="H69"/>
  <c r="I69"/>
  <c r="J69"/>
  <c r="K69"/>
  <c r="L69"/>
  <c r="M69"/>
  <c r="N69"/>
  <c r="O69"/>
  <c r="P69"/>
  <c r="Q69"/>
  <c r="R69"/>
  <c r="T69"/>
  <c r="U69"/>
  <c r="V69"/>
  <c r="W69"/>
  <c r="Y69"/>
  <c r="Z69"/>
  <c r="AA69"/>
  <c r="AB69"/>
  <c r="AD69"/>
  <c r="G70"/>
  <c r="H70"/>
  <c r="I70"/>
  <c r="J70"/>
  <c r="K70"/>
  <c r="L70"/>
  <c r="M70"/>
  <c r="N70"/>
  <c r="O70"/>
  <c r="P70"/>
  <c r="Q70"/>
  <c r="R70"/>
  <c r="T70"/>
  <c r="U70"/>
  <c r="V70"/>
  <c r="W70"/>
  <c r="Y70"/>
  <c r="Z70"/>
  <c r="AA70"/>
  <c r="AB70"/>
  <c r="AD70"/>
  <c r="G71"/>
  <c r="H71"/>
  <c r="I71"/>
  <c r="J71"/>
  <c r="K71"/>
  <c r="L71"/>
  <c r="M71"/>
  <c r="N71"/>
  <c r="O71"/>
  <c r="P71"/>
  <c r="Q71"/>
  <c r="R71"/>
  <c r="T71"/>
  <c r="U71"/>
  <c r="V71"/>
  <c r="W71"/>
  <c r="Y71"/>
  <c r="Z71"/>
  <c r="AA71"/>
  <c r="AB71"/>
  <c r="G74"/>
  <c r="H74"/>
  <c r="I74"/>
  <c r="J74"/>
  <c r="K74"/>
  <c r="L74"/>
  <c r="M74"/>
  <c r="N74"/>
  <c r="O74"/>
  <c r="P74"/>
  <c r="Q74"/>
  <c r="R74"/>
  <c r="T74"/>
  <c r="U74"/>
  <c r="V74"/>
  <c r="W74"/>
  <c r="Y74"/>
  <c r="Z74"/>
  <c r="AA74"/>
  <c r="AB74"/>
  <c r="AD74"/>
  <c r="G76"/>
  <c r="H76"/>
  <c r="I76"/>
  <c r="J76"/>
  <c r="K76"/>
  <c r="L76"/>
  <c r="M76"/>
  <c r="N76"/>
  <c r="O76"/>
  <c r="P76"/>
  <c r="Q76"/>
  <c r="R76"/>
  <c r="T76"/>
  <c r="U76"/>
  <c r="V76"/>
  <c r="W76"/>
  <c r="Y76"/>
  <c r="Z76"/>
  <c r="AA76"/>
  <c r="AB76"/>
  <c r="AD76"/>
  <c r="G77"/>
  <c r="H77"/>
  <c r="I77"/>
  <c r="J77"/>
  <c r="K77"/>
  <c r="L77"/>
  <c r="M77"/>
  <c r="N77"/>
  <c r="O77"/>
  <c r="P77"/>
  <c r="Q77"/>
  <c r="R77"/>
  <c r="T77"/>
  <c r="U77"/>
  <c r="V77"/>
  <c r="W77"/>
  <c r="Y77"/>
  <c r="Z77"/>
  <c r="AA77"/>
  <c r="AB77"/>
  <c r="AD77"/>
  <c r="G78"/>
  <c r="H78"/>
  <c r="I78"/>
  <c r="J78"/>
  <c r="K78"/>
  <c r="L78"/>
  <c r="M78"/>
  <c r="N78"/>
  <c r="O78"/>
  <c r="P78"/>
  <c r="Q78"/>
  <c r="R78"/>
  <c r="T78"/>
  <c r="U78"/>
  <c r="V78"/>
  <c r="W78"/>
  <c r="Y78"/>
  <c r="Z78"/>
  <c r="AA78"/>
  <c r="AB78"/>
  <c r="AD78"/>
  <c r="G79"/>
  <c r="H79"/>
  <c r="I79"/>
  <c r="J79"/>
  <c r="K79"/>
  <c r="L79"/>
  <c r="M79"/>
  <c r="N79"/>
  <c r="O79"/>
  <c r="P79"/>
  <c r="Q79"/>
  <c r="R79"/>
  <c r="T79"/>
  <c r="U79"/>
  <c r="V79"/>
  <c r="W79"/>
  <c r="Y79"/>
  <c r="Z79"/>
  <c r="AA79"/>
  <c r="AB79"/>
  <c r="AD79"/>
  <c r="G66" l="1"/>
  <c r="AB18"/>
  <c r="T18"/>
  <c r="O18"/>
  <c r="I18"/>
  <c r="W72"/>
  <c r="J72"/>
  <c r="N66"/>
  <c r="G18"/>
  <c r="H18"/>
  <c r="AA72"/>
  <c r="R72"/>
  <c r="N72"/>
  <c r="R66"/>
  <c r="J66"/>
  <c r="J73" s="1"/>
  <c r="J75" s="1"/>
  <c r="J82" s="1"/>
  <c r="AD31"/>
  <c r="Z31"/>
  <c r="V72"/>
  <c r="V66"/>
  <c r="AA31"/>
  <c r="AA18"/>
  <c r="L18"/>
  <c r="AB31"/>
  <c r="AA37"/>
  <c r="T31"/>
  <c r="H48"/>
  <c r="V48"/>
  <c r="R48"/>
  <c r="N48"/>
  <c r="J48"/>
  <c r="K72"/>
  <c r="G72"/>
  <c r="AA66"/>
  <c r="W66"/>
  <c r="H25"/>
  <c r="AB72"/>
  <c r="V31"/>
  <c r="K18"/>
  <c r="T25"/>
  <c r="G31"/>
  <c r="Q31"/>
  <c r="I31"/>
  <c r="AD25"/>
  <c r="H31"/>
  <c r="K48"/>
  <c r="G48"/>
  <c r="AD37"/>
  <c r="Y37"/>
  <c r="U37"/>
  <c r="M37"/>
  <c r="I37"/>
  <c r="H37"/>
  <c r="I25"/>
  <c r="L48"/>
  <c r="I48"/>
  <c r="O37"/>
  <c r="G37"/>
  <c r="AB37"/>
  <c r="Q37"/>
  <c r="U31"/>
  <c r="M31"/>
  <c r="Y18"/>
  <c r="Z48"/>
  <c r="O48"/>
  <c r="AD18"/>
  <c r="T48"/>
  <c r="P37"/>
  <c r="L37"/>
  <c r="Z37"/>
  <c r="P31"/>
  <c r="L31"/>
  <c r="Q25"/>
  <c r="Z25"/>
  <c r="O25"/>
  <c r="G25"/>
  <c r="P48"/>
  <c r="K31"/>
  <c r="U18"/>
  <c r="Q18"/>
  <c r="M18"/>
  <c r="AB66"/>
  <c r="Q48"/>
  <c r="V37"/>
  <c r="R37"/>
  <c r="N37"/>
  <c r="J37"/>
  <c r="L25"/>
  <c r="AB25"/>
  <c r="U25"/>
  <c r="M25"/>
  <c r="T37"/>
  <c r="P25"/>
  <c r="U48"/>
  <c r="O31"/>
  <c r="Z18"/>
  <c r="K37"/>
  <c r="K25"/>
  <c r="P18"/>
  <c r="O66"/>
  <c r="K66"/>
  <c r="Y48"/>
  <c r="Y31"/>
  <c r="Y25"/>
  <c r="AB48"/>
  <c r="O72"/>
  <c r="M48"/>
  <c r="U72"/>
  <c r="Q72"/>
  <c r="M72"/>
  <c r="I72"/>
  <c r="Z72"/>
  <c r="U66"/>
  <c r="Q66"/>
  <c r="M66"/>
  <c r="I66"/>
  <c r="Y72"/>
  <c r="Z66"/>
  <c r="T66"/>
  <c r="P66"/>
  <c r="L66"/>
  <c r="H66"/>
  <c r="AA48"/>
  <c r="V25"/>
  <c r="R25"/>
  <c r="N25"/>
  <c r="J25"/>
  <c r="V18"/>
  <c r="R18"/>
  <c r="N18"/>
  <c r="J18"/>
  <c r="T72"/>
  <c r="P72"/>
  <c r="L72"/>
  <c r="H72"/>
  <c r="Y66"/>
  <c r="AA25"/>
  <c r="R31"/>
  <c r="N31"/>
  <c r="J31"/>
  <c r="W18"/>
  <c r="AA73" l="1"/>
  <c r="AA75" s="1"/>
  <c r="AA82" s="1"/>
  <c r="V73"/>
  <c r="V75" s="1"/>
  <c r="V82" s="1"/>
  <c r="G73"/>
  <c r="G75" s="1"/>
  <c r="G82" s="1"/>
  <c r="N73"/>
  <c r="N75" s="1"/>
  <c r="N82" s="1"/>
  <c r="R73"/>
  <c r="R75" s="1"/>
  <c r="R82" s="1"/>
  <c r="W73"/>
  <c r="W75" s="1"/>
  <c r="W82" s="1"/>
  <c r="Z49"/>
  <c r="Z51" s="1"/>
  <c r="K73"/>
  <c r="K75" s="1"/>
  <c r="K82" s="1"/>
  <c r="AB73"/>
  <c r="AB75" s="1"/>
  <c r="AB82" s="1"/>
  <c r="K49"/>
  <c r="K51" s="1"/>
  <c r="H49"/>
  <c r="H51" s="1"/>
  <c r="Q49"/>
  <c r="Q51" s="1"/>
  <c r="T73"/>
  <c r="T75" s="1"/>
  <c r="T82" s="1"/>
  <c r="T49"/>
  <c r="T51" s="1"/>
  <c r="V49"/>
  <c r="V51" s="1"/>
  <c r="L49"/>
  <c r="L51" s="1"/>
  <c r="I49"/>
  <c r="I51" s="1"/>
  <c r="M49"/>
  <c r="M51" s="1"/>
  <c r="G49"/>
  <c r="G51" s="1"/>
  <c r="U49"/>
  <c r="U51" s="1"/>
  <c r="O49"/>
  <c r="O51" s="1"/>
  <c r="P49"/>
  <c r="P51" s="1"/>
  <c r="Y73"/>
  <c r="Y75" s="1"/>
  <c r="Y82" s="1"/>
  <c r="P73"/>
  <c r="P75" s="1"/>
  <c r="P82" s="1"/>
  <c r="AB49"/>
  <c r="AB51" s="1"/>
  <c r="Z73"/>
  <c r="Z75" s="1"/>
  <c r="Z82" s="1"/>
  <c r="O73"/>
  <c r="O75" s="1"/>
  <c r="O82" s="1"/>
  <c r="U73"/>
  <c r="U75" s="1"/>
  <c r="U82" s="1"/>
  <c r="AA49"/>
  <c r="AA51" s="1"/>
  <c r="Q73"/>
  <c r="Q75" s="1"/>
  <c r="Q82" s="1"/>
  <c r="R49"/>
  <c r="R51" s="1"/>
  <c r="J49"/>
  <c r="J51" s="1"/>
  <c r="I73"/>
  <c r="I75" s="1"/>
  <c r="I82" s="1"/>
  <c r="M73"/>
  <c r="M75" s="1"/>
  <c r="M82" s="1"/>
  <c r="Y49"/>
  <c r="Y51" s="1"/>
  <c r="L73"/>
  <c r="L75" s="1"/>
  <c r="L82" s="1"/>
  <c r="H73"/>
  <c r="H75" s="1"/>
  <c r="H82" s="1"/>
  <c r="N49"/>
  <c r="N51" s="1"/>
  <c r="N59" s="1"/>
  <c r="W44"/>
  <c r="W48" s="1"/>
  <c r="W39"/>
  <c r="W34"/>
  <c r="W37" s="1"/>
  <c r="AD71"/>
  <c r="AD72" s="1"/>
  <c r="AD65"/>
  <c r="AD66" s="1"/>
  <c r="AD45"/>
  <c r="AD48" s="1"/>
  <c r="AD49" s="1"/>
  <c r="AD51" s="1"/>
  <c r="AD73" l="1"/>
  <c r="AD75" s="1"/>
  <c r="AD82" s="1"/>
  <c r="AC72" i="1"/>
  <c r="AC66"/>
  <c r="AC48"/>
  <c r="AC37"/>
  <c r="AC31"/>
  <c r="AC25"/>
  <c r="AC18"/>
  <c r="Y41"/>
  <c r="W41" i="76" s="1"/>
  <c r="W40"/>
  <c r="Y28" i="1"/>
  <c r="W28" i="76" s="1"/>
  <c r="W31" s="1"/>
  <c r="W23"/>
  <c r="W25" s="1"/>
  <c r="AC73" i="1" l="1"/>
  <c r="AC75" s="1"/>
  <c r="AC82" s="1"/>
  <c r="W49" i="76"/>
  <c r="W51" s="1"/>
  <c r="AC49" i="1"/>
  <c r="AC51" s="1"/>
  <c r="F79" i="76"/>
  <c r="E34" i="3" l="1"/>
  <c r="F33" i="75" s="1"/>
  <c r="G33" s="1"/>
  <c r="AC54" i="1"/>
  <c r="AA54" i="76" s="1"/>
  <c r="F283" i="5"/>
  <c r="G73"/>
  <c r="F196"/>
  <c r="J11" i="1" l="1"/>
  <c r="J11" i="76" s="1"/>
  <c r="K11" i="1" l="1"/>
  <c r="K11" i="76" s="1"/>
  <c r="C41" i="3"/>
  <c r="B38" i="75" s="1"/>
  <c r="B41" i="3"/>
  <c r="C40"/>
  <c r="B37" i="75" s="1"/>
  <c r="B40" i="3"/>
  <c r="C13"/>
  <c r="B16" i="75" s="1"/>
  <c r="B13" i="3"/>
  <c r="L11" i="1" l="1"/>
  <c r="J72"/>
  <c r="J66"/>
  <c r="J48"/>
  <c r="J37"/>
  <c r="J31"/>
  <c r="J25"/>
  <c r="J18"/>
  <c r="L11" i="76" l="1"/>
  <c r="M11" i="1"/>
  <c r="M11" i="76" s="1"/>
  <c r="J73" i="1"/>
  <c r="J75" s="1"/>
  <c r="J82" s="1"/>
  <c r="E13" i="3" s="1"/>
  <c r="F16" i="75" s="1"/>
  <c r="J49" i="1"/>
  <c r="J51" s="1"/>
  <c r="N11" l="1"/>
  <c r="N11" i="76" s="1"/>
  <c r="G16" i="75"/>
  <c r="J54" i="1"/>
  <c r="J54" i="76" s="1"/>
  <c r="O11" i="1" l="1"/>
  <c r="O11" i="76" s="1"/>
  <c r="AH37" i="1"/>
  <c r="AH31"/>
  <c r="AH25"/>
  <c r="AH18"/>
  <c r="AI72"/>
  <c r="AI66"/>
  <c r="AI37"/>
  <c r="AI31"/>
  <c r="AI25"/>
  <c r="AI18"/>
  <c r="AI11" l="1"/>
  <c r="AJ11" s="1"/>
  <c r="AK11" s="1"/>
  <c r="AE11" i="76"/>
  <c r="P11" i="1"/>
  <c r="P11" i="76" s="1"/>
  <c r="AI73" i="1"/>
  <c r="AI75" s="1"/>
  <c r="AI82" s="1"/>
  <c r="AH72"/>
  <c r="AH48"/>
  <c r="AH49" s="1"/>
  <c r="AH51" s="1"/>
  <c r="A40" i="3"/>
  <c r="A37" i="75" s="1"/>
  <c r="AI48" i="1"/>
  <c r="AI49" s="1"/>
  <c r="AI51" s="1"/>
  <c r="AH66"/>
  <c r="AJ84" i="54"/>
  <c r="AA84" i="55"/>
  <c r="AJ82" i="56"/>
  <c r="AF81"/>
  <c r="AF11" i="76" l="1"/>
  <c r="Q11" i="1"/>
  <c r="Q11" i="76" s="1"/>
  <c r="AH73" i="1"/>
  <c r="AH75" s="1"/>
  <c r="AH82" s="1"/>
  <c r="E40" i="3" s="1"/>
  <c r="F37" i="75" s="1"/>
  <c r="G37" s="1"/>
  <c r="A41" i="3"/>
  <c r="A38" i="75" s="1"/>
  <c r="E41" i="3"/>
  <c r="F38" i="75" s="1"/>
  <c r="G38" s="1"/>
  <c r="AH54" i="1"/>
  <c r="AE54" i="76" s="1"/>
  <c r="AI54" i="1"/>
  <c r="AF54" i="76" s="1"/>
  <c r="L13" i="55"/>
  <c r="AH11" i="76" l="1"/>
  <c r="R11" i="1"/>
  <c r="C43" i="3"/>
  <c r="B40" i="75" s="1"/>
  <c r="B43" i="3"/>
  <c r="C45"/>
  <c r="B41" i="75" s="1"/>
  <c r="B45" i="3"/>
  <c r="C37"/>
  <c r="B36" i="75" s="1"/>
  <c r="B37" i="3"/>
  <c r="AK72" i="1"/>
  <c r="AK66"/>
  <c r="AK48"/>
  <c r="AK37"/>
  <c r="AK31"/>
  <c r="AK25"/>
  <c r="AK18"/>
  <c r="AJ72"/>
  <c r="AJ66"/>
  <c r="AJ48"/>
  <c r="AJ37"/>
  <c r="AJ31"/>
  <c r="AJ25"/>
  <c r="AJ18"/>
  <c r="AN72"/>
  <c r="AF72"/>
  <c r="AN66"/>
  <c r="AF66"/>
  <c r="AN48"/>
  <c r="AF48"/>
  <c r="AN37"/>
  <c r="AF37"/>
  <c r="AN31"/>
  <c r="AF31"/>
  <c r="AN25"/>
  <c r="AF25"/>
  <c r="AN18"/>
  <c r="AF18"/>
  <c r="AJ11" i="76" l="1"/>
  <c r="AK73" i="1"/>
  <c r="AK75" s="1"/>
  <c r="AK82" s="1"/>
  <c r="R11" i="76"/>
  <c r="S11" i="1"/>
  <c r="AN73"/>
  <c r="AN75" s="1"/>
  <c r="AN82" s="1"/>
  <c r="AJ73"/>
  <c r="AJ75" s="1"/>
  <c r="AJ82" s="1"/>
  <c r="AF73"/>
  <c r="AF75" s="1"/>
  <c r="AF82" s="1"/>
  <c r="AK49"/>
  <c r="AK51" s="1"/>
  <c r="AK54" s="1"/>
  <c r="AH54" i="76" s="1"/>
  <c r="A45" i="3"/>
  <c r="A41" i="75" s="1"/>
  <c r="AJ49" i="1"/>
  <c r="AJ51" s="1"/>
  <c r="AN49"/>
  <c r="AN51" s="1"/>
  <c r="AN54" s="1"/>
  <c r="AJ54" i="76" s="1"/>
  <c r="AF49" i="1"/>
  <c r="AF51" s="1"/>
  <c r="AF54" s="1"/>
  <c r="AD54" i="76" s="1"/>
  <c r="A44" i="3" l="1"/>
  <c r="A42" i="75" s="1"/>
  <c r="AI11" i="76"/>
  <c r="E42" i="3"/>
  <c r="F39" i="75" s="1"/>
  <c r="G39" s="1"/>
  <c r="T11" i="1"/>
  <c r="U11" s="1"/>
  <c r="V11" s="1"/>
  <c r="A22" i="3"/>
  <c r="A25" i="75" s="1"/>
  <c r="S11" i="76"/>
  <c r="E43" i="3"/>
  <c r="F40" i="75" s="1"/>
  <c r="G40" s="1"/>
  <c r="E45" i="3"/>
  <c r="F41" i="75" s="1"/>
  <c r="G41" s="1"/>
  <c r="E37" i="3"/>
  <c r="F36" i="75" s="1"/>
  <c r="G36" s="1"/>
  <c r="AJ54" i="1"/>
  <c r="AG54" i="76" s="1"/>
  <c r="A42" i="3" l="1"/>
  <c r="A39" i="75" s="1"/>
  <c r="AG11" i="76"/>
  <c r="T11"/>
  <c r="U11"/>
  <c r="A43" i="3"/>
  <c r="A40" i="75" s="1"/>
  <c r="F63" i="76"/>
  <c r="F8"/>
  <c r="F9"/>
  <c r="F10"/>
  <c r="F12"/>
  <c r="F15"/>
  <c r="F16"/>
  <c r="F17"/>
  <c r="F22"/>
  <c r="F23"/>
  <c r="F24"/>
  <c r="F28"/>
  <c r="F29"/>
  <c r="F30"/>
  <c r="F34"/>
  <c r="F35"/>
  <c r="F36"/>
  <c r="F39"/>
  <c r="F40"/>
  <c r="F41"/>
  <c r="F44"/>
  <c r="F45"/>
  <c r="F46"/>
  <c r="F47"/>
  <c r="F56"/>
  <c r="F57"/>
  <c r="F64"/>
  <c r="F65"/>
  <c r="F69"/>
  <c r="F70"/>
  <c r="F71"/>
  <c r="F74"/>
  <c r="F76"/>
  <c r="F77"/>
  <c r="F78"/>
  <c r="E12"/>
  <c r="E11"/>
  <c r="E10"/>
  <c r="E9"/>
  <c r="E8"/>
  <c r="A5"/>
  <c r="A4"/>
  <c r="A3"/>
  <c r="A2"/>
  <c r="V11" l="1"/>
  <c r="F72"/>
  <c r="F31"/>
  <c r="F18"/>
  <c r="F66"/>
  <c r="F25"/>
  <c r="F37"/>
  <c r="F48"/>
  <c r="F73" l="1"/>
  <c r="F75" s="1"/>
  <c r="F49"/>
  <c r="F51" s="1"/>
  <c r="W11" i="1" l="1"/>
  <c r="T37"/>
  <c r="T31"/>
  <c r="T25"/>
  <c r="T18"/>
  <c r="P37" l="1"/>
  <c r="O37"/>
  <c r="W37"/>
  <c r="Q37"/>
  <c r="P31"/>
  <c r="O31"/>
  <c r="W31"/>
  <c r="Q31"/>
  <c r="P25"/>
  <c r="O25"/>
  <c r="W25"/>
  <c r="Q25"/>
  <c r="P18"/>
  <c r="O18"/>
  <c r="W18"/>
  <c r="Q18"/>
  <c r="N15" i="55" l="1"/>
  <c r="G52" i="75" l="1"/>
  <c r="G15" i="5" l="1"/>
  <c r="G16"/>
  <c r="G17"/>
  <c r="G18"/>
  <c r="G22"/>
  <c r="G23"/>
  <c r="G24"/>
  <c r="G25"/>
  <c r="G28"/>
  <c r="G29"/>
  <c r="G30"/>
  <c r="G31"/>
  <c r="G34"/>
  <c r="G35"/>
  <c r="G36"/>
  <c r="G37"/>
  <c r="G39"/>
  <c r="G40"/>
  <c r="G41"/>
  <c r="G44"/>
  <c r="G48" s="1"/>
  <c r="G49" s="1"/>
  <c r="G45"/>
  <c r="G46"/>
  <c r="G54"/>
  <c r="G56"/>
  <c r="G57"/>
  <c r="G63"/>
  <c r="G66" s="1"/>
  <c r="G75" s="1"/>
  <c r="G82" s="1"/>
  <c r="G64"/>
  <c r="G65"/>
  <c r="G69"/>
  <c r="G72" s="1"/>
  <c r="G70"/>
  <c r="G71"/>
  <c r="G74"/>
  <c r="G76"/>
  <c r="G77"/>
  <c r="G78"/>
  <c r="G79"/>
  <c r="G51" l="1"/>
  <c r="G59" s="1"/>
  <c r="F57"/>
  <c r="F35"/>
  <c r="F28"/>
  <c r="F89"/>
  <c r="F90"/>
  <c r="F91"/>
  <c r="F92"/>
  <c r="F93"/>
  <c r="F94"/>
  <c r="F15" s="1"/>
  <c r="F95"/>
  <c r="F96"/>
  <c r="F97"/>
  <c r="F98"/>
  <c r="F99"/>
  <c r="F16" s="1"/>
  <c r="F100"/>
  <c r="F101"/>
  <c r="F103"/>
  <c r="F104"/>
  <c r="F105"/>
  <c r="F106"/>
  <c r="F107"/>
  <c r="F22" s="1"/>
  <c r="F108"/>
  <c r="F24" s="1"/>
  <c r="F109"/>
  <c r="F110"/>
  <c r="F111"/>
  <c r="F112"/>
  <c r="F113"/>
  <c r="F114"/>
  <c r="F115"/>
  <c r="F116"/>
  <c r="F117"/>
  <c r="F118"/>
  <c r="F119"/>
  <c r="F120"/>
  <c r="F121"/>
  <c r="F122"/>
  <c r="F30" s="1"/>
  <c r="F123"/>
  <c r="F124"/>
  <c r="F125"/>
  <c r="F126"/>
  <c r="F127"/>
  <c r="F128"/>
  <c r="F129"/>
  <c r="F130"/>
  <c r="F131"/>
  <c r="F132"/>
  <c r="F133"/>
  <c r="F134"/>
  <c r="F135"/>
  <c r="F136"/>
  <c r="F137"/>
  <c r="F138"/>
  <c r="F139"/>
  <c r="F140"/>
  <c r="F141"/>
  <c r="F142"/>
  <c r="F143"/>
  <c r="F144"/>
  <c r="F145"/>
  <c r="F146"/>
  <c r="F147"/>
  <c r="F148"/>
  <c r="F149"/>
  <c r="F34" s="1"/>
  <c r="F150"/>
  <c r="F151"/>
  <c r="F152"/>
  <c r="F36" s="1"/>
  <c r="F153"/>
  <c r="F154"/>
  <c r="F155"/>
  <c r="F156"/>
  <c r="F157"/>
  <c r="F158"/>
  <c r="F159"/>
  <c r="F160"/>
  <c r="F161"/>
  <c r="F162"/>
  <c r="F163"/>
  <c r="F39" s="1"/>
  <c r="F164"/>
  <c r="F165"/>
  <c r="F166"/>
  <c r="F167"/>
  <c r="F168"/>
  <c r="F169"/>
  <c r="F40" s="1"/>
  <c r="F170"/>
  <c r="F171"/>
  <c r="F172"/>
  <c r="F173"/>
  <c r="F174"/>
  <c r="F175"/>
  <c r="F41" s="1"/>
  <c r="F176"/>
  <c r="F177"/>
  <c r="F178"/>
  <c r="F179"/>
  <c r="F180"/>
  <c r="F181"/>
  <c r="F182"/>
  <c r="F183"/>
  <c r="F184"/>
  <c r="F185"/>
  <c r="F186"/>
  <c r="F187"/>
  <c r="F188"/>
  <c r="F189"/>
  <c r="F44" s="1"/>
  <c r="F190"/>
  <c r="F191"/>
  <c r="F192"/>
  <c r="F45" s="1"/>
  <c r="F193"/>
  <c r="F194"/>
  <c r="F195"/>
  <c r="F198"/>
  <c r="F199"/>
  <c r="F200"/>
  <c r="F201"/>
  <c r="F202"/>
  <c r="F203"/>
  <c r="F204"/>
  <c r="F205"/>
  <c r="F206"/>
  <c r="F207"/>
  <c r="F208"/>
  <c r="F209"/>
  <c r="F210"/>
  <c r="F54" s="1"/>
  <c r="F211"/>
  <c r="F56" s="1"/>
  <c r="F212"/>
  <c r="F213"/>
  <c r="F214"/>
  <c r="F215"/>
  <c r="F216"/>
  <c r="F217"/>
  <c r="F218"/>
  <c r="F219"/>
  <c r="F220"/>
  <c r="F221"/>
  <c r="F222"/>
  <c r="F223"/>
  <c r="F224"/>
  <c r="F225"/>
  <c r="F226"/>
  <c r="F227"/>
  <c r="F228"/>
  <c r="F229"/>
  <c r="F230"/>
  <c r="F63" s="1"/>
  <c r="F231"/>
  <c r="F232"/>
  <c r="F233"/>
  <c r="F234"/>
  <c r="F235"/>
  <c r="F236"/>
  <c r="F237"/>
  <c r="F238"/>
  <c r="F239"/>
  <c r="F240"/>
  <c r="F241"/>
  <c r="F242"/>
  <c r="F243"/>
  <c r="F244"/>
  <c r="F245"/>
  <c r="F246"/>
  <c r="F64" s="1"/>
  <c r="F247"/>
  <c r="F248"/>
  <c r="F249"/>
  <c r="F250"/>
  <c r="F251"/>
  <c r="F252"/>
  <c r="F253"/>
  <c r="F254"/>
  <c r="F255"/>
  <c r="F256"/>
  <c r="F257"/>
  <c r="F258"/>
  <c r="F259"/>
  <c r="F260"/>
  <c r="F261"/>
  <c r="F262"/>
  <c r="F263"/>
  <c r="F264"/>
  <c r="F265"/>
  <c r="F266"/>
  <c r="F70" s="1"/>
  <c r="F267"/>
  <c r="F268"/>
  <c r="F269"/>
  <c r="F270"/>
  <c r="F271"/>
  <c r="F272"/>
  <c r="F273"/>
  <c r="F274"/>
  <c r="F275"/>
  <c r="F276"/>
  <c r="F277"/>
  <c r="F278"/>
  <c r="F279"/>
  <c r="F280"/>
  <c r="F281"/>
  <c r="F282"/>
  <c r="F284"/>
  <c r="F285"/>
  <c r="F286"/>
  <c r="F74" s="1"/>
  <c r="F287"/>
  <c r="F288"/>
  <c r="F290"/>
  <c r="F291"/>
  <c r="F77" s="1"/>
  <c r="E77" s="1"/>
  <c r="F292"/>
  <c r="F293"/>
  <c r="F294"/>
  <c r="F295"/>
  <c r="F296"/>
  <c r="F297"/>
  <c r="F79" s="1"/>
  <c r="F298"/>
  <c r="F299"/>
  <c r="F300"/>
  <c r="F301"/>
  <c r="F88"/>
  <c r="F76" l="1"/>
  <c r="E76" s="1"/>
  <c r="F69"/>
  <c r="F17"/>
  <c r="F82" i="76"/>
  <c r="E79" i="5"/>
  <c r="E78" i="1"/>
  <c r="E78" i="5"/>
  <c r="F71"/>
  <c r="E46" i="1"/>
  <c r="E46" i="76" s="1"/>
  <c r="E46" i="5"/>
  <c r="AA37" i="1"/>
  <c r="AA25"/>
  <c r="I55" i="54"/>
  <c r="I72"/>
  <c r="I66"/>
  <c r="I31"/>
  <c r="I25"/>
  <c r="E77" i="1"/>
  <c r="E79"/>
  <c r="E74" i="5"/>
  <c r="E55" i="1"/>
  <c r="U18"/>
  <c r="V18"/>
  <c r="F18"/>
  <c r="G18"/>
  <c r="H18"/>
  <c r="R18"/>
  <c r="I18"/>
  <c r="AD18"/>
  <c r="K18"/>
  <c r="L18"/>
  <c r="N18"/>
  <c r="I73" i="54" l="1"/>
  <c r="F79"/>
  <c r="E79" i="76"/>
  <c r="X46" i="1"/>
  <c r="E78" i="76"/>
  <c r="F78" i="54"/>
  <c r="X78" i="1"/>
  <c r="F46" i="54"/>
  <c r="F55"/>
  <c r="E55" i="76"/>
  <c r="F77" i="54"/>
  <c r="E77" i="76"/>
  <c r="I75" i="54"/>
  <c r="I81" s="1"/>
  <c r="A4" i="75" l="1"/>
  <c r="A82" s="1"/>
  <c r="B33" i="3"/>
  <c r="B32"/>
  <c r="B31"/>
  <c r="B30"/>
  <c r="B25"/>
  <c r="B24"/>
  <c r="B23"/>
  <c r="B19"/>
  <c r="B18"/>
  <c r="B26"/>
  <c r="B20"/>
  <c r="B17"/>
  <c r="B16"/>
  <c r="B15"/>
  <c r="B14"/>
  <c r="B35"/>
  <c r="B12"/>
  <c r="B21"/>
  <c r="B11"/>
  <c r="B10"/>
  <c r="B9"/>
  <c r="B8"/>
  <c r="C140" i="75"/>
  <c r="C139"/>
  <c r="F126"/>
  <c r="B126"/>
  <c r="F123"/>
  <c r="B123"/>
  <c r="A123"/>
  <c r="F122"/>
  <c r="B122"/>
  <c r="A122"/>
  <c r="F121"/>
  <c r="B121"/>
  <c r="A121"/>
  <c r="F120"/>
  <c r="B120"/>
  <c r="A120"/>
  <c r="F119"/>
  <c r="B119"/>
  <c r="A119"/>
  <c r="F118"/>
  <c r="B118"/>
  <c r="A118"/>
  <c r="F117"/>
  <c r="B117"/>
  <c r="A117"/>
  <c r="F116"/>
  <c r="B116"/>
  <c r="A116"/>
  <c r="F115"/>
  <c r="B115"/>
  <c r="A115"/>
  <c r="F114"/>
  <c r="B114"/>
  <c r="A114"/>
  <c r="F113"/>
  <c r="B113"/>
  <c r="A113"/>
  <c r="F112"/>
  <c r="B112"/>
  <c r="A112"/>
  <c r="F111"/>
  <c r="B111"/>
  <c r="A111"/>
  <c r="F110"/>
  <c r="B110"/>
  <c r="A110"/>
  <c r="F109"/>
  <c r="B109"/>
  <c r="A109"/>
  <c r="F108"/>
  <c r="B108"/>
  <c r="A108"/>
  <c r="F106"/>
  <c r="B106"/>
  <c r="A106"/>
  <c r="F105"/>
  <c r="B105"/>
  <c r="A105"/>
  <c r="F104"/>
  <c r="B104"/>
  <c r="A104"/>
  <c r="F103"/>
  <c r="B103"/>
  <c r="A103"/>
  <c r="F102"/>
  <c r="B102"/>
  <c r="A102"/>
  <c r="F101"/>
  <c r="B101"/>
  <c r="A101"/>
  <c r="F100"/>
  <c r="B100"/>
  <c r="A100"/>
  <c r="F99"/>
  <c r="B99"/>
  <c r="A99"/>
  <c r="F98"/>
  <c r="B98"/>
  <c r="A98"/>
  <c r="F97"/>
  <c r="B97"/>
  <c r="A97"/>
  <c r="F96"/>
  <c r="B96"/>
  <c r="A96"/>
  <c r="F95"/>
  <c r="B95"/>
  <c r="A95"/>
  <c r="F94"/>
  <c r="B94"/>
  <c r="A94"/>
  <c r="F93"/>
  <c r="B93"/>
  <c r="A93"/>
  <c r="F92"/>
  <c r="B92"/>
  <c r="A92"/>
  <c r="F91"/>
  <c r="B91"/>
  <c r="A91"/>
  <c r="F90"/>
  <c r="B90"/>
  <c r="A90"/>
  <c r="F89"/>
  <c r="B89"/>
  <c r="A89"/>
  <c r="F88"/>
  <c r="B88"/>
  <c r="A88"/>
  <c r="F87"/>
  <c r="B87"/>
  <c r="A87"/>
  <c r="F86"/>
  <c r="F124" s="1"/>
  <c r="B86"/>
  <c r="A86"/>
  <c r="A80"/>
  <c r="A79"/>
  <c r="C77"/>
  <c r="C155" s="1"/>
  <c r="C76"/>
  <c r="C154" s="1"/>
  <c r="C73"/>
  <c r="C151" s="1"/>
  <c r="C72"/>
  <c r="C150" s="1"/>
  <c r="C69"/>
  <c r="C147" s="1"/>
  <c r="C68"/>
  <c r="C146" s="1"/>
  <c r="C67"/>
  <c r="C145" s="1"/>
  <c r="C63"/>
  <c r="E70" s="1"/>
  <c r="I10"/>
  <c r="F128" l="1"/>
  <c r="F132" s="1"/>
  <c r="F135" s="1"/>
  <c r="C78"/>
  <c r="D77" s="1"/>
  <c r="C141"/>
  <c r="E148" s="1"/>
  <c r="C148"/>
  <c r="D147" s="1"/>
  <c r="C152"/>
  <c r="D151" s="1"/>
  <c r="C156"/>
  <c r="D154" s="1"/>
  <c r="D156" s="1"/>
  <c r="C74"/>
  <c r="D72" s="1"/>
  <c r="C70"/>
  <c r="D68" s="1"/>
  <c r="E68" s="1"/>
  <c r="E78" s="1"/>
  <c r="D73" l="1"/>
  <c r="D74" s="1"/>
  <c r="D146"/>
  <c r="D76"/>
  <c r="D78" s="1"/>
  <c r="D145"/>
  <c r="E145" s="1"/>
  <c r="E152" s="1"/>
  <c r="E151" s="1"/>
  <c r="E147"/>
  <c r="D155"/>
  <c r="E77"/>
  <c r="D69"/>
  <c r="E69" s="1"/>
  <c r="D67"/>
  <c r="D150"/>
  <c r="D148" l="1"/>
  <c r="E146"/>
  <c r="E156" s="1"/>
  <c r="E154" s="1"/>
  <c r="E76"/>
  <c r="D70"/>
  <c r="E67"/>
  <c r="E74" s="1"/>
  <c r="E150"/>
  <c r="D152"/>
  <c r="E155" l="1"/>
  <c r="E72"/>
  <c r="E73"/>
  <c r="F25" i="1" l="1"/>
  <c r="G25"/>
  <c r="H25"/>
  <c r="R25"/>
  <c r="I25"/>
  <c r="AD25"/>
  <c r="K25"/>
  <c r="L25"/>
  <c r="N25"/>
  <c r="U25"/>
  <c r="V25"/>
  <c r="Y25"/>
  <c r="Z25"/>
  <c r="AB25"/>
  <c r="Z18"/>
  <c r="AA18"/>
  <c r="AB18"/>
  <c r="Y18"/>
  <c r="X43" l="1"/>
  <c r="A5" i="54"/>
  <c r="A6"/>
  <c r="A2"/>
  <c r="A5" i="1"/>
  <c r="A6"/>
  <c r="A2"/>
  <c r="A1" i="3" s="1"/>
  <c r="Z11" i="1"/>
  <c r="X11" i="76" s="1"/>
  <c r="F11" i="1"/>
  <c r="AA11" l="1"/>
  <c r="AB11" s="1"/>
  <c r="AC11" s="1"/>
  <c r="AD11" s="1"/>
  <c r="AE11" s="1"/>
  <c r="C4" i="56"/>
  <c r="A4" i="3"/>
  <c r="A4" i="55"/>
  <c r="Y11" i="76"/>
  <c r="G11" i="1"/>
  <c r="G11" i="76" s="1"/>
  <c r="F11"/>
  <c r="A36" i="3" l="1"/>
  <c r="A35" i="75" s="1"/>
  <c r="AF11" i="1"/>
  <c r="AC11" i="76"/>
  <c r="H11" i="1"/>
  <c r="H11" i="76" s="1"/>
  <c r="AD11" l="1"/>
  <c r="A37" i="3"/>
  <c r="A36" i="75" s="1"/>
  <c r="Z11" i="76"/>
  <c r="E28" i="5"/>
  <c r="E34"/>
  <c r="AB11" i="76" l="1"/>
  <c r="A34" i="3"/>
  <c r="A33" i="75" s="1"/>
  <c r="AA11" i="76"/>
  <c r="C24" i="3" l="1"/>
  <c r="B27" i="75" s="1"/>
  <c r="U37" i="1" l="1"/>
  <c r="U72"/>
  <c r="U31"/>
  <c r="U48"/>
  <c r="U66"/>
  <c r="X77"/>
  <c r="U73" l="1"/>
  <c r="U75" s="1"/>
  <c r="U82" s="1"/>
  <c r="U49"/>
  <c r="U51" s="1"/>
  <c r="U54" s="1"/>
  <c r="U54" i="76" s="1"/>
  <c r="X79" i="1"/>
  <c r="E21" i="56"/>
  <c r="E23" s="1"/>
  <c r="E24" i="3" l="1"/>
  <c r="F27" i="75" s="1"/>
  <c r="E25" i="56"/>
  <c r="E27" s="1"/>
  <c r="E63" i="1"/>
  <c r="E63" i="76" s="1"/>
  <c r="E69" i="1"/>
  <c r="E69" i="76" s="1"/>
  <c r="E70" i="1"/>
  <c r="E74"/>
  <c r="E76"/>
  <c r="E76" i="76" s="1"/>
  <c r="E15" i="1"/>
  <c r="E22"/>
  <c r="E22" i="76" s="1"/>
  <c r="E23" i="1"/>
  <c r="E23" i="76" s="1"/>
  <c r="E28" i="1"/>
  <c r="E30"/>
  <c r="E30" i="76" s="1"/>
  <c r="E34" i="1"/>
  <c r="E34" i="76" s="1"/>
  <c r="E35" i="1"/>
  <c r="E35" i="76" s="1"/>
  <c r="E36" i="1"/>
  <c r="E39"/>
  <c r="E39" i="76" s="1"/>
  <c r="E40" i="1"/>
  <c r="E40" i="76" s="1"/>
  <c r="E41" i="1"/>
  <c r="E41" i="76" s="1"/>
  <c r="E44" i="1"/>
  <c r="E47"/>
  <c r="E54"/>
  <c r="E54" i="76" s="1"/>
  <c r="E56" i="1"/>
  <c r="E57"/>
  <c r="C23" i="3"/>
  <c r="B26" i="75" s="1"/>
  <c r="A32" i="3"/>
  <c r="A31" i="75" s="1"/>
  <c r="C32" i="3"/>
  <c r="B31" i="75" s="1"/>
  <c r="A33" i="3"/>
  <c r="A32" i="75" s="1"/>
  <c r="C33" i="3"/>
  <c r="B32" i="75" s="1"/>
  <c r="A31" i="3"/>
  <c r="A30" i="75" s="1"/>
  <c r="C31" i="3"/>
  <c r="B30" i="75" s="1"/>
  <c r="E71" i="1"/>
  <c r="E64"/>
  <c r="E64" i="76" s="1"/>
  <c r="E65" i="1"/>
  <c r="E65" i="76" s="1"/>
  <c r="E45" i="1"/>
  <c r="E45" i="76" s="1"/>
  <c r="E29" i="1"/>
  <c r="E29" i="76" s="1"/>
  <c r="E24" i="1"/>
  <c r="E24" i="76" s="1"/>
  <c r="E16" i="1"/>
  <c r="E16" i="76" s="1"/>
  <c r="A30" i="3"/>
  <c r="A29" i="75" s="1"/>
  <c r="C30" i="3"/>
  <c r="B29" i="75" s="1"/>
  <c r="A10" i="3"/>
  <c r="A13" i="75" s="1"/>
  <c r="C10" i="3"/>
  <c r="B13" i="75" s="1"/>
  <c r="A11" i="3"/>
  <c r="A14" i="75" s="1"/>
  <c r="C11" i="3"/>
  <c r="B14" i="75" s="1"/>
  <c r="C21" i="3"/>
  <c r="B24" i="75" s="1"/>
  <c r="C12" i="3"/>
  <c r="B15" i="75" s="1"/>
  <c r="A35" i="3"/>
  <c r="A34" i="75" s="1"/>
  <c r="C35" i="3"/>
  <c r="B34" i="75" s="1"/>
  <c r="C14" i="3"/>
  <c r="B17" i="75" s="1"/>
  <c r="C15" i="3"/>
  <c r="B18" i="75" s="1"/>
  <c r="C16" i="3"/>
  <c r="B19" i="75" s="1"/>
  <c r="C17" i="3"/>
  <c r="B20" i="75" s="1"/>
  <c r="C20" i="3"/>
  <c r="B23" i="75" s="1"/>
  <c r="C26" i="3"/>
  <c r="C18"/>
  <c r="B21" i="75" s="1"/>
  <c r="C19" i="3"/>
  <c r="B22" i="75" s="1"/>
  <c r="C25" i="3"/>
  <c r="B28" i="75" s="1"/>
  <c r="E36" i="5"/>
  <c r="H36" s="1"/>
  <c r="C8" i="3"/>
  <c r="B11" i="75" s="1"/>
  <c r="A9" i="3"/>
  <c r="A12" i="75" s="1"/>
  <c r="C9" i="3"/>
  <c r="B12" i="75" s="1"/>
  <c r="A8" i="3"/>
  <c r="A11" i="75" s="1"/>
  <c r="F25" i="5"/>
  <c r="F31"/>
  <c r="F37"/>
  <c r="F48"/>
  <c r="E15"/>
  <c r="H15" s="1"/>
  <c r="E54"/>
  <c r="H54" s="1"/>
  <c r="E16"/>
  <c r="H16" s="1"/>
  <c r="H21"/>
  <c r="E22"/>
  <c r="H22" s="1"/>
  <c r="E23"/>
  <c r="H23" s="1"/>
  <c r="E24"/>
  <c r="H24" s="1"/>
  <c r="H28"/>
  <c r="E29"/>
  <c r="E30"/>
  <c r="H30" s="1"/>
  <c r="H34"/>
  <c r="E35"/>
  <c r="H35" s="1"/>
  <c r="E39"/>
  <c r="H39" s="1"/>
  <c r="E40"/>
  <c r="H40" s="1"/>
  <c r="E41"/>
  <c r="H41" s="1"/>
  <c r="E44"/>
  <c r="H44" s="1"/>
  <c r="E45"/>
  <c r="H45" s="1"/>
  <c r="E47"/>
  <c r="H47" s="1"/>
  <c r="E56"/>
  <c r="H56" s="1"/>
  <c r="E57"/>
  <c r="H57" s="1"/>
  <c r="E63"/>
  <c r="H63" s="1"/>
  <c r="E64"/>
  <c r="H64" s="1"/>
  <c r="E65"/>
  <c r="H65" s="1"/>
  <c r="F66"/>
  <c r="F73" s="1"/>
  <c r="H68"/>
  <c r="E69"/>
  <c r="H69" s="1"/>
  <c r="E70"/>
  <c r="H70" s="1"/>
  <c r="E71"/>
  <c r="H71" s="1"/>
  <c r="F72"/>
  <c r="H74"/>
  <c r="H76"/>
  <c r="H77"/>
  <c r="E17"/>
  <c r="F18"/>
  <c r="F22" i="55" l="1"/>
  <c r="G27" i="75"/>
  <c r="E15" i="76"/>
  <c r="X15" i="1"/>
  <c r="AG15" s="1"/>
  <c r="AM15" s="1"/>
  <c r="X71"/>
  <c r="E71" i="76"/>
  <c r="X57" i="1"/>
  <c r="E57" i="76"/>
  <c r="F44" i="54"/>
  <c r="E44" i="76"/>
  <c r="X36" i="1"/>
  <c r="E36" i="76"/>
  <c r="E37" s="1"/>
  <c r="F28" i="54"/>
  <c r="E28" i="76"/>
  <c r="E66"/>
  <c r="X74" i="1"/>
  <c r="E74" i="76"/>
  <c r="X47" i="1"/>
  <c r="E47" i="76"/>
  <c r="X56" i="1"/>
  <c r="E56" i="76"/>
  <c r="E25"/>
  <c r="X70" i="1"/>
  <c r="E70" i="76"/>
  <c r="F74" i="54"/>
  <c r="F36"/>
  <c r="F57"/>
  <c r="X76" i="1"/>
  <c r="F76" i="54"/>
  <c r="H29" i="5"/>
  <c r="E31"/>
  <c r="H31" s="1"/>
  <c r="X69" i="1"/>
  <c r="E72"/>
  <c r="E25"/>
  <c r="E48"/>
  <c r="E66"/>
  <c r="X44"/>
  <c r="X28"/>
  <c r="E31"/>
  <c r="F29" i="54"/>
  <c r="X29" i="1"/>
  <c r="F47" i="54"/>
  <c r="F39"/>
  <c r="X39" i="1"/>
  <c r="F30" i="54"/>
  <c r="X30" i="1"/>
  <c r="F24" i="54"/>
  <c r="X24" i="1"/>
  <c r="F64" i="54"/>
  <c r="X64" i="1"/>
  <c r="F54" i="54"/>
  <c r="F40"/>
  <c r="X40" i="1"/>
  <c r="F34" i="54"/>
  <c r="X34" i="1"/>
  <c r="F22" i="54"/>
  <c r="X22" i="1"/>
  <c r="AG22" s="1"/>
  <c r="F65" i="54"/>
  <c r="X65" i="1"/>
  <c r="F41" i="54"/>
  <c r="X41" i="1"/>
  <c r="F35" i="54"/>
  <c r="X35" i="1"/>
  <c r="F23" i="54"/>
  <c r="X23" i="1"/>
  <c r="F63" i="54"/>
  <c r="X63" i="1"/>
  <c r="F16" i="54"/>
  <c r="X16" i="1"/>
  <c r="F45" i="54"/>
  <c r="X45" i="1"/>
  <c r="F15" i="54"/>
  <c r="F56"/>
  <c r="V48" i="1"/>
  <c r="F69" i="54"/>
  <c r="R72" i="1"/>
  <c r="F71" i="54"/>
  <c r="E66" i="5"/>
  <c r="E48"/>
  <c r="H48" s="1"/>
  <c r="E18"/>
  <c r="H18" s="1"/>
  <c r="H17"/>
  <c r="E72"/>
  <c r="H72" s="1"/>
  <c r="E25"/>
  <c r="AD48" i="1"/>
  <c r="AD31"/>
  <c r="K48"/>
  <c r="AA31"/>
  <c r="AD37"/>
  <c r="N48"/>
  <c r="F70" i="54"/>
  <c r="N31" i="1"/>
  <c r="T48"/>
  <c r="T49" s="1"/>
  <c r="Y31"/>
  <c r="Y66"/>
  <c r="G37"/>
  <c r="L31"/>
  <c r="G31"/>
  <c r="L37"/>
  <c r="I37"/>
  <c r="F31"/>
  <c r="R37"/>
  <c r="K37"/>
  <c r="L48"/>
  <c r="Q48"/>
  <c r="W48"/>
  <c r="O48"/>
  <c r="P48"/>
  <c r="AA48"/>
  <c r="AB72"/>
  <c r="T72"/>
  <c r="P66"/>
  <c r="L66"/>
  <c r="H66"/>
  <c r="R31"/>
  <c r="I31"/>
  <c r="Z31"/>
  <c r="AB66"/>
  <c r="L72"/>
  <c r="H72"/>
  <c r="E37"/>
  <c r="F48"/>
  <c r="F37"/>
  <c r="H48"/>
  <c r="H37"/>
  <c r="K31"/>
  <c r="N37"/>
  <c r="AA72"/>
  <c r="P72"/>
  <c r="O66"/>
  <c r="W72"/>
  <c r="N72"/>
  <c r="L17" i="55"/>
  <c r="F49" i="5"/>
  <c r="F51" s="1"/>
  <c r="F59" s="1"/>
  <c r="V37" i="1"/>
  <c r="Y72"/>
  <c r="AB48"/>
  <c r="V72"/>
  <c r="W66"/>
  <c r="Q72"/>
  <c r="K72"/>
  <c r="R66"/>
  <c r="F66"/>
  <c r="E37" i="5"/>
  <c r="H37" s="1"/>
  <c r="V31" i="1"/>
  <c r="H31"/>
  <c r="AA66"/>
  <c r="V66"/>
  <c r="Q66"/>
  <c r="AD72"/>
  <c r="F72"/>
  <c r="R48"/>
  <c r="Y48"/>
  <c r="Z48"/>
  <c r="Z66"/>
  <c r="AB37"/>
  <c r="T66"/>
  <c r="O72"/>
  <c r="N66"/>
  <c r="K66"/>
  <c r="AD66"/>
  <c r="I72"/>
  <c r="G72"/>
  <c r="G48"/>
  <c r="I48"/>
  <c r="Z72"/>
  <c r="AB31"/>
  <c r="I66"/>
  <c r="G66"/>
  <c r="E17"/>
  <c r="M55" l="1"/>
  <c r="M59" s="1"/>
  <c r="AL55"/>
  <c r="V73"/>
  <c r="V75" s="1"/>
  <c r="V82" s="1"/>
  <c r="AE55"/>
  <c r="AE59" s="1"/>
  <c r="D36" i="3" s="1"/>
  <c r="S55" i="1"/>
  <c r="E87"/>
  <c r="AD73"/>
  <c r="AD75" s="1"/>
  <c r="I73"/>
  <c r="Q73"/>
  <c r="AA73"/>
  <c r="N73"/>
  <c r="N75" s="1"/>
  <c r="K73"/>
  <c r="K75" s="1"/>
  <c r="R73"/>
  <c r="R75" s="1"/>
  <c r="AB73"/>
  <c r="T73"/>
  <c r="T75" s="1"/>
  <c r="W73"/>
  <c r="AO15"/>
  <c r="AP15" s="1"/>
  <c r="H15" i="54" s="1"/>
  <c r="G73" i="1"/>
  <c r="G75" s="1"/>
  <c r="G82" s="1"/>
  <c r="G55" s="1"/>
  <c r="G55" i="76" s="1"/>
  <c r="E73" i="1"/>
  <c r="E75" s="1"/>
  <c r="E82" s="1"/>
  <c r="O73"/>
  <c r="L73"/>
  <c r="H73"/>
  <c r="F73"/>
  <c r="P73"/>
  <c r="Z73"/>
  <c r="Y73"/>
  <c r="AC55"/>
  <c r="AA55" i="76" s="1"/>
  <c r="AA59" s="1"/>
  <c r="J55" i="1"/>
  <c r="J55" i="76" s="1"/>
  <c r="J59" s="1"/>
  <c r="AI55" i="1"/>
  <c r="AF55" i="76" s="1"/>
  <c r="AF59" s="1"/>
  <c r="AH55" i="1"/>
  <c r="AE55" i="76" s="1"/>
  <c r="AE59" s="1"/>
  <c r="AF55" i="1"/>
  <c r="H66" i="5"/>
  <c r="E73"/>
  <c r="E75" s="1"/>
  <c r="E82" s="1"/>
  <c r="AN55" i="1"/>
  <c r="AJ55" i="76" s="1"/>
  <c r="AJ59" s="1"/>
  <c r="N17" i="55"/>
  <c r="F14" s="1"/>
  <c r="H49" i="1"/>
  <c r="H51" s="1"/>
  <c r="H54" s="1"/>
  <c r="H54" i="76" s="1"/>
  <c r="E72"/>
  <c r="E73" s="1"/>
  <c r="E31"/>
  <c r="E48"/>
  <c r="E18" i="1"/>
  <c r="E17" i="76"/>
  <c r="AB49" i="1"/>
  <c r="AB51" s="1"/>
  <c r="Q49"/>
  <c r="Q51" s="1"/>
  <c r="Q54" s="1"/>
  <c r="Q54" i="76" s="1"/>
  <c r="K49" i="1"/>
  <c r="K51" s="1"/>
  <c r="V49"/>
  <c r="V51" s="1"/>
  <c r="P49"/>
  <c r="P51" s="1"/>
  <c r="O49"/>
  <c r="O51" s="1"/>
  <c r="O54" s="1"/>
  <c r="O54" i="76" s="1"/>
  <c r="F75" i="5"/>
  <c r="F82" s="1"/>
  <c r="F48" i="54"/>
  <c r="F66"/>
  <c r="I49" i="1"/>
  <c r="I51" s="1"/>
  <c r="I54" s="1"/>
  <c r="I54" i="76" s="1"/>
  <c r="F49" i="1"/>
  <c r="F51" s="1"/>
  <c r="F54" s="1"/>
  <c r="F54" i="76" s="1"/>
  <c r="L49" i="1"/>
  <c r="L51" s="1"/>
  <c r="L54" s="1"/>
  <c r="L54" i="76" s="1"/>
  <c r="N49" i="1"/>
  <c r="N51" s="1"/>
  <c r="Z49"/>
  <c r="Z51" s="1"/>
  <c r="Z54" s="1"/>
  <c r="X54" i="76" s="1"/>
  <c r="R49" i="1"/>
  <c r="R51" s="1"/>
  <c r="G49"/>
  <c r="W49"/>
  <c r="W51" s="1"/>
  <c r="Y49"/>
  <c r="Y51" s="1"/>
  <c r="Y54" s="1"/>
  <c r="W54" i="76" s="1"/>
  <c r="AA49" i="1"/>
  <c r="AA51" s="1"/>
  <c r="AD49"/>
  <c r="AD51" s="1"/>
  <c r="X48"/>
  <c r="X37"/>
  <c r="F31" i="54"/>
  <c r="F37"/>
  <c r="F72"/>
  <c r="F25"/>
  <c r="E49" i="5"/>
  <c r="E51" s="1"/>
  <c r="E59" s="1"/>
  <c r="E49" i="1"/>
  <c r="X25"/>
  <c r="X17"/>
  <c r="H25" i="5"/>
  <c r="T51" i="1"/>
  <c r="T54" s="1"/>
  <c r="T54" i="76" s="1"/>
  <c r="F17" i="54"/>
  <c r="F18" s="1"/>
  <c r="AI55" i="76" l="1"/>
  <c r="AI59" s="1"/>
  <c r="AL59" i="1"/>
  <c r="S59"/>
  <c r="D22" i="3" s="1"/>
  <c r="S55" i="76"/>
  <c r="S59" s="1"/>
  <c r="AT65" i="1"/>
  <c r="AC55" i="76"/>
  <c r="AC59" s="1"/>
  <c r="E25" i="3"/>
  <c r="F28" i="75" s="1"/>
  <c r="G28" s="1"/>
  <c r="E10" i="3"/>
  <c r="F13" i="75" s="1"/>
  <c r="G13" s="1"/>
  <c r="AD55" i="76"/>
  <c r="AD59" s="1"/>
  <c r="AC59" i="1"/>
  <c r="J59"/>
  <c r="AI59"/>
  <c r="AH59"/>
  <c r="F73" i="54"/>
  <c r="F75" s="1"/>
  <c r="F81" s="1"/>
  <c r="E75" i="76"/>
  <c r="E82" s="1"/>
  <c r="E86" i="1"/>
  <c r="AK55"/>
  <c r="AH55" i="76" s="1"/>
  <c r="AH59" s="1"/>
  <c r="AJ55" i="1"/>
  <c r="E48" i="75"/>
  <c r="I39" s="1"/>
  <c r="U55" i="1"/>
  <c r="U55" i="76" s="1"/>
  <c r="U59" s="1"/>
  <c r="X18" i="1"/>
  <c r="E49" i="76"/>
  <c r="E18"/>
  <c r="T82" i="1"/>
  <c r="E23" i="3" s="1"/>
  <c r="F26" i="75" s="1"/>
  <c r="R82" i="1"/>
  <c r="R55" s="1"/>
  <c r="R55" i="76" s="1"/>
  <c r="AD82" i="1"/>
  <c r="AD55" s="1"/>
  <c r="AB55" i="76" s="1"/>
  <c r="N82" i="1"/>
  <c r="K82"/>
  <c r="H82" i="5"/>
  <c r="F84"/>
  <c r="Z75" i="1"/>
  <c r="I75"/>
  <c r="L75"/>
  <c r="O75"/>
  <c r="AB75"/>
  <c r="F75"/>
  <c r="Q75"/>
  <c r="P54"/>
  <c r="P54" i="76" s="1"/>
  <c r="P75" i="1"/>
  <c r="P82" s="1"/>
  <c r="P55" s="1"/>
  <c r="P55" i="76" s="1"/>
  <c r="AA75" i="1"/>
  <c r="AA82" s="1"/>
  <c r="AA55" s="1"/>
  <c r="Y55" i="76" s="1"/>
  <c r="Y75" i="1"/>
  <c r="M55" i="76"/>
  <c r="H75" i="1"/>
  <c r="H82" s="1"/>
  <c r="E11" i="3" s="1"/>
  <c r="F14" i="75" s="1"/>
  <c r="W75" i="1"/>
  <c r="W82" s="1"/>
  <c r="W55" s="1"/>
  <c r="F49" i="54"/>
  <c r="F51" s="1"/>
  <c r="F59" s="1"/>
  <c r="AA54" i="1"/>
  <c r="Y54" i="76" s="1"/>
  <c r="AB54" i="1"/>
  <c r="Z54" i="76" s="1"/>
  <c r="AD54" i="1"/>
  <c r="AB54" i="76" s="1"/>
  <c r="R54" i="1"/>
  <c r="R54" i="76" s="1"/>
  <c r="K54" i="1"/>
  <c r="K54" i="76" s="1"/>
  <c r="M54"/>
  <c r="W54" i="1"/>
  <c r="H51" i="5"/>
  <c r="X72" i="1"/>
  <c r="X31"/>
  <c r="X49" s="1"/>
  <c r="H49" i="5"/>
  <c r="X66" i="1"/>
  <c r="G51"/>
  <c r="E8" i="3"/>
  <c r="E11" i="75" s="1"/>
  <c r="E44" s="1"/>
  <c r="E51" i="1"/>
  <c r="AJ59" l="1"/>
  <c r="AG55" i="76"/>
  <c r="AG59" s="1"/>
  <c r="D44" i="3"/>
  <c r="M89" i="1"/>
  <c r="M90" s="1"/>
  <c r="M84" s="1"/>
  <c r="I42" i="75"/>
  <c r="I25"/>
  <c r="I33"/>
  <c r="I35"/>
  <c r="S89" i="1"/>
  <c r="S90" s="1"/>
  <c r="S84" s="1"/>
  <c r="AL89"/>
  <c r="AL90" s="1"/>
  <c r="AL84" s="1"/>
  <c r="AE89"/>
  <c r="AE90" s="1"/>
  <c r="AE84" s="1"/>
  <c r="P59" i="76"/>
  <c r="E17" i="3"/>
  <c r="F20" i="75" s="1"/>
  <c r="I20" s="1"/>
  <c r="M59" i="76"/>
  <c r="R59"/>
  <c r="E21" i="3"/>
  <c r="F24" i="75" s="1"/>
  <c r="I24" s="1"/>
  <c r="I28"/>
  <c r="I40"/>
  <c r="D34" i="3"/>
  <c r="AB59" i="76"/>
  <c r="Y59"/>
  <c r="D40" i="3"/>
  <c r="D41"/>
  <c r="I16" i="75"/>
  <c r="I27"/>
  <c r="D13" i="3"/>
  <c r="J89" i="1"/>
  <c r="J90" s="1"/>
  <c r="J84" s="1"/>
  <c r="AC89"/>
  <c r="AC90" s="1"/>
  <c r="AC84" s="1"/>
  <c r="X73"/>
  <c r="X75" s="1"/>
  <c r="X82" s="1"/>
  <c r="E35" i="3"/>
  <c r="F34" i="75" s="1"/>
  <c r="G34" s="1"/>
  <c r="I26"/>
  <c r="G26"/>
  <c r="K55" i="1"/>
  <c r="K55" i="76" s="1"/>
  <c r="K59" s="1"/>
  <c r="E14" i="3"/>
  <c r="F17" i="75" s="1"/>
  <c r="I36"/>
  <c r="I41"/>
  <c r="I37"/>
  <c r="I38"/>
  <c r="AI89" i="1"/>
  <c r="AI90" s="1"/>
  <c r="AI84" s="1"/>
  <c r="AH89"/>
  <c r="AH90" s="1"/>
  <c r="AH84" s="1"/>
  <c r="I11" i="75"/>
  <c r="I14"/>
  <c r="AF59" i="1"/>
  <c r="AK59"/>
  <c r="F48" i="75"/>
  <c r="U59" i="1"/>
  <c r="U89" s="1"/>
  <c r="U90" s="1"/>
  <c r="U84" s="1"/>
  <c r="AN59"/>
  <c r="I13" i="75"/>
  <c r="E26" i="3"/>
  <c r="E19"/>
  <c r="F22" i="75" s="1"/>
  <c r="E51" i="76"/>
  <c r="E59" s="1"/>
  <c r="T55" i="1"/>
  <c r="T55" i="76" s="1"/>
  <c r="T59" s="1"/>
  <c r="H55" i="1"/>
  <c r="H55" i="76" s="1"/>
  <c r="H59" s="1"/>
  <c r="E16" i="3"/>
  <c r="F19" i="75" s="1"/>
  <c r="G54" i="1"/>
  <c r="G54" i="76" s="1"/>
  <c r="G59" s="1"/>
  <c r="Y82" i="1"/>
  <c r="O82"/>
  <c r="E18" i="3" s="1"/>
  <c r="F21" i="75" s="1"/>
  <c r="Z82" i="1"/>
  <c r="AD59"/>
  <c r="AB82"/>
  <c r="I82"/>
  <c r="I55" s="1"/>
  <c r="I55" i="76" s="1"/>
  <c r="I59" s="1"/>
  <c r="R59" i="1"/>
  <c r="D21" i="3" s="1"/>
  <c r="L82" i="1"/>
  <c r="Q82"/>
  <c r="F82"/>
  <c r="F55" s="1"/>
  <c r="F55" i="76" s="1"/>
  <c r="W59" i="1"/>
  <c r="P59"/>
  <c r="E32" i="3"/>
  <c r="F31" i="75" s="1"/>
  <c r="I31" s="1"/>
  <c r="AA59" i="1"/>
  <c r="D32" i="3" s="1"/>
  <c r="X51" i="1"/>
  <c r="E59"/>
  <c r="E83" s="1"/>
  <c r="G14" i="75"/>
  <c r="E50"/>
  <c r="G11"/>
  <c r="I34" l="1"/>
  <c r="D42" i="3"/>
  <c r="K59" i="1"/>
  <c r="D14" i="3" s="1"/>
  <c r="G24" i="75"/>
  <c r="G20"/>
  <c r="G15" i="54"/>
  <c r="I19" i="75"/>
  <c r="G19"/>
  <c r="I22"/>
  <c r="G22"/>
  <c r="I17"/>
  <c r="G17"/>
  <c r="G21"/>
  <c r="I21"/>
  <c r="H59" i="1"/>
  <c r="AJ89"/>
  <c r="AJ90" s="1"/>
  <c r="AJ84" s="1"/>
  <c r="D37" i="3"/>
  <c r="AF89" i="1"/>
  <c r="AF90" s="1"/>
  <c r="AF84" s="1"/>
  <c r="D45" i="3"/>
  <c r="AN89" i="1"/>
  <c r="AN90" s="1"/>
  <c r="AN84" s="1"/>
  <c r="D24" i="3"/>
  <c r="D43"/>
  <c r="AK89" i="1"/>
  <c r="AK90" s="1"/>
  <c r="AK84" s="1"/>
  <c r="AA89"/>
  <c r="AA90" s="1"/>
  <c r="AA84" s="1"/>
  <c r="T59"/>
  <c r="O55"/>
  <c r="O55" i="76" s="1"/>
  <c r="O59" s="1"/>
  <c r="E20" i="3"/>
  <c r="F23" i="75" s="1"/>
  <c r="Q55" i="1"/>
  <c r="Q55" i="76" s="1"/>
  <c r="Q59" s="1"/>
  <c r="E30" i="3"/>
  <c r="F29" i="75" s="1"/>
  <c r="I29" s="1"/>
  <c r="Y55" i="1"/>
  <c r="W55" i="76" s="1"/>
  <c r="W59" s="1"/>
  <c r="L55" i="1"/>
  <c r="L55" i="76" s="1"/>
  <c r="L59" s="1"/>
  <c r="E33" i="3"/>
  <c r="F32" i="75" s="1"/>
  <c r="I32" s="1"/>
  <c r="AB55" i="1"/>
  <c r="Z55" i="76" s="1"/>
  <c r="Z59" s="1"/>
  <c r="Z55" i="1"/>
  <c r="X55" i="76" s="1"/>
  <c r="X59" s="1"/>
  <c r="G59" i="1"/>
  <c r="W89"/>
  <c r="W90" s="1"/>
  <c r="W84" s="1"/>
  <c r="E12" i="3"/>
  <c r="F15" i="75" s="1"/>
  <c r="I59" i="1"/>
  <c r="N59"/>
  <c r="D26" i="3"/>
  <c r="F59" i="76"/>
  <c r="R89" i="1"/>
  <c r="R90" s="1"/>
  <c r="R84" s="1"/>
  <c r="D35" i="3"/>
  <c r="P89" i="1"/>
  <c r="P90" s="1"/>
  <c r="P84" s="1"/>
  <c r="AD89"/>
  <c r="AD90" s="1"/>
  <c r="AD84" s="1"/>
  <c r="D19" i="3"/>
  <c r="E54" i="75"/>
  <c r="E57" s="1"/>
  <c r="E15" i="3"/>
  <c r="F18" i="75" s="1"/>
  <c r="E31" i="3"/>
  <c r="F30" i="75" s="1"/>
  <c r="I30" s="1"/>
  <c r="E9" i="3"/>
  <c r="D16"/>
  <c r="G31" i="75"/>
  <c r="H59" i="5"/>
  <c r="E84"/>
  <c r="F59" i="1"/>
  <c r="D8" i="3"/>
  <c r="F82" i="54"/>
  <c r="E89" i="1"/>
  <c r="E90" s="1"/>
  <c r="E84" s="1"/>
  <c r="V54" l="1"/>
  <c r="V54" i="76" s="1"/>
  <c r="V59" s="1"/>
  <c r="AN83" i="1"/>
  <c r="K89"/>
  <c r="K90" s="1"/>
  <c r="K84" s="1"/>
  <c r="Q59"/>
  <c r="Q89" s="1"/>
  <c r="Q90" s="1"/>
  <c r="Q84" s="1"/>
  <c r="L59"/>
  <c r="L89" s="1"/>
  <c r="L90" s="1"/>
  <c r="L84" s="1"/>
  <c r="H89"/>
  <c r="H90" s="1"/>
  <c r="H84" s="1"/>
  <c r="T89"/>
  <c r="T90" s="1"/>
  <c r="T84" s="1"/>
  <c r="D11" i="3"/>
  <c r="I89" i="1"/>
  <c r="I90" s="1"/>
  <c r="I84" s="1"/>
  <c r="I23" i="75"/>
  <c r="G23"/>
  <c r="I18"/>
  <c r="G18"/>
  <c r="G15"/>
  <c r="I15"/>
  <c r="AB59" i="1"/>
  <c r="Y59"/>
  <c r="Y89" s="1"/>
  <c r="Y90" s="1"/>
  <c r="Y84" s="1"/>
  <c r="D23" i="3"/>
  <c r="D12"/>
  <c r="O59" i="1"/>
  <c r="Z59"/>
  <c r="G29" i="75"/>
  <c r="D17" i="3"/>
  <c r="N89" i="1"/>
  <c r="N90" s="1"/>
  <c r="N84" s="1"/>
  <c r="G32" i="75"/>
  <c r="X55" i="1"/>
  <c r="G30" i="75"/>
  <c r="F12"/>
  <c r="F44" s="1"/>
  <c r="E28" i="3"/>
  <c r="E48" s="1"/>
  <c r="D10"/>
  <c r="G89" i="1"/>
  <c r="G90" s="1"/>
  <c r="G84" s="1"/>
  <c r="F89"/>
  <c r="F90" s="1"/>
  <c r="F84" s="1"/>
  <c r="D9" i="3"/>
  <c r="D20" l="1"/>
  <c r="D15"/>
  <c r="D30"/>
  <c r="D33"/>
  <c r="AB89" i="1"/>
  <c r="AB90" s="1"/>
  <c r="AB84" s="1"/>
  <c r="AG55"/>
  <c r="AM55" s="1"/>
  <c r="G12" i="75"/>
  <c r="G44" s="1"/>
  <c r="F50"/>
  <c r="G50" s="1"/>
  <c r="D18" i="3"/>
  <c r="O89" i="1"/>
  <c r="O90" s="1"/>
  <c r="O84" s="1"/>
  <c r="D31" i="3"/>
  <c r="Z89" i="1"/>
  <c r="Z90" s="1"/>
  <c r="Z84" s="1"/>
  <c r="I12" i="75"/>
  <c r="I50" s="1"/>
  <c r="I57" l="1"/>
  <c r="J14"/>
  <c r="F54"/>
  <c r="G54" s="1"/>
  <c r="F57" l="1"/>
  <c r="G57" s="1"/>
  <c r="X54" i="1" l="1"/>
  <c r="AG54" s="1"/>
  <c r="V59"/>
  <c r="X59" l="1"/>
  <c r="D25" i="3"/>
  <c r="D28" s="1"/>
  <c r="D48" s="1"/>
  <c r="V89" i="1"/>
  <c r="V90" s="1"/>
  <c r="V84" s="1"/>
  <c r="H28" i="3" l="1"/>
  <c r="X89" i="1"/>
  <c r="X90" s="1"/>
  <c r="X84" s="1"/>
  <c r="F48" i="3" l="1"/>
  <c r="AG16" i="1" l="1"/>
  <c r="AM16" s="1"/>
  <c r="AG65"/>
  <c r="AM65" s="1"/>
  <c r="AO65" s="1"/>
  <c r="AG35"/>
  <c r="AM35" s="1"/>
  <c r="AO35" s="1"/>
  <c r="AG23"/>
  <c r="AM23" s="1"/>
  <c r="AO23" s="1"/>
  <c r="AP23" s="1"/>
  <c r="H23" i="54" s="1"/>
  <c r="AG46" i="1"/>
  <c r="AM46" s="1"/>
  <c r="AO46" s="1"/>
  <c r="AG71"/>
  <c r="AM71" s="1"/>
  <c r="AO71" s="1"/>
  <c r="AG36"/>
  <c r="AM36" s="1"/>
  <c r="AG79"/>
  <c r="AM79" s="1"/>
  <c r="AO79" s="1"/>
  <c r="AG47"/>
  <c r="AM47" s="1"/>
  <c r="AO47" s="1"/>
  <c r="AG41"/>
  <c r="AM41" s="1"/>
  <c r="AO41" s="1"/>
  <c r="AG39"/>
  <c r="AM39" s="1"/>
  <c r="AO39" s="1"/>
  <c r="AG76"/>
  <c r="AM76" s="1"/>
  <c r="AO76" s="1"/>
  <c r="AM54"/>
  <c r="AO54" s="1"/>
  <c r="AP54" s="1"/>
  <c r="AG28"/>
  <c r="AM28" s="1"/>
  <c r="AO28" s="1"/>
  <c r="AP28" s="1"/>
  <c r="H28" i="54" s="1"/>
  <c r="AG57" i="1"/>
  <c r="AM57" s="1"/>
  <c r="AO57" s="1"/>
  <c r="AG29"/>
  <c r="AM29" s="1"/>
  <c r="AO29" s="1"/>
  <c r="AP29" s="1"/>
  <c r="H29" i="54" s="1"/>
  <c r="AG45" i="1"/>
  <c r="AM45" s="1"/>
  <c r="AO45" s="1"/>
  <c r="AG17"/>
  <c r="AM17" s="1"/>
  <c r="AO17" s="1"/>
  <c r="AP17" s="1"/>
  <c r="H17" i="54" s="1"/>
  <c r="AM22" i="1"/>
  <c r="AG24"/>
  <c r="AM24" s="1"/>
  <c r="AO24" s="1"/>
  <c r="AG56"/>
  <c r="AM56" s="1"/>
  <c r="AO56" s="1"/>
  <c r="AG40"/>
  <c r="AM40" s="1"/>
  <c r="AO40" s="1"/>
  <c r="AG69"/>
  <c r="AM69" s="1"/>
  <c r="AG70"/>
  <c r="AM70" s="1"/>
  <c r="AO70" s="1"/>
  <c r="AG74"/>
  <c r="AM74" s="1"/>
  <c r="AO74" s="1"/>
  <c r="AG30"/>
  <c r="AM30" s="1"/>
  <c r="AG64"/>
  <c r="AG34"/>
  <c r="AM34" s="1"/>
  <c r="AO34" s="1"/>
  <c r="AG44"/>
  <c r="AM44" s="1"/>
  <c r="AG77"/>
  <c r="AM77" s="1"/>
  <c r="AO77" s="1"/>
  <c r="AG78"/>
  <c r="AM78" s="1"/>
  <c r="AO78" s="1"/>
  <c r="AG63"/>
  <c r="AM63" s="1"/>
  <c r="AO63" s="1"/>
  <c r="AP63" s="1"/>
  <c r="H63" i="54" s="1"/>
  <c r="H54" l="1"/>
  <c r="AM64" i="1"/>
  <c r="AM66" s="1"/>
  <c r="AM72"/>
  <c r="AO69"/>
  <c r="AM25"/>
  <c r="AO22"/>
  <c r="AP22" s="1"/>
  <c r="H22" i="54" s="1"/>
  <c r="AO44" i="1"/>
  <c r="AM48"/>
  <c r="AO16"/>
  <c r="AP16" s="1"/>
  <c r="H16" i="54" s="1"/>
  <c r="AM18" i="1"/>
  <c r="AO36"/>
  <c r="AM37"/>
  <c r="AO30"/>
  <c r="AP30" s="1"/>
  <c r="H30" i="54" s="1"/>
  <c r="AM31" i="1"/>
  <c r="AG37"/>
  <c r="AG48"/>
  <c r="AG72"/>
  <c r="AG25"/>
  <c r="AG66"/>
  <c r="AG31"/>
  <c r="AG18"/>
  <c r="AO64" l="1"/>
  <c r="AO66" s="1"/>
  <c r="AM49"/>
  <c r="AM51" s="1"/>
  <c r="AM59" s="1"/>
  <c r="F26" i="55"/>
  <c r="AM73" i="1"/>
  <c r="AM75" s="1"/>
  <c r="AM82" s="1"/>
  <c r="AP79"/>
  <c r="H79" i="54" s="1"/>
  <c r="AG73" i="1"/>
  <c r="AG75" s="1"/>
  <c r="AG82" s="1"/>
  <c r="AP35"/>
  <c r="H35" i="54" s="1"/>
  <c r="AO18" i="1"/>
  <c r="AP69"/>
  <c r="H69" i="54" s="1"/>
  <c r="AO72" i="1"/>
  <c r="AO37"/>
  <c r="AP70"/>
  <c r="H70" i="54" s="1"/>
  <c r="AO25" i="1"/>
  <c r="AP71"/>
  <c r="H71" i="54" s="1"/>
  <c r="AP74" i="1"/>
  <c r="H74" i="54" s="1"/>
  <c r="AP47" i="1"/>
  <c r="H47" i="54" s="1"/>
  <c r="AP36" i="1"/>
  <c r="H36" i="54" s="1"/>
  <c r="AP57" i="1"/>
  <c r="H57" i="54" s="1"/>
  <c r="AP65" i="1"/>
  <c r="H65" i="54" s="1"/>
  <c r="AP41" i="1"/>
  <c r="H41" i="54" s="1"/>
  <c r="AP78" i="1"/>
  <c r="H78" i="54" s="1"/>
  <c r="AP56" i="1"/>
  <c r="H56" i="54" s="1"/>
  <c r="AP24" i="1"/>
  <c r="H24" i="54" s="1"/>
  <c r="AP39" i="1"/>
  <c r="H39" i="54" s="1"/>
  <c r="AP40" i="1"/>
  <c r="H40" i="54" s="1"/>
  <c r="AP77" i="1"/>
  <c r="H77" i="54" s="1"/>
  <c r="AP76" i="1"/>
  <c r="H76" i="54" s="1"/>
  <c r="AG49" i="1"/>
  <c r="AG51" s="1"/>
  <c r="AG59" s="1"/>
  <c r="AP34"/>
  <c r="H34" i="54" s="1"/>
  <c r="AP46" i="1"/>
  <c r="H46" i="54" s="1"/>
  <c r="AP45" i="1"/>
  <c r="H45" i="54" s="1"/>
  <c r="AP44" i="1"/>
  <c r="H44" i="54" s="1"/>
  <c r="AO48" i="1"/>
  <c r="AO31"/>
  <c r="J58" i="75" l="1"/>
  <c r="H55" i="54"/>
  <c r="AP64" i="1"/>
  <c r="G71" i="54"/>
  <c r="G39"/>
  <c r="G70"/>
  <c r="J74"/>
  <c r="AO49" i="1"/>
  <c r="AO51" s="1"/>
  <c r="AO59" s="1"/>
  <c r="J35" i="54"/>
  <c r="AM89" i="1"/>
  <c r="AM90" s="1"/>
  <c r="AM84" s="1"/>
  <c r="G77" i="54"/>
  <c r="AO73" i="1"/>
  <c r="AO75" s="1"/>
  <c r="AO82" s="1"/>
  <c r="G69" i="54"/>
  <c r="AG89" i="1"/>
  <c r="AG90" s="1"/>
  <c r="AG84" s="1"/>
  <c r="AP72"/>
  <c r="J29" i="54"/>
  <c r="AP25" i="1"/>
  <c r="AP18"/>
  <c r="AP31"/>
  <c r="G36" i="54"/>
  <c r="AP37" i="1"/>
  <c r="AP48"/>
  <c r="G54" i="54"/>
  <c r="H48" i="3"/>
  <c r="AP66" i="1" l="1"/>
  <c r="H64" i="54"/>
  <c r="AP49" i="1"/>
  <c r="AP51" s="1"/>
  <c r="AP59" s="1"/>
  <c r="F18" i="55" s="1"/>
  <c r="G29" i="54"/>
  <c r="J71"/>
  <c r="J77"/>
  <c r="J79"/>
  <c r="G79"/>
  <c r="AP73" i="1"/>
  <c r="AP75" s="1"/>
  <c r="AO83"/>
  <c r="J70" i="54"/>
  <c r="H72"/>
  <c r="J69"/>
  <c r="G35"/>
  <c r="H31"/>
  <c r="G74"/>
  <c r="J65"/>
  <c r="G65"/>
  <c r="J56"/>
  <c r="G56"/>
  <c r="G28"/>
  <c r="J28"/>
  <c r="J24"/>
  <c r="G24"/>
  <c r="G76"/>
  <c r="J76"/>
  <c r="J41"/>
  <c r="G41"/>
  <c r="G64"/>
  <c r="J64"/>
  <c r="J17"/>
  <c r="G17"/>
  <c r="G23"/>
  <c r="J23"/>
  <c r="J57"/>
  <c r="G57"/>
  <c r="H25"/>
  <c r="J22"/>
  <c r="G22"/>
  <c r="J78"/>
  <c r="G78"/>
  <c r="G55"/>
  <c r="J55"/>
  <c r="G63"/>
  <c r="J63"/>
  <c r="H66"/>
  <c r="J16"/>
  <c r="G16"/>
  <c r="H18"/>
  <c r="G40"/>
  <c r="J40"/>
  <c r="G47"/>
  <c r="J47"/>
  <c r="J30"/>
  <c r="G30"/>
  <c r="G72"/>
  <c r="G34"/>
  <c r="J34"/>
  <c r="H37"/>
  <c r="G46"/>
  <c r="J46"/>
  <c r="G45"/>
  <c r="J45"/>
  <c r="G44"/>
  <c r="H48"/>
  <c r="AO89" i="1"/>
  <c r="AO90" s="1"/>
  <c r="AO84" s="1"/>
  <c r="AT63" s="1"/>
  <c r="AT66" s="1"/>
  <c r="AP82" l="1"/>
  <c r="G37" i="54"/>
  <c r="H73"/>
  <c r="H75" s="1"/>
  <c r="H81" s="1"/>
  <c r="J72"/>
  <c r="J25"/>
  <c r="G31"/>
  <c r="J31"/>
  <c r="J66"/>
  <c r="G25"/>
  <c r="G18"/>
  <c r="G66"/>
  <c r="G73" s="1"/>
  <c r="G48"/>
  <c r="H49"/>
  <c r="H51" s="1"/>
  <c r="H59" s="1"/>
  <c r="H82" l="1"/>
  <c r="AP89" i="1"/>
  <c r="AP90" s="1"/>
  <c r="AP84" s="1"/>
  <c r="F12" i="55"/>
  <c r="F16" s="1"/>
  <c r="F20" s="1"/>
  <c r="F24" s="1"/>
  <c r="AP83" i="1"/>
  <c r="G75" i="54"/>
  <c r="G81" s="1"/>
  <c r="J73"/>
  <c r="J75" s="1"/>
  <c r="J81" s="1"/>
  <c r="G49"/>
  <c r="G51" s="1"/>
  <c r="G59" s="1"/>
  <c r="F28" i="55" l="1"/>
  <c r="J12" i="56"/>
  <c r="I15" i="54" s="1"/>
  <c r="J15" s="1"/>
  <c r="J18" s="1"/>
  <c r="J19" i="56" l="1"/>
  <c r="I36" i="54" s="1"/>
  <c r="I37" s="1"/>
  <c r="J17" i="56"/>
  <c r="I44" i="54" s="1"/>
  <c r="J15" i="56"/>
  <c r="I39" i="54" s="1"/>
  <c r="J39" s="1"/>
  <c r="I18"/>
  <c r="J36" l="1"/>
  <c r="J37" s="1"/>
  <c r="I48"/>
  <c r="I49" s="1"/>
  <c r="I51" s="1"/>
  <c r="J21" i="56"/>
  <c r="J23" s="1"/>
  <c r="J25" s="1"/>
  <c r="I54" i="54" s="1"/>
  <c r="J54" s="1"/>
  <c r="J44" l="1"/>
  <c r="J48" s="1"/>
  <c r="J49" s="1"/>
  <c r="J51" s="1"/>
  <c r="J59" s="1"/>
  <c r="J82" s="1"/>
  <c r="J27" i="56"/>
  <c r="I59" i="54"/>
  <c r="A12" i="3"/>
  <c r="A15" i="75" s="1"/>
  <c r="J29" i="56" l="1"/>
  <c r="J30" s="1"/>
  <c r="A13" i="3"/>
  <c r="A16" i="75" s="1"/>
  <c r="A14" i="3" l="1"/>
  <c r="A17" i="75" s="1"/>
  <c r="A15" i="3" l="1"/>
  <c r="A18" i="75" s="1"/>
  <c r="A16" i="3" l="1"/>
  <c r="A19" i="75" s="1"/>
  <c r="A17" i="3" l="1"/>
  <c r="A20" i="75" s="1"/>
  <c r="A18" i="3" l="1"/>
  <c r="A21" i="75" s="1"/>
  <c r="A19" i="3" l="1"/>
  <c r="A22" i="75" s="1"/>
  <c r="A20" i="3" l="1"/>
  <c r="A23" i="75" s="1"/>
  <c r="A21" i="3" l="1"/>
  <c r="A24" i="75" s="1"/>
  <c r="A23" i="3" l="1"/>
  <c r="A26" i="75" s="1"/>
  <c r="A24" i="3" l="1"/>
  <c r="A27" i="75" s="1"/>
  <c r="E8" l="1"/>
  <c r="A25" i="3"/>
  <c r="A28" i="75" s="1"/>
  <c r="A26" i="3" l="1"/>
</calcChain>
</file>

<file path=xl/comments1.xml><?xml version="1.0" encoding="utf-8"?>
<comments xmlns="http://schemas.openxmlformats.org/spreadsheetml/2006/main">
  <authors>
    <author>rzk7kq</author>
  </authors>
  <commentList>
    <comment ref="B60" authorId="0">
      <text>
        <r>
          <rPr>
            <b/>
            <sz val="8"/>
            <color indexed="81"/>
            <rFont val="Tahoma"/>
            <family val="2"/>
          </rPr>
          <t xml:space="preserve">rzk7kq: </t>
        </r>
        <r>
          <rPr>
            <sz val="8"/>
            <color indexed="81"/>
            <rFont val="Tahoma"/>
            <family val="2"/>
          </rPr>
          <t xml:space="preserve">
AFUDC Equity - all 419100 accounts
AFUDC Debt - all 432000 accounts</t>
        </r>
      </text>
    </comment>
    <comment ref="F126" author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2.xml><?xml version="1.0" encoding="utf-8"?>
<comments xmlns="http://schemas.openxmlformats.org/spreadsheetml/2006/main">
  <authors>
    <author>Avista Corp Employee</author>
  </authors>
  <commentList>
    <comment ref="B101" authorId="0">
      <text>
        <r>
          <rPr>
            <b/>
            <sz val="8"/>
            <color indexed="81"/>
            <rFont val="Tahoma"/>
            <family val="2"/>
          </rPr>
          <t>5/6/02 - This is revenue from JP Releases</t>
        </r>
      </text>
    </comment>
  </commentList>
</comments>
</file>

<file path=xl/sharedStrings.xml><?xml version="1.0" encoding="utf-8"?>
<sst xmlns="http://schemas.openxmlformats.org/spreadsheetml/2006/main" count="930" uniqueCount="535">
  <si>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</si>
  <si>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</si>
  <si>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</si>
  <si>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</si>
  <si>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</si>
  <si>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</si>
  <si>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</si>
  <si>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</si>
  <si>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</si>
  <si>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</si>
  <si>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</si>
  <si>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</si>
  <si>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</si>
  <si>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 xml:space="preserve">and </t>
  </si>
  <si>
    <t>Debt</t>
  </si>
  <si>
    <t>Charges to</t>
  </si>
  <si>
    <t>Pro Forma</t>
  </si>
  <si>
    <t>No.</t>
  </si>
  <si>
    <t>DESCRIPTION</t>
  </si>
  <si>
    <t>Report</t>
  </si>
  <si>
    <t>Rate Base</t>
  </si>
  <si>
    <t>Adjustment</t>
  </si>
  <si>
    <t>Taxes</t>
  </si>
  <si>
    <t>Tax</t>
  </si>
  <si>
    <t>Damages</t>
  </si>
  <si>
    <t>Interest</t>
  </si>
  <si>
    <t>Subs</t>
  </si>
  <si>
    <t>Total</t>
  </si>
  <si>
    <t>a</t>
  </si>
  <si>
    <t>b</t>
  </si>
  <si>
    <t>c</t>
  </si>
  <si>
    <t>d</t>
  </si>
  <si>
    <t>e</t>
  </si>
  <si>
    <t>f</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</si>
  <si>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</si>
  <si>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</si>
  <si>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</si>
  <si>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</si>
  <si>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</si>
  <si>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</si>
  <si>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</si>
  <si>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</si>
  <si>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</si>
  <si>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</si>
  <si>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</si>
  <si>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</si>
  <si>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</si>
  <si>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</si>
  <si>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</si>
  <si>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</si>
  <si>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</si>
  <si>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</si>
  <si>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</si>
  <si>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</si>
  <si>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</si>
  <si>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</si>
  <si>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</si>
  <si>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</si>
  <si>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</si>
  <si>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</si>
  <si>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</si>
  <si>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</si>
  <si>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</si>
  <si>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</si>
  <si>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</si>
  <si>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</si>
  <si>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</si>
  <si>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DEFERRED FIT</t>
  </si>
  <si>
    <t>GAS INVENTORY</t>
  </si>
  <si>
    <t>GAIN ON SALE OF BUILDING</t>
  </si>
  <si>
    <t>TOTAL RATE BASE</t>
  </si>
  <si>
    <t>Washington Gas</t>
  </si>
  <si>
    <t>Column</t>
  </si>
  <si>
    <t>Description</t>
  </si>
  <si>
    <t xml:space="preserve">NOI   </t>
  </si>
  <si>
    <t>ROR</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</si>
  <si>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</si>
  <si>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</si>
  <si>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</si>
  <si>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</si>
  <si>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</si>
  <si>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</si>
  <si>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</si>
  <si>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</si>
  <si>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</si>
  <si>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</si>
  <si>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</si>
  <si>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</si>
  <si>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</si>
  <si>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</si>
  <si>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</si>
  <si>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</si>
  <si>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</si>
  <si>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</si>
  <si>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</si>
  <si>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</si>
  <si>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</si>
  <si>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</si>
  <si>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</si>
  <si>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</si>
  <si>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</si>
  <si>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</si>
  <si>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</si>
  <si>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</si>
  <si>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</si>
  <si>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</si>
  <si>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</si>
  <si>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</si>
  <si>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</si>
  <si>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</si>
  <si>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</si>
  <si>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</si>
  <si>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</si>
  <si>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</si>
  <si>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</si>
  <si>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</si>
  <si>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</si>
  <si>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</si>
  <si>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</si>
  <si>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</si>
  <si>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</si>
  <si>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</si>
  <si>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</si>
  <si>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done</t>
  </si>
  <si>
    <t>not done</t>
  </si>
  <si>
    <t>Liz</t>
  </si>
  <si>
    <t>Weighted Average Cost of Debt</t>
  </si>
  <si>
    <t xml:space="preserve">     Pro Forma Total</t>
  </si>
  <si>
    <t>Restate Debt Interest</t>
  </si>
  <si>
    <t>Theresa</t>
  </si>
  <si>
    <t>Labor</t>
  </si>
  <si>
    <t>Non-Exec</t>
  </si>
  <si>
    <t>Exec</t>
  </si>
  <si>
    <t>Jeanne</t>
  </si>
  <si>
    <t>Net</t>
  </si>
  <si>
    <t>Excise</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</si>
  <si>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</si>
  <si>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</si>
  <si>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</si>
  <si>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</si>
  <si>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</si>
  <si>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</si>
  <si>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</si>
  <si>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</si>
  <si>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</si>
  <si>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</si>
  <si>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</si>
  <si>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</si>
  <si>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Percentage Revenue Increase</t>
  </si>
  <si>
    <t>WITH PRESENT RATES</t>
  </si>
  <si>
    <t>WITH PROPOSED RATES</t>
  </si>
  <si>
    <t>Actual Per</t>
  </si>
  <si>
    <t>Proposed</t>
  </si>
  <si>
    <t>Revenues &amp;</t>
  </si>
  <si>
    <t>Related Exp</t>
  </si>
  <si>
    <t>(000's OF DOLLARS)</t>
  </si>
  <si>
    <t xml:space="preserve">Pro Forma Rate Base </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</si>
  <si>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</si>
  <si>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</si>
  <si>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</si>
  <si>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</si>
  <si>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</si>
  <si>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</si>
  <si>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</si>
  <si>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</si>
  <si>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</si>
  <si>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</si>
  <si>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</si>
  <si>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</si>
  <si>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</si>
  <si>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</si>
  <si>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Misc</t>
  </si>
  <si>
    <t xml:space="preserve">Karen </t>
  </si>
  <si>
    <t>Employee</t>
  </si>
  <si>
    <t>Benefits</t>
  </si>
  <si>
    <t>Insurance</t>
  </si>
  <si>
    <t>Restating</t>
  </si>
  <si>
    <t>REVENUE REQUIREMENT</t>
  </si>
  <si>
    <t xml:space="preserve">REVISED - Agreed to Cost of Capital in Partial Settlement Stipulation </t>
  </si>
  <si>
    <t>Common Equity</t>
  </si>
  <si>
    <t>Filed Revenue Requirement</t>
  </si>
  <si>
    <t xml:space="preserve">Adjusted Revenue Requirement </t>
  </si>
  <si>
    <t>Liz/Karen</t>
  </si>
  <si>
    <t>Jen</t>
  </si>
  <si>
    <t>NET PLANT</t>
  </si>
  <si>
    <t>Jen/Karen</t>
  </si>
  <si>
    <t>Joe</t>
  </si>
  <si>
    <t xml:space="preserve">WORKING CAPITAL </t>
  </si>
  <si>
    <t>WORKING CAPITAL</t>
  </si>
  <si>
    <t>Atmospheric</t>
  </si>
  <si>
    <t>Testing</t>
  </si>
  <si>
    <t>Incentive</t>
  </si>
  <si>
    <t>`</t>
  </si>
  <si>
    <t>Done</t>
  </si>
  <si>
    <t>Not Done</t>
  </si>
  <si>
    <t>Debt Interest</t>
  </si>
  <si>
    <t>Adjsutment Number</t>
  </si>
  <si>
    <t>Workpaper Reference</t>
  </si>
  <si>
    <t>G-ROO</t>
  </si>
  <si>
    <t>G-DFIT</t>
  </si>
  <si>
    <t>G-DDC</t>
  </si>
  <si>
    <t>G-RNGC</t>
  </si>
  <si>
    <t>G-EBO</t>
  </si>
  <si>
    <t>G-UE</t>
  </si>
  <si>
    <t>G-RE</t>
  </si>
  <si>
    <t>G-ID</t>
  </si>
  <si>
    <t>G-FIT</t>
  </si>
  <si>
    <t>G-NGL</t>
  </si>
  <si>
    <t>G-OSC</t>
  </si>
  <si>
    <t>G-MR</t>
  </si>
  <si>
    <t>G-RI</t>
  </si>
  <si>
    <t>G-DI</t>
  </si>
  <si>
    <t>G-PLN</t>
  </si>
  <si>
    <t>G-PLE</t>
  </si>
  <si>
    <t>G-PEB</t>
  </si>
  <si>
    <t>G-PI</t>
  </si>
  <si>
    <t>Depreciation/Amortization</t>
  </si>
  <si>
    <t xml:space="preserve">WASHINGTON NATURAL GAS RESULTS </t>
  </si>
  <si>
    <t>ACCUMULATED DEPRECIATION/AMORT</t>
  </si>
  <si>
    <t>Net Plant After DFIT</t>
  </si>
  <si>
    <t>Production Expenses</t>
  </si>
  <si>
    <t>DEFREED TAXES</t>
  </si>
  <si>
    <t xml:space="preserve">Blue = Input </t>
  </si>
  <si>
    <t>Black = Formula/Text</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</si>
  <si>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</si>
  <si>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</si>
  <si>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</si>
  <si>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</si>
  <si>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</si>
  <si>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</si>
  <si>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</si>
  <si>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</si>
  <si>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</si>
  <si>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</si>
  <si>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</si>
  <si>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</si>
  <si>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</si>
  <si>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</si>
  <si>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</si>
  <si>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</si>
  <si>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</si>
  <si>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</si>
  <si>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</si>
  <si>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</si>
  <si>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</si>
  <si>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</si>
  <si>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</si>
  <si>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</si>
  <si>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</si>
  <si>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</si>
  <si>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</si>
  <si>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</si>
  <si>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</si>
  <si>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</si>
  <si>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</si>
  <si>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</si>
  <si>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Deferred Debits</t>
  </si>
  <si>
    <t>Credits</t>
  </si>
  <si>
    <t xml:space="preserve">Production Expenses </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</si>
  <si>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</si>
  <si>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</si>
  <si>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</si>
  <si>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</si>
  <si>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</si>
  <si>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</si>
  <si>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</si>
  <si>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</si>
  <si>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</si>
  <si>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</si>
  <si>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</si>
  <si>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</si>
  <si>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</si>
  <si>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</si>
  <si>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</si>
  <si>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</si>
  <si>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</si>
  <si>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</si>
  <si>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</si>
  <si>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</si>
  <si>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</si>
  <si>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</si>
  <si>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</si>
  <si>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</si>
  <si>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</si>
  <si>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</si>
  <si>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</si>
  <si>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</si>
  <si>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</si>
  <si>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</si>
  <si>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</si>
  <si>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</si>
  <si>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</si>
  <si>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</si>
  <si>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</si>
  <si>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</si>
  <si>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</si>
  <si>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</si>
  <si>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</si>
  <si>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</si>
  <si>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</si>
  <si>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</si>
  <si>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</si>
  <si>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</si>
  <si>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</si>
  <si>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</si>
  <si>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</si>
  <si>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</si>
  <si>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</si>
  <si>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</si>
  <si>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</si>
  <si>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</si>
  <si>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</si>
  <si>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</si>
  <si>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</si>
  <si>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</si>
  <si>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</si>
  <si>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</si>
  <si>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</si>
  <si>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</si>
  <si>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</si>
  <si>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</si>
  <si>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</si>
  <si>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</si>
  <si>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</si>
  <si>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</si>
  <si>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</si>
  <si>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</si>
  <si>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</si>
  <si>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</si>
  <si>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</si>
  <si>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</si>
  <si>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</si>
  <si>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</si>
  <si>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</si>
  <si>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</si>
  <si>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</si>
  <si>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</si>
  <si>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</si>
  <si>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</si>
  <si>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</si>
  <si>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</si>
  <si>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</si>
  <si>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</si>
  <si>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</si>
  <si>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</si>
  <si>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</si>
  <si>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</si>
  <si>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</si>
  <si>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</si>
  <si>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</si>
  <si>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</si>
  <si>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</si>
  <si>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407X28</t>
  </si>
  <si>
    <t>Reg Credit/Debit Decoupling Def Rev</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</si>
  <si>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</si>
  <si>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</si>
  <si>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</si>
  <si>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</si>
  <si>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</si>
  <si>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</si>
  <si>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</si>
  <si>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</si>
  <si>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</si>
  <si>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</si>
  <si>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</si>
  <si>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</si>
  <si>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</si>
  <si>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</si>
  <si>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</si>
  <si>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</si>
  <si>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</si>
  <si>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</si>
  <si>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</si>
  <si>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</si>
  <si>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</si>
  <si>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</si>
  <si>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</si>
  <si>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</si>
  <si>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</si>
  <si>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</si>
  <si>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</si>
  <si>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</si>
  <si>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</si>
  <si>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</si>
  <si>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</si>
  <si>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</si>
  <si>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</si>
  <si>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</si>
  <si>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</si>
  <si>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</si>
  <si>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</si>
  <si>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</si>
  <si>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</si>
  <si>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</si>
  <si>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</si>
  <si>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</si>
  <si>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</si>
  <si>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</si>
  <si>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</si>
  <si>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</si>
  <si>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</si>
  <si>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</si>
  <si>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</si>
  <si>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</si>
  <si>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</si>
  <si>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</si>
  <si>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</si>
  <si>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</si>
  <si>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</si>
  <si>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</si>
  <si>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</si>
  <si>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</si>
  <si>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</si>
  <si>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</si>
  <si>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</si>
  <si>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</si>
  <si>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</si>
  <si>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</si>
  <si>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</si>
  <si>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</si>
  <si>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</si>
  <si>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</si>
  <si>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</si>
  <si>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</si>
  <si>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</si>
  <si>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</si>
  <si>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</si>
  <si>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</si>
  <si>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</si>
  <si>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</si>
  <si>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</si>
  <si>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</si>
  <si>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</si>
  <si>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</si>
  <si>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</si>
  <si>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</si>
  <si>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</si>
  <si>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</si>
  <si>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</si>
  <si>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ACCUMULATED DEPREC/AMORT</t>
  </si>
  <si>
    <t>Total Accum. Depreciation/Amort.</t>
  </si>
  <si>
    <t>OTHER</t>
  </si>
  <si>
    <t>Reviewed</t>
  </si>
  <si>
    <t>(Pro Forma Restate Debt)</t>
  </si>
  <si>
    <t>All other</t>
  </si>
  <si>
    <t>Summary</t>
  </si>
  <si>
    <t>Pro Forma Rate of Return</t>
  </si>
  <si>
    <t>G-RET</t>
  </si>
  <si>
    <t>Capital Add</t>
  </si>
  <si>
    <t>R-Ttl</t>
  </si>
  <si>
    <t>PF-STtl</t>
  </si>
  <si>
    <t>O&amp;M</t>
  </si>
  <si>
    <t>Offsets</t>
  </si>
  <si>
    <t>G-OFF</t>
  </si>
  <si>
    <t xml:space="preserve">FIT / </t>
  </si>
  <si>
    <t xml:space="preserve">DFIT </t>
  </si>
  <si>
    <t>Proposed:</t>
  </si>
  <si>
    <t>Total Debt</t>
  </si>
  <si>
    <t>Revenue requirement</t>
  </si>
  <si>
    <t xml:space="preserve">Stl Attrition Adj= </t>
  </si>
  <si>
    <t>Pro Forma Adjustments</t>
  </si>
  <si>
    <t>Restating adjustments</t>
  </si>
  <si>
    <t>Attrition Components</t>
  </si>
  <si>
    <t>Remaining Pro Forma Adjustments</t>
  </si>
  <si>
    <t>Planned</t>
  </si>
  <si>
    <t>G-CAP14</t>
  </si>
  <si>
    <t>G-CAP15</t>
  </si>
  <si>
    <t>G-RPT</t>
  </si>
  <si>
    <t>G-PPT</t>
  </si>
  <si>
    <t>Working</t>
  </si>
  <si>
    <t>G-WC</t>
  </si>
  <si>
    <t>OPEN</t>
  </si>
  <si>
    <t>Gains/Losses</t>
  </si>
  <si>
    <t>Ryan</t>
  </si>
  <si>
    <t>Karen</t>
  </si>
  <si>
    <t xml:space="preserve">Jen </t>
  </si>
  <si>
    <t>407429</t>
  </si>
  <si>
    <t>Reg Credit Decoupling Rebate</t>
  </si>
  <si>
    <t>ADFIT - Common Plant (283750 from C-DTX)</t>
  </si>
  <si>
    <t xml:space="preserve">Pro Forma </t>
  </si>
  <si>
    <t xml:space="preserve">Information </t>
  </si>
  <si>
    <t>Tech/Serv Exp</t>
  </si>
  <si>
    <t>Restated</t>
  </si>
  <si>
    <t>Sub-Total</t>
  </si>
  <si>
    <t>G-ISIT</t>
  </si>
  <si>
    <t>Attrition</t>
  </si>
  <si>
    <t>(1)</t>
  </si>
  <si>
    <t xml:space="preserve">Normalization </t>
  </si>
  <si>
    <t>Total General Business Revenues*</t>
  </si>
  <si>
    <t>* Line 8 "Total General Business Revenues" includes special contract transportation revenues.</t>
  </si>
  <si>
    <t>Total (2)</t>
  </si>
  <si>
    <t>Adjusted</t>
  </si>
  <si>
    <t>CALCULATION OF GENERAL REVENUE REQUIREMENT</t>
  </si>
  <si>
    <t>WASHINGTON NATURAL GAS</t>
  </si>
  <si>
    <t>WASHINGTON NATURAL GAS - PRO FORMA STUDY</t>
  </si>
  <si>
    <t>PROPOSED COST OF CAPITAL</t>
  </si>
  <si>
    <t>CROSS CHECK</t>
  </si>
  <si>
    <t>(000's of Dollars)</t>
  </si>
  <si>
    <t>PRO FORMA CROSS CHECK STUDY</t>
  </si>
  <si>
    <t>Cross Check</t>
  </si>
  <si>
    <t>PFCC-Ttl</t>
  </si>
  <si>
    <t>Reconcile</t>
  </si>
  <si>
    <t>To Attrition</t>
  </si>
  <si>
    <t>AA-Ttl</t>
  </si>
  <si>
    <t xml:space="preserve"> Revenue</t>
  </si>
  <si>
    <t xml:space="preserve">Weather </t>
  </si>
  <si>
    <t>Normalization /</t>
  </si>
  <si>
    <t>Eliminate</t>
  </si>
  <si>
    <t>Adder</t>
  </si>
  <si>
    <t>Schedules</t>
  </si>
  <si>
    <t>G-EAS</t>
  </si>
  <si>
    <t>TWELVE MONTHS ENDED SEPTEMBER 30, 2014</t>
  </si>
  <si>
    <t>RATE OF RETURN</t>
  </si>
  <si>
    <t>Dec 2014 EOP</t>
  </si>
  <si>
    <t>2015 EOP</t>
  </si>
  <si>
    <t>2016 AMA</t>
  </si>
  <si>
    <t>G-PREV</t>
  </si>
  <si>
    <t>After Attrition</t>
  </si>
  <si>
    <t xml:space="preserve">Project Compass </t>
  </si>
  <si>
    <t>Amortization</t>
  </si>
  <si>
    <t>G-PCD</t>
  </si>
  <si>
    <t>G-PFAT</t>
  </si>
  <si>
    <t>/ Pro Forma</t>
  </si>
  <si>
    <t>AA/PF-Ttl</t>
  </si>
  <si>
    <t>Revenue Requirement - 2016</t>
  </si>
  <si>
    <t>G-REC</t>
  </si>
  <si>
    <t>Tara</t>
  </si>
  <si>
    <t>Provision for Rate Refund</t>
  </si>
  <si>
    <t>Idaho Earnings Test Amortization</t>
  </si>
  <si>
    <t>Tara/Joe</t>
  </si>
  <si>
    <t>G-CAP16</t>
  </si>
  <si>
    <t>Do Last</t>
  </si>
  <si>
    <t>Deferral, Regulatory</t>
  </si>
  <si>
    <t xml:space="preserve">RATE OF RETURN </t>
  </si>
  <si>
    <t>Attrition Adjusted</t>
  </si>
</sst>
</file>

<file path=xl/styles.xml><?xml version="1.0" encoding="utf-8"?>
<styleSheet xmlns="http://schemas.openxmlformats.org/spreadsheetml/2006/main">
  <numFmts count="2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quot;$&quot;#,###_);_(&quot;$&quot;\ \(#,###\);_(* _);_(@_)"/>
    <numFmt numFmtId="169" formatCode="0.000000"/>
    <numFmt numFmtId="170" formatCode="0.000%"/>
    <numFmt numFmtId="171" formatCode="&quot;x &quot;0.00"/>
    <numFmt numFmtId="172" formatCode="&quot;x &quot;0.000"/>
    <numFmt numFmtId="173" formatCode="_(* #,##0_);_(* \(#,##0\);_(* &quot;-&quot;??_);_(@_)"/>
    <numFmt numFmtId="174" formatCode="_(&quot;$&quot;* #,##0_);_(&quot;$&quot;* \(#,##0\);_(&quot;$&quot;* &quot;-&quot;??_);_(@_)"/>
    <numFmt numFmtId="175" formatCode="0.00000"/>
    <numFmt numFmtId="176" formatCode="0000.00"/>
    <numFmt numFmtId="177" formatCode="0000"/>
    <numFmt numFmtId="178" formatCode="_(* #,##0.00000_);_(* \(#,##0.00000\);_(* &quot;-&quot;_);_(@_)"/>
  </numFmts>
  <fonts count="56">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12"/>
      <name val="Times New Roman"/>
      <family val="1"/>
    </font>
    <font>
      <sz val="10"/>
      <color indexed="10"/>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sz val="9"/>
      <color indexed="12"/>
      <name val="Times New Roman"/>
      <family val="1"/>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b/>
      <i/>
      <sz val="10"/>
      <name val="Times New Roman"/>
      <family val="1"/>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sz val="9"/>
      <color rgb="FF0033CC"/>
      <name val="Times New Roman"/>
      <family val="1"/>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9"/>
      <color rgb="FFFF0000"/>
      <name val="Times New Roman"/>
      <family val="1"/>
    </font>
    <font>
      <b/>
      <sz val="9"/>
      <color rgb="FFFF0000"/>
      <name val="Times New Roman"/>
      <family val="1"/>
    </font>
    <font>
      <b/>
      <sz val="10"/>
      <color rgb="FFFF0000"/>
      <name val="Times New Roman"/>
      <family val="1"/>
    </font>
    <font>
      <sz val="10"/>
      <color theme="3"/>
      <name val="Times New Roman"/>
      <family val="1"/>
    </font>
    <font>
      <b/>
      <sz val="8"/>
      <name val="Times New Roman"/>
      <family val="1"/>
    </font>
    <font>
      <sz val="9"/>
      <name val="Calibri"/>
      <family val="2"/>
    </font>
  </fonts>
  <fills count="7">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39" fillId="0" borderId="0"/>
    <xf numFmtId="44" fontId="1" fillId="0" borderId="0" applyFont="0" applyFill="0" applyBorder="0" applyAlignment="0" applyProtection="0"/>
    <xf numFmtId="0" fontId="45" fillId="3" borderId="0"/>
    <xf numFmtId="0" fontId="26" fillId="0" borderId="0"/>
    <xf numFmtId="0" fontId="1" fillId="0" borderId="0"/>
    <xf numFmtId="0" fontId="1" fillId="0" borderId="0"/>
    <xf numFmtId="9" fontId="1" fillId="0" borderId="0" applyFont="0" applyFill="0" applyBorder="0" applyAlignment="0" applyProtection="0"/>
    <xf numFmtId="0" fontId="39" fillId="0" borderId="0"/>
    <xf numFmtId="43" fontId="49" fillId="0" borderId="0" applyFont="0" applyFill="0" applyBorder="0" applyAlignment="0" applyProtection="0"/>
    <xf numFmtId="0" fontId="39" fillId="0" borderId="0"/>
  </cellStyleXfs>
  <cellXfs count="677">
    <xf numFmtId="0" fontId="0" fillId="0" borderId="0" xfId="0"/>
    <xf numFmtId="0" fontId="3" fillId="0" borderId="0" xfId="6" applyFont="1"/>
    <xf numFmtId="0" fontId="3" fillId="0" borderId="0" xfId="6" applyNumberFormat="1" applyFont="1" applyAlignment="1">
      <alignment horizontal="center"/>
    </xf>
    <xf numFmtId="5" fontId="3" fillId="0" borderId="0" xfId="6" applyNumberFormat="1" applyFont="1"/>
    <xf numFmtId="37" fontId="3" fillId="0" borderId="0" xfId="6" applyNumberFormat="1" applyFont="1"/>
    <xf numFmtId="0" fontId="3" fillId="0" borderId="0" xfId="6" applyNumberFormat="1" applyFont="1" applyBorder="1" applyAlignment="1">
      <alignment horizontal="center"/>
    </xf>
    <xf numFmtId="37" fontId="3" fillId="0" borderId="0" xfId="6" applyNumberFormat="1" applyFont="1" applyBorder="1"/>
    <xf numFmtId="10" fontId="3" fillId="0" borderId="0" xfId="7"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7" applyNumberFormat="1" applyFont="1"/>
    <xf numFmtId="37" fontId="3" fillId="0" borderId="0" xfId="0" applyNumberFormat="1" applyFont="1"/>
    <xf numFmtId="5" fontId="12" fillId="0" borderId="12" xfId="0" applyNumberFormat="1" applyFont="1" applyBorder="1"/>
    <xf numFmtId="0" fontId="9" fillId="0" borderId="0" xfId="0" applyFont="1"/>
    <xf numFmtId="0" fontId="9" fillId="0" borderId="0" xfId="0" applyFont="1" applyAlignment="1">
      <alignment horizontal="center"/>
    </xf>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0" fontId="9" fillId="0" borderId="0" xfId="0" applyFont="1" applyBorder="1"/>
    <xf numFmtId="5" fontId="9" fillId="0" borderId="0" xfId="0" applyNumberFormat="1" applyFont="1" applyBorder="1"/>
    <xf numFmtId="3" fontId="9" fillId="0" borderId="0" xfId="0" applyNumberFormat="1" applyFont="1" applyBorder="1"/>
    <xf numFmtId="37" fontId="9" fillId="0" borderId="0" xfId="0" applyNumberFormat="1" applyFont="1" applyBorder="1"/>
    <xf numFmtId="6" fontId="9" fillId="0" borderId="0" xfId="2" applyNumberFormat="1" applyFont="1" applyBorder="1"/>
    <xf numFmtId="3" fontId="9" fillId="0" borderId="0" xfId="0" applyNumberFormat="1" applyFont="1" applyAlignment="1">
      <alignment horizontal="center"/>
    </xf>
    <xf numFmtId="3" fontId="9" fillId="0" borderId="0" xfId="0" applyNumberFormat="1" applyFont="1"/>
    <xf numFmtId="5" fontId="9" fillId="0" borderId="0" xfId="0" applyNumberFormat="1" applyFont="1"/>
    <xf numFmtId="0" fontId="9" fillId="0" borderId="0" xfId="0" applyFont="1" applyFill="1" applyAlignment="1">
      <alignment horizontal="center"/>
    </xf>
    <xf numFmtId="5" fontId="9" fillId="0" borderId="16" xfId="0" applyNumberFormat="1" applyFont="1" applyBorder="1"/>
    <xf numFmtId="0" fontId="9" fillId="0" borderId="15" xfId="0" applyFont="1" applyBorder="1" applyAlignment="1">
      <alignment horizontal="center"/>
    </xf>
    <xf numFmtId="10" fontId="10" fillId="0" borderId="12" xfId="0" applyNumberFormat="1" applyFont="1" applyBorder="1" applyAlignment="1">
      <alignment horizontal="center"/>
    </xf>
    <xf numFmtId="3" fontId="3" fillId="0" borderId="0" xfId="6" applyNumberFormat="1" applyFont="1"/>
    <xf numFmtId="168" fontId="3" fillId="0" borderId="0" xfId="6" applyNumberFormat="1" applyFont="1"/>
    <xf numFmtId="0" fontId="5" fillId="0" borderId="0" xfId="0" applyFont="1" applyAlignment="1">
      <alignment horizontal="centerContinuous"/>
    </xf>
    <xf numFmtId="37" fontId="3" fillId="0" borderId="0" xfId="5" applyNumberFormat="1" applyFont="1"/>
    <xf numFmtId="170" fontId="3" fillId="0" borderId="0" xfId="7" applyNumberFormat="1" applyFont="1" applyBorder="1"/>
    <xf numFmtId="0" fontId="3" fillId="0" borderId="0" xfId="5" applyFont="1"/>
    <xf numFmtId="0" fontId="3" fillId="0" borderId="0" xfId="5" applyNumberFormat="1" applyFont="1" applyAlignment="1">
      <alignment horizontal="left"/>
    </xf>
    <xf numFmtId="0" fontId="3" fillId="0" borderId="0" xfId="5" applyNumberFormat="1" applyFont="1" applyAlignment="1">
      <alignment horizontal="center"/>
    </xf>
    <xf numFmtId="0" fontId="5" fillId="0" borderId="0" xfId="5" applyNumberFormat="1" applyFont="1" applyAlignment="1">
      <alignment horizontal="center"/>
    </xf>
    <xf numFmtId="0" fontId="5" fillId="0" borderId="0" xfId="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5" applyNumberFormat="1" applyFont="1" applyBorder="1" applyAlignment="1">
      <alignment horizontal="center"/>
    </xf>
    <xf numFmtId="0" fontId="5" fillId="0" borderId="2" xfId="5" applyNumberFormat="1" applyFont="1" applyBorder="1" applyAlignment="1">
      <alignment horizontal="center"/>
    </xf>
    <xf numFmtId="0" fontId="5" fillId="0" borderId="2" xfId="5" applyFont="1" applyBorder="1" applyAlignment="1">
      <alignment horizontal="center"/>
    </xf>
    <xf numFmtId="0" fontId="5" fillId="0" borderId="3" xfId="5" applyFont="1" applyBorder="1" applyAlignment="1">
      <alignment horizontal="center"/>
    </xf>
    <xf numFmtId="0" fontId="5" fillId="0" borderId="4" xfId="5" applyFont="1" applyBorder="1" applyAlignment="1">
      <alignment horizontal="center"/>
    </xf>
    <xf numFmtId="0" fontId="5" fillId="0" borderId="5" xfId="5" applyNumberFormat="1" applyFont="1" applyBorder="1" applyAlignment="1">
      <alignment horizontal="center"/>
    </xf>
    <xf numFmtId="0" fontId="5" fillId="0" borderId="6" xfId="5" applyNumberFormat="1" applyFont="1" applyBorder="1" applyAlignment="1">
      <alignment horizontal="center"/>
    </xf>
    <xf numFmtId="0" fontId="5" fillId="0" borderId="6" xfId="5" applyFont="1" applyBorder="1" applyAlignment="1">
      <alignment horizontal="center"/>
    </xf>
    <xf numFmtId="0" fontId="5" fillId="0" borderId="0" xfId="5" applyFont="1" applyBorder="1" applyAlignment="1">
      <alignment horizontal="center"/>
    </xf>
    <xf numFmtId="0" fontId="5" fillId="0" borderId="7" xfId="5" applyFont="1" applyBorder="1" applyAlignment="1">
      <alignment horizontal="center"/>
    </xf>
    <xf numFmtId="0" fontId="5" fillId="0" borderId="8" xfId="5" applyNumberFormat="1" applyFont="1" applyBorder="1" applyAlignment="1">
      <alignment horizontal="center"/>
    </xf>
    <xf numFmtId="0" fontId="5" fillId="0" borderId="9" xfId="5" applyNumberFormat="1" applyFont="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5" fillId="0" borderId="11" xfId="5" applyFont="1" applyBorder="1" applyAlignment="1">
      <alignment horizontal="center"/>
    </xf>
    <xf numFmtId="0" fontId="7" fillId="0" borderId="0" xfId="5" applyNumberFormat="1" applyFont="1" applyAlignment="1">
      <alignment horizontal="center"/>
    </xf>
    <xf numFmtId="0" fontId="7" fillId="0" borderId="0" xfId="5" applyFont="1" applyAlignment="1">
      <alignment horizontal="center"/>
    </xf>
    <xf numFmtId="10" fontId="3" fillId="0" borderId="0" xfId="6" applyNumberFormat="1" applyFont="1"/>
    <xf numFmtId="37" fontId="3" fillId="0" borderId="0" xfId="5" applyNumberFormat="1" applyFont="1" applyBorder="1" applyAlignment="1">
      <alignment horizontal="center"/>
    </xf>
    <xf numFmtId="0" fontId="3" fillId="0" borderId="0" xfId="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37" fontId="3" fillId="0" borderId="12" xfId="6" applyNumberFormat="1" applyFont="1" applyBorder="1"/>
    <xf numFmtId="173" fontId="3" fillId="0" borderId="0" xfId="1" applyNumberFormat="1" applyFont="1"/>
    <xf numFmtId="169" fontId="10" fillId="0" borderId="0" xfId="0" applyNumberFormat="1" applyFont="1" applyAlignment="1">
      <alignment horizontal="center"/>
    </xf>
    <xf numFmtId="169" fontId="20" fillId="0" borderId="0" xfId="0" applyNumberFormat="1" applyFont="1"/>
    <xf numFmtId="14" fontId="20" fillId="0" borderId="0" xfId="0" applyNumberFormat="1" applyFont="1"/>
    <xf numFmtId="0" fontId="20" fillId="0" borderId="0" xfId="0" applyFont="1"/>
    <xf numFmtId="169" fontId="20" fillId="0" borderId="0" xfId="0" applyNumberFormat="1" applyFont="1" applyAlignment="1">
      <alignment horizontal="right"/>
    </xf>
    <xf numFmtId="169" fontId="9" fillId="0" borderId="0" xfId="0" applyNumberFormat="1" applyFont="1"/>
    <xf numFmtId="169" fontId="21" fillId="0" borderId="0" xfId="0" applyNumberFormat="1" applyFont="1" applyAlignment="1">
      <alignment horizontal="center"/>
    </xf>
    <xf numFmtId="169" fontId="10" fillId="0" borderId="0" xfId="0" applyNumberFormat="1" applyFont="1"/>
    <xf numFmtId="5" fontId="9" fillId="0" borderId="0" xfId="1" applyNumberFormat="1" applyFont="1"/>
    <xf numFmtId="173" fontId="9" fillId="0" borderId="0" xfId="1" applyNumberFormat="1" applyFont="1"/>
    <xf numFmtId="169" fontId="22" fillId="0" borderId="0" xfId="0" applyNumberFormat="1" applyFont="1"/>
    <xf numFmtId="173" fontId="9" fillId="0" borderId="15" xfId="1" applyNumberFormat="1" applyFont="1" applyBorder="1"/>
    <xf numFmtId="173" fontId="9" fillId="0" borderId="0" xfId="1" applyNumberFormat="1" applyFont="1" applyBorder="1"/>
    <xf numFmtId="10" fontId="22" fillId="0" borderId="0" xfId="0" applyNumberFormat="1" applyFont="1"/>
    <xf numFmtId="173" fontId="9" fillId="0" borderId="10" xfId="1" applyNumberFormat="1" applyFont="1" applyBorder="1"/>
    <xf numFmtId="164" fontId="9" fillId="0" borderId="12" xfId="1" applyNumberFormat="1" applyFont="1" applyBorder="1"/>
    <xf numFmtId="0" fontId="15" fillId="0" borderId="0" xfId="0" applyFont="1"/>
    <xf numFmtId="169" fontId="13" fillId="0" borderId="0" xfId="0" applyNumberFormat="1" applyFont="1"/>
    <xf numFmtId="0" fontId="23" fillId="0" borderId="0" xfId="0" applyFont="1"/>
    <xf numFmtId="0" fontId="0" fillId="0" borderId="0" xfId="0" applyFill="1"/>
    <xf numFmtId="0" fontId="9" fillId="0" borderId="0" xfId="0" applyFont="1" applyFill="1" applyBorder="1"/>
    <xf numFmtId="37" fontId="9" fillId="0" borderId="0" xfId="0" applyNumberFormat="1" applyFont="1" applyFill="1" applyBorder="1"/>
    <xf numFmtId="0" fontId="9" fillId="0" borderId="0" xfId="0" applyFont="1" applyFill="1"/>
    <xf numFmtId="0" fontId="16" fillId="0" borderId="0" xfId="0" applyFont="1" applyAlignment="1">
      <alignment horizontal="right"/>
    </xf>
    <xf numFmtId="0" fontId="24" fillId="0" borderId="0" xfId="0" applyFont="1" applyFill="1"/>
    <xf numFmtId="3" fontId="25" fillId="0" borderId="0" xfId="0" applyNumberFormat="1" applyFont="1" applyFill="1"/>
    <xf numFmtId="3" fontId="3" fillId="0" borderId="0" xfId="0" applyNumberFormat="1" applyFont="1" applyFill="1"/>
    <xf numFmtId="10" fontId="9" fillId="0" borderId="0" xfId="7" applyNumberFormat="1" applyFont="1"/>
    <xf numFmtId="37" fontId="3" fillId="0" borderId="0" xfId="3" applyNumberFormat="1" applyFont="1" applyFill="1"/>
    <xf numFmtId="3" fontId="3" fillId="0" borderId="0" xfId="5" applyNumberFormat="1" applyFont="1"/>
    <xf numFmtId="169" fontId="10" fillId="0" borderId="0" xfId="0" applyNumberFormat="1" applyFont="1" applyAlignment="1"/>
    <xf numFmtId="0" fontId="10" fillId="0" borderId="0" xfId="0" applyFont="1" applyAlignment="1">
      <alignment horizontal="centerContinuous"/>
    </xf>
    <xf numFmtId="0" fontId="26" fillId="0" borderId="0" xfId="0" applyFont="1"/>
    <xf numFmtId="0" fontId="26" fillId="0" borderId="0" xfId="0" applyFont="1" applyFill="1"/>
    <xf numFmtId="37" fontId="26" fillId="0" borderId="0" xfId="5" applyNumberFormat="1" applyFont="1"/>
    <xf numFmtId="0" fontId="27" fillId="0" borderId="0" xfId="0" applyFont="1" applyFill="1" applyBorder="1" applyAlignment="1">
      <alignment horizontal="center"/>
    </xf>
    <xf numFmtId="37" fontId="26" fillId="0" borderId="0" xfId="5" applyNumberFormat="1" applyFont="1" applyFill="1" applyBorder="1"/>
    <xf numFmtId="5" fontId="29" fillId="0" borderId="0" xfId="0" applyNumberFormat="1" applyFont="1" applyFill="1" applyBorder="1"/>
    <xf numFmtId="173" fontId="26" fillId="0" borderId="0" xfId="1" applyNumberFormat="1" applyFont="1" applyFill="1" applyBorder="1"/>
    <xf numFmtId="5" fontId="26" fillId="0" borderId="0" xfId="0" applyNumberFormat="1" applyFont="1" applyFill="1" applyBorder="1"/>
    <xf numFmtId="0" fontId="27" fillId="0" borderId="0" xfId="0" applyFont="1" applyFill="1" applyBorder="1"/>
    <xf numFmtId="37" fontId="27" fillId="0" borderId="0" xfId="5" applyNumberFormat="1" applyFont="1" applyFill="1" applyBorder="1" applyAlignment="1">
      <alignment horizontal="center"/>
    </xf>
    <xf numFmtId="0" fontId="10" fillId="0" borderId="0" xfId="0" applyFont="1"/>
    <xf numFmtId="5" fontId="9" fillId="0" borderId="0" xfId="0" applyNumberFormat="1" applyFont="1" applyBorder="1" applyAlignment="1">
      <alignment horizontal="right"/>
    </xf>
    <xf numFmtId="0" fontId="4" fillId="0" borderId="0" xfId="0" applyFont="1" applyAlignment="1">
      <alignment horizontal="right"/>
    </xf>
    <xf numFmtId="0" fontId="4" fillId="0" borderId="16" xfId="0" applyFont="1" applyBorder="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3" fontId="4" fillId="0" borderId="0" xfId="1" applyNumberFormat="1" applyFont="1" applyAlignment="1">
      <alignment horizontal="center"/>
    </xf>
    <xf numFmtId="173" fontId="4" fillId="0" borderId="0" xfId="1" applyNumberFormat="1" applyFont="1"/>
    <xf numFmtId="3" fontId="3" fillId="0" borderId="0" xfId="0" applyNumberFormat="1" applyFont="1"/>
    <xf numFmtId="0" fontId="10" fillId="0" borderId="10" xfId="0" applyFont="1" applyBorder="1" applyAlignment="1">
      <alignment horizontal="center"/>
    </xf>
    <xf numFmtId="0" fontId="10" fillId="0" borderId="0" xfId="0" applyFont="1" applyFill="1" applyAlignment="1">
      <alignment horizontal="center"/>
    </xf>
    <xf numFmtId="0" fontId="34" fillId="0" borderId="0" xfId="0" applyFont="1" applyAlignment="1">
      <alignment horizontal="center"/>
    </xf>
    <xf numFmtId="0" fontId="3" fillId="0" borderId="0" xfId="6" applyNumberFormat="1" applyFont="1" applyAlignment="1">
      <alignment horizontal="center"/>
    </xf>
    <xf numFmtId="0" fontId="10" fillId="0" borderId="0" xfId="0" applyFont="1" applyFill="1" applyAlignment="1">
      <alignment horizontal="left"/>
    </xf>
    <xf numFmtId="37" fontId="9" fillId="0" borderId="0" xfId="0" applyNumberFormat="1" applyFont="1"/>
    <xf numFmtId="169" fontId="5" fillId="0" borderId="0" xfId="0" applyNumberFormat="1" applyFont="1" applyFill="1" applyAlignment="1">
      <alignment horizontal="center"/>
    </xf>
    <xf numFmtId="0" fontId="3" fillId="0" borderId="0" xfId="0" applyFont="1" applyFill="1" applyAlignment="1">
      <alignment horizontal="center"/>
    </xf>
    <xf numFmtId="175" fontId="19" fillId="0" borderId="0" xfId="0" applyNumberFormat="1" applyFont="1"/>
    <xf numFmtId="3" fontId="35" fillId="0" borderId="0" xfId="6" applyNumberFormat="1" applyFont="1" applyFill="1"/>
    <xf numFmtId="3" fontId="35" fillId="0" borderId="0" xfId="5" applyNumberFormat="1" applyFont="1" applyFill="1"/>
    <xf numFmtId="0" fontId="35" fillId="0" borderId="0" xfId="6" applyNumberFormat="1" applyFont="1" applyAlignment="1">
      <alignment horizontal="left"/>
    </xf>
    <xf numFmtId="0" fontId="35" fillId="0" borderId="0" xfId="6" applyFont="1"/>
    <xf numFmtId="3" fontId="37" fillId="0" borderId="0" xfId="6" applyNumberFormat="1" applyFont="1" applyFill="1"/>
    <xf numFmtId="3" fontId="35" fillId="0" borderId="0" xfId="6" applyNumberFormat="1" applyFont="1"/>
    <xf numFmtId="3" fontId="36" fillId="0" borderId="0" xfId="6" applyNumberFormat="1" applyFont="1"/>
    <xf numFmtId="3" fontId="38" fillId="0" borderId="0" xfId="6" applyNumberFormat="1" applyFont="1"/>
    <xf numFmtId="3" fontId="36" fillId="0" borderId="0" xfId="6" applyNumberFormat="1" applyFont="1" applyAlignment="1"/>
    <xf numFmtId="0" fontId="36" fillId="0" borderId="0" xfId="6" applyNumberFormat="1" applyFont="1" applyAlignment="1">
      <alignment horizontal="center"/>
    </xf>
    <xf numFmtId="0" fontId="36" fillId="0" borderId="0" xfId="6" applyFont="1" applyAlignment="1">
      <alignment horizontal="center"/>
    </xf>
    <xf numFmtId="3" fontId="36" fillId="0" borderId="0" xfId="6" applyNumberFormat="1" applyFont="1" applyAlignment="1">
      <alignment horizontal="center"/>
    </xf>
    <xf numFmtId="0" fontId="36" fillId="0" borderId="1" xfId="6" applyNumberFormat="1" applyFont="1" applyBorder="1" applyAlignment="1">
      <alignment horizontal="center"/>
    </xf>
    <xf numFmtId="0" fontId="36" fillId="0" borderId="2" xfId="6" applyFont="1" applyBorder="1" applyAlignment="1">
      <alignment horizontal="center"/>
    </xf>
    <xf numFmtId="0" fontId="36" fillId="0" borderId="3" xfId="6" applyFont="1" applyBorder="1" applyAlignment="1">
      <alignment horizontal="center"/>
    </xf>
    <xf numFmtId="0" fontId="35" fillId="0" borderId="4" xfId="6" applyFont="1" applyBorder="1"/>
    <xf numFmtId="3" fontId="36" fillId="0" borderId="1" xfId="6" applyNumberFormat="1" applyFont="1" applyBorder="1" applyAlignment="1">
      <alignment horizontal="center"/>
    </xf>
    <xf numFmtId="0" fontId="36" fillId="0" borderId="5" xfId="6" applyNumberFormat="1" applyFont="1" applyBorder="1" applyAlignment="1">
      <alignment horizontal="center"/>
    </xf>
    <xf numFmtId="0" fontId="36" fillId="0" borderId="6" xfId="6" applyFont="1" applyBorder="1" applyAlignment="1">
      <alignment horizontal="center"/>
    </xf>
    <xf numFmtId="0" fontId="36" fillId="0" borderId="0" xfId="6" applyFont="1" applyBorder="1" applyAlignment="1">
      <alignment horizontal="center"/>
    </xf>
    <xf numFmtId="0" fontId="35" fillId="0" borderId="7" xfId="6" applyFont="1" applyBorder="1"/>
    <xf numFmtId="3" fontId="36" fillId="0" borderId="5" xfId="6" applyNumberFormat="1" applyFont="1" applyBorder="1" applyAlignment="1">
      <alignment horizontal="center"/>
    </xf>
    <xf numFmtId="0" fontId="36" fillId="0" borderId="8" xfId="6" applyNumberFormat="1" applyFont="1" applyBorder="1" applyAlignment="1">
      <alignment horizontal="center"/>
    </xf>
    <xf numFmtId="0" fontId="36" fillId="0" borderId="9" xfId="6" applyFont="1" applyBorder="1" applyAlignment="1">
      <alignment horizontal="center"/>
    </xf>
    <xf numFmtId="0" fontId="36" fillId="0" borderId="10" xfId="6" applyFont="1" applyBorder="1" applyAlignment="1">
      <alignment horizontal="center"/>
    </xf>
    <xf numFmtId="0" fontId="36" fillId="0" borderId="11" xfId="6" applyFont="1" applyBorder="1" applyAlignment="1">
      <alignment horizontal="center"/>
    </xf>
    <xf numFmtId="3" fontId="36" fillId="0" borderId="8" xfId="6" applyNumberFormat="1" applyFont="1" applyBorder="1" applyAlignment="1">
      <alignment horizontal="center"/>
    </xf>
    <xf numFmtId="0" fontId="35" fillId="0" borderId="0" xfId="6" applyNumberFormat="1" applyFont="1" applyAlignment="1">
      <alignment horizontal="center"/>
    </xf>
    <xf numFmtId="5" fontId="35" fillId="0" borderId="0" xfId="6" applyNumberFormat="1" applyFont="1"/>
    <xf numFmtId="37" fontId="35" fillId="0" borderId="0" xfId="6" applyNumberFormat="1" applyFont="1"/>
    <xf numFmtId="0" fontId="35" fillId="0" borderId="0" xfId="6" applyNumberFormat="1" applyFont="1" applyBorder="1" applyAlignment="1">
      <alignment horizontal="center"/>
    </xf>
    <xf numFmtId="37" fontId="35" fillId="0" borderId="0" xfId="6" applyNumberFormat="1" applyFont="1" applyBorder="1"/>
    <xf numFmtId="0" fontId="35" fillId="0" borderId="0" xfId="6" applyFont="1" applyBorder="1"/>
    <xf numFmtId="0" fontId="35" fillId="0" borderId="0" xfId="6" applyNumberFormat="1" applyFont="1" applyFill="1" applyAlignment="1">
      <alignment horizontal="left"/>
    </xf>
    <xf numFmtId="0" fontId="35" fillId="0" borderId="0" xfId="6" applyFont="1" applyFill="1"/>
    <xf numFmtId="0" fontId="35" fillId="0" borderId="0" xfId="5" applyFont="1" applyFill="1"/>
    <xf numFmtId="10" fontId="35" fillId="0" borderId="0" xfId="7" applyNumberFormat="1" applyFont="1" applyFill="1"/>
    <xf numFmtId="0" fontId="35" fillId="0" borderId="0" xfId="6" applyNumberFormat="1" applyFont="1" applyFill="1" applyAlignment="1">
      <alignment horizontal="center"/>
    </xf>
    <xf numFmtId="0" fontId="35" fillId="0" borderId="0" xfId="5" applyFont="1" applyFill="1" applyAlignment="1">
      <alignment horizontal="right"/>
    </xf>
    <xf numFmtId="10" fontId="30" fillId="0" borderId="0" xfId="7" applyNumberFormat="1" applyFont="1" applyFill="1" applyBorder="1"/>
    <xf numFmtId="10" fontId="29" fillId="0" borderId="0" xfId="7" applyNumberFormat="1" applyFont="1" applyFill="1" applyBorder="1"/>
    <xf numFmtId="170" fontId="26" fillId="0" borderId="0" xfId="7" applyNumberFormat="1" applyFont="1" applyFill="1" applyBorder="1"/>
    <xf numFmtId="10" fontId="26" fillId="0" borderId="0" xfId="7" applyNumberFormat="1" applyFont="1" applyFill="1" applyBorder="1"/>
    <xf numFmtId="0" fontId="26" fillId="0" borderId="0" xfId="0" applyFont="1" applyFill="1" applyBorder="1"/>
    <xf numFmtId="37" fontId="26" fillId="0" borderId="0" xfId="3" applyNumberFormat="1" applyFont="1" applyFill="1" applyBorder="1"/>
    <xf numFmtId="37" fontId="26" fillId="0" borderId="0" xfId="3" applyNumberFormat="1" applyFont="1" applyFill="1" applyBorder="1" applyAlignment="1">
      <alignment horizontal="center"/>
    </xf>
    <xf numFmtId="0" fontId="35" fillId="0" borderId="0" xfId="6" applyFont="1" applyAlignment="1">
      <alignment horizontal="left"/>
    </xf>
    <xf numFmtId="4" fontId="36" fillId="0" borderId="0" xfId="6" applyNumberFormat="1" applyFont="1" applyAlignment="1">
      <alignment horizontal="center"/>
    </xf>
    <xf numFmtId="4" fontId="9" fillId="0" borderId="0" xfId="0" applyNumberFormat="1" applyFont="1" applyFill="1" applyAlignment="1">
      <alignment horizontal="center"/>
    </xf>
    <xf numFmtId="0" fontId="4" fillId="0" borderId="0" xfId="0" applyFont="1" applyAlignment="1">
      <alignment horizontal="center"/>
    </xf>
    <xf numFmtId="41" fontId="35" fillId="0" borderId="0" xfId="6" applyNumberFormat="1" applyFont="1"/>
    <xf numFmtId="41" fontId="35" fillId="0" borderId="10" xfId="6" applyNumberFormat="1" applyFont="1" applyBorder="1"/>
    <xf numFmtId="41" fontId="35" fillId="0" borderId="0" xfId="6" applyNumberFormat="1" applyFont="1" applyFill="1"/>
    <xf numFmtId="41" fontId="35" fillId="0" borderId="15" xfId="6" applyNumberFormat="1" applyFont="1" applyBorder="1"/>
    <xf numFmtId="41" fontId="35" fillId="0" borderId="0" xfId="6" applyNumberFormat="1" applyFont="1" applyBorder="1"/>
    <xf numFmtId="41" fontId="35" fillId="0" borderId="0" xfId="5" applyNumberFormat="1" applyFont="1" applyFill="1"/>
    <xf numFmtId="41" fontId="40" fillId="0" borderId="0" xfId="5" applyNumberFormat="1" applyFont="1" applyFill="1"/>
    <xf numFmtId="41" fontId="3" fillId="0" borderId="0" xfId="5" applyNumberFormat="1" applyFont="1" applyFill="1"/>
    <xf numFmtId="3" fontId="9" fillId="0" borderId="0" xfId="13" applyNumberFormat="1" applyFont="1"/>
    <xf numFmtId="4" fontId="9" fillId="0" borderId="0" xfId="13" applyNumberFormat="1" applyFont="1" applyBorder="1" applyAlignment="1">
      <alignment horizontal="centerContinuous"/>
    </xf>
    <xf numFmtId="3" fontId="9" fillId="0" borderId="0" xfId="13" applyNumberFormat="1" applyFont="1" applyBorder="1" applyAlignment="1">
      <alignment horizontal="left"/>
    </xf>
    <xf numFmtId="3" fontId="9" fillId="0" borderId="0" xfId="13" applyNumberFormat="1" applyFont="1" applyBorder="1" applyAlignment="1">
      <alignment horizontal="centerContinuous"/>
    </xf>
    <xf numFmtId="0" fontId="9" fillId="0" borderId="0" xfId="13" applyFont="1" applyBorder="1" applyAlignment="1">
      <alignment horizontal="centerContinuous"/>
    </xf>
    <xf numFmtId="3" fontId="9" fillId="0" borderId="0" xfId="13" applyNumberFormat="1" applyFont="1" applyAlignment="1">
      <alignment horizontal="center"/>
    </xf>
    <xf numFmtId="4" fontId="9" fillId="0" borderId="0" xfId="13" applyNumberFormat="1" applyFont="1" applyAlignment="1">
      <alignment horizontal="center"/>
    </xf>
    <xf numFmtId="3" fontId="9" fillId="0" borderId="0" xfId="13" applyNumberFormat="1" applyFont="1" applyAlignment="1">
      <alignment horizontal="left"/>
    </xf>
    <xf numFmtId="0" fontId="9" fillId="0" borderId="0" xfId="13" applyFont="1"/>
    <xf numFmtId="0" fontId="9" fillId="0" borderId="0" xfId="13" applyFont="1" applyAlignment="1">
      <alignment horizontal="center"/>
    </xf>
    <xf numFmtId="3" fontId="9" fillId="0" borderId="10" xfId="13" applyNumberFormat="1" applyFont="1" applyBorder="1" applyAlignment="1">
      <alignment horizontal="left"/>
    </xf>
    <xf numFmtId="0" fontId="9" fillId="0" borderId="10" xfId="13" applyFont="1" applyBorder="1" applyAlignment="1">
      <alignment horizontal="center"/>
    </xf>
    <xf numFmtId="3" fontId="9" fillId="0" borderId="10" xfId="13" applyNumberFormat="1" applyFont="1" applyBorder="1" applyAlignment="1">
      <alignment horizontal="center"/>
    </xf>
    <xf numFmtId="41" fontId="9" fillId="0" borderId="0" xfId="13" applyNumberFormat="1" applyFont="1" applyAlignment="1">
      <alignment horizontal="right"/>
    </xf>
    <xf numFmtId="4" fontId="9" fillId="0" borderId="0" xfId="13" applyNumberFormat="1" applyFont="1" applyAlignment="1">
      <alignment horizontal="left"/>
    </xf>
    <xf numFmtId="164" fontId="9" fillId="0" borderId="0" xfId="13" applyNumberFormat="1" applyFont="1"/>
    <xf numFmtId="0" fontId="9" fillId="0" borderId="0" xfId="13" applyFont="1" applyBorder="1"/>
    <xf numFmtId="4" fontId="23" fillId="0" borderId="0" xfId="13" applyNumberFormat="1" applyFont="1" applyAlignment="1">
      <alignment horizontal="center"/>
    </xf>
    <xf numFmtId="3" fontId="23" fillId="0" borderId="0" xfId="13" applyNumberFormat="1" applyFont="1" applyAlignment="1">
      <alignment horizontal="left"/>
    </xf>
    <xf numFmtId="164" fontId="13" fillId="0" borderId="0" xfId="13" applyNumberFormat="1" applyFont="1"/>
    <xf numFmtId="3" fontId="13" fillId="0" borderId="0" xfId="13" applyNumberFormat="1" applyFont="1"/>
    <xf numFmtId="164" fontId="9" fillId="0" borderId="3" xfId="13" applyNumberFormat="1" applyFont="1" applyBorder="1"/>
    <xf numFmtId="164" fontId="9" fillId="0" borderId="0" xfId="13" applyNumberFormat="1" applyFont="1" applyAlignment="1">
      <alignment horizontal="center"/>
    </xf>
    <xf numFmtId="164" fontId="9" fillId="0" borderId="0" xfId="13" applyNumberFormat="1" applyFont="1" applyFill="1"/>
    <xf numFmtId="10" fontId="9" fillId="0" borderId="0" xfId="13" applyNumberFormat="1" applyFont="1" applyFill="1"/>
    <xf numFmtId="0" fontId="23" fillId="0" borderId="0" xfId="13" applyFont="1"/>
    <xf numFmtId="3" fontId="9" fillId="0" borderId="0" xfId="13" applyNumberFormat="1" applyFont="1" applyFill="1" applyBorder="1"/>
    <xf numFmtId="164" fontId="9" fillId="0" borderId="3" xfId="13" applyNumberFormat="1" applyFont="1" applyFill="1" applyBorder="1"/>
    <xf numFmtId="10" fontId="9" fillId="0" borderId="3" xfId="13" applyNumberFormat="1" applyFont="1" applyFill="1" applyBorder="1"/>
    <xf numFmtId="3" fontId="9" fillId="0" borderId="0" xfId="13" applyNumberFormat="1" applyFont="1" applyFill="1"/>
    <xf numFmtId="170" fontId="9" fillId="0" borderId="0" xfId="7" applyNumberFormat="1" applyFont="1" applyFill="1"/>
    <xf numFmtId="170" fontId="9" fillId="0" borderId="0" xfId="13" applyNumberFormat="1" applyFont="1" applyFill="1"/>
    <xf numFmtId="170" fontId="9" fillId="0" borderId="3" xfId="13" applyNumberFormat="1" applyFont="1" applyFill="1" applyBorder="1"/>
    <xf numFmtId="4" fontId="10" fillId="0" borderId="0" xfId="13" applyNumberFormat="1" applyFont="1" applyAlignment="1">
      <alignment horizontal="centerContinuous"/>
    </xf>
    <xf numFmtId="3" fontId="9" fillId="0" borderId="0" xfId="13" applyNumberFormat="1" applyFont="1" applyAlignment="1">
      <alignment horizontal="centerContinuous"/>
    </xf>
    <xf numFmtId="0" fontId="9" fillId="0" borderId="0" xfId="13" applyFont="1" applyAlignment="1">
      <alignment horizontal="centerContinuous"/>
    </xf>
    <xf numFmtId="4" fontId="43" fillId="0" borderId="0" xfId="13" applyNumberFormat="1" applyFont="1" applyBorder="1" applyAlignment="1">
      <alignment horizontal="centerContinuous"/>
    </xf>
    <xf numFmtId="4" fontId="9" fillId="0" borderId="0" xfId="13" applyNumberFormat="1" applyFont="1" applyAlignment="1">
      <alignment horizontal="centerContinuous"/>
    </xf>
    <xf numFmtId="37" fontId="9" fillId="0" borderId="0" xfId="13" applyNumberFormat="1" applyFont="1" applyAlignment="1">
      <alignment horizontal="right"/>
    </xf>
    <xf numFmtId="3" fontId="44" fillId="0" borderId="0" xfId="13" applyNumberFormat="1" applyFont="1"/>
    <xf numFmtId="0" fontId="15" fillId="0" borderId="0" xfId="13" applyFont="1"/>
    <xf numFmtId="10" fontId="15" fillId="0" borderId="0" xfId="13" applyNumberFormat="1" applyFont="1"/>
    <xf numFmtId="10" fontId="23" fillId="0" borderId="10" xfId="13" applyNumberFormat="1" applyFont="1" applyFill="1" applyBorder="1"/>
    <xf numFmtId="3" fontId="44" fillId="0" borderId="0" xfId="13" applyNumberFormat="1" applyFont="1" applyFill="1"/>
    <xf numFmtId="3" fontId="13" fillId="0" borderId="10" xfId="13" applyNumberFormat="1" applyFont="1" applyBorder="1"/>
    <xf numFmtId="3" fontId="10" fillId="0" borderId="0" xfId="13" applyNumberFormat="1" applyFont="1"/>
    <xf numFmtId="171" fontId="9" fillId="0" borderId="0" xfId="13" applyNumberFormat="1" applyFont="1"/>
    <xf numFmtId="172" fontId="9" fillId="0" borderId="10" xfId="13" applyNumberFormat="1" applyFont="1" applyBorder="1"/>
    <xf numFmtId="164" fontId="9" fillId="0" borderId="17" xfId="13" applyNumberFormat="1" applyFont="1" applyBorder="1"/>
    <xf numFmtId="4" fontId="9" fillId="0" borderId="0" xfId="13" applyNumberFormat="1" applyFont="1"/>
    <xf numFmtId="10" fontId="9" fillId="0" borderId="0" xfId="13" applyNumberFormat="1" applyFont="1"/>
    <xf numFmtId="10" fontId="9" fillId="0" borderId="0" xfId="13" applyNumberFormat="1" applyFont="1" applyBorder="1"/>
    <xf numFmtId="3" fontId="9" fillId="0" borderId="0" xfId="13" applyNumberFormat="1" applyFont="1" applyBorder="1"/>
    <xf numFmtId="10" fontId="9" fillId="0" borderId="3" xfId="13" applyNumberFormat="1" applyFont="1" applyBorder="1"/>
    <xf numFmtId="170" fontId="9" fillId="0" borderId="0" xfId="7" applyNumberFormat="1" applyFont="1"/>
    <xf numFmtId="170" fontId="9" fillId="0" borderId="0" xfId="13" applyNumberFormat="1" applyFont="1"/>
    <xf numFmtId="170" fontId="9" fillId="0" borderId="3" xfId="13" applyNumberFormat="1" applyFont="1" applyBorder="1"/>
    <xf numFmtId="0" fontId="9" fillId="0" borderId="0" xfId="0" applyFont="1" applyAlignment="1">
      <alignment horizontal="left"/>
    </xf>
    <xf numFmtId="4" fontId="9" fillId="0" borderId="0" xfId="0" applyNumberFormat="1" applyFont="1" applyFill="1" applyAlignment="1">
      <alignment horizontal="left"/>
    </xf>
    <xf numFmtId="4" fontId="9" fillId="0" borderId="0" xfId="0" applyNumberFormat="1" applyFont="1" applyAlignment="1">
      <alignment horizontal="left"/>
    </xf>
    <xf numFmtId="41" fontId="9" fillId="0" borderId="0" xfId="13" applyNumberFormat="1" applyFont="1"/>
    <xf numFmtId="41" fontId="9" fillId="0" borderId="0" xfId="1" applyNumberFormat="1" applyFont="1"/>
    <xf numFmtId="41" fontId="9" fillId="0" borderId="0" xfId="1" applyNumberFormat="1" applyFont="1" applyAlignment="1">
      <alignment horizontal="right"/>
    </xf>
    <xf numFmtId="41" fontId="14" fillId="0" borderId="0" xfId="1" applyNumberFormat="1" applyFont="1"/>
    <xf numFmtId="41" fontId="9" fillId="0" borderId="10" xfId="1" applyNumberFormat="1" applyFont="1" applyBorder="1"/>
    <xf numFmtId="41" fontId="13" fillId="0" borderId="10" xfId="1" applyNumberFormat="1" applyFont="1" applyFill="1" applyBorder="1"/>
    <xf numFmtId="41" fontId="9" fillId="0" borderId="12" xfId="1" applyNumberFormat="1" applyFont="1" applyBorder="1"/>
    <xf numFmtId="9" fontId="9" fillId="0" borderId="10" xfId="7" applyFont="1" applyBorder="1"/>
    <xf numFmtId="9" fontId="9" fillId="0" borderId="0" xfId="7" applyFont="1"/>
    <xf numFmtId="0" fontId="4" fillId="0" borderId="0" xfId="0" applyFont="1" applyAlignment="1">
      <alignment horizontal="center"/>
    </xf>
    <xf numFmtId="10" fontId="9" fillId="0" borderId="10" xfId="7" applyNumberFormat="1" applyFont="1" applyBorder="1"/>
    <xf numFmtId="10" fontId="35" fillId="0" borderId="0" xfId="7" applyNumberFormat="1" applyFont="1"/>
    <xf numFmtId="42" fontId="35" fillId="0" borderId="0" xfId="6" applyNumberFormat="1" applyFont="1"/>
    <xf numFmtId="37" fontId="4" fillId="0" borderId="15" xfId="0" applyNumberFormat="1" applyFont="1" applyBorder="1"/>
    <xf numFmtId="41" fontId="4" fillId="0" borderId="10" xfId="0" applyNumberFormat="1" applyFont="1" applyBorder="1"/>
    <xf numFmtId="41" fontId="3" fillId="0" borderId="0" xfId="6" applyNumberFormat="1" applyFont="1"/>
    <xf numFmtId="41" fontId="3" fillId="0" borderId="0" xfId="1" applyNumberFormat="1" applyFont="1"/>
    <xf numFmtId="41" fontId="3" fillId="0" borderId="10" xfId="6" applyNumberFormat="1" applyFont="1" applyBorder="1"/>
    <xf numFmtId="41" fontId="3" fillId="0" borderId="10" xfId="1" applyNumberFormat="1" applyFont="1" applyBorder="1"/>
    <xf numFmtId="41" fontId="3" fillId="0" borderId="10" xfId="6" applyNumberFormat="1" applyFont="1" applyFill="1" applyBorder="1"/>
    <xf numFmtId="41" fontId="3" fillId="0" borderId="0" xfId="1" applyNumberFormat="1" applyFont="1" applyBorder="1"/>
    <xf numFmtId="41" fontId="3" fillId="0" borderId="15" xfId="6" applyNumberFormat="1" applyFont="1" applyBorder="1"/>
    <xf numFmtId="41" fontId="3" fillId="0" borderId="0" xfId="0" applyNumberFormat="1" applyFont="1"/>
    <xf numFmtId="41" fontId="3" fillId="0" borderId="12" xfId="6" applyNumberFormat="1" applyFont="1" applyBorder="1"/>
    <xf numFmtId="41" fontId="3" fillId="0" borderId="0" xfId="6" applyNumberFormat="1" applyFont="1" applyBorder="1"/>
    <xf numFmtId="169" fontId="10" fillId="0" borderId="0" xfId="0" applyNumberFormat="1" applyFont="1" applyAlignment="1">
      <alignment horizontal="center"/>
    </xf>
    <xf numFmtId="176"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7" fontId="0" fillId="0" borderId="0" xfId="0" applyNumberFormat="1" applyAlignment="1">
      <alignment horizontal="left"/>
    </xf>
    <xf numFmtId="177" fontId="0" fillId="0" borderId="0" xfId="0" applyNumberFormat="1" applyFill="1" applyAlignment="1">
      <alignment horizontal="left"/>
    </xf>
    <xf numFmtId="3" fontId="0" fillId="0" borderId="0" xfId="0" applyNumberFormat="1" applyFill="1" applyAlignment="1">
      <alignment horizontal="left"/>
    </xf>
    <xf numFmtId="176" fontId="0" fillId="0" borderId="0" xfId="0" quotePrefix="1" applyNumberFormat="1" applyAlignment="1">
      <alignment horizontal="left"/>
    </xf>
    <xf numFmtId="49" fontId="0" fillId="0" borderId="0" xfId="0" applyNumberFormat="1" applyAlignment="1">
      <alignment horizontal="left"/>
    </xf>
    <xf numFmtId="176" fontId="46" fillId="0" borderId="0" xfId="0" applyNumberFormat="1" applyFont="1"/>
    <xf numFmtId="3" fontId="46" fillId="0" borderId="0" xfId="0" applyNumberFormat="1" applyFont="1"/>
    <xf numFmtId="49" fontId="46" fillId="0" borderId="0" xfId="0" applyNumberFormat="1" applyFont="1" applyFill="1" applyAlignment="1">
      <alignment horizontal="center"/>
    </xf>
    <xf numFmtId="3" fontId="46" fillId="0" borderId="0" xfId="0" applyNumberFormat="1" applyFont="1" applyFill="1"/>
    <xf numFmtId="176" fontId="46" fillId="0" borderId="0" xfId="0" applyNumberFormat="1" applyFont="1" applyAlignment="1">
      <alignment horizontal="center"/>
    </xf>
    <xf numFmtId="177" fontId="46" fillId="0" borderId="0" xfId="0" applyNumberFormat="1" applyFont="1"/>
    <xf numFmtId="177" fontId="46" fillId="0" borderId="0" xfId="0" applyNumberFormat="1" applyFont="1" applyAlignment="1">
      <alignment horizontal="center"/>
    </xf>
    <xf numFmtId="0" fontId="46" fillId="0" borderId="0" xfId="0" applyFont="1"/>
    <xf numFmtId="176" fontId="46" fillId="4" borderId="0" xfId="0" applyNumberFormat="1" applyFont="1" applyFill="1"/>
    <xf numFmtId="3" fontId="46" fillId="4" borderId="0" xfId="0" applyNumberFormat="1" applyFont="1" applyFill="1"/>
    <xf numFmtId="177" fontId="46" fillId="4" borderId="0" xfId="0" applyNumberFormat="1" applyFont="1" applyFill="1" applyAlignment="1">
      <alignment horizontal="center"/>
    </xf>
    <xf numFmtId="176" fontId="0" fillId="0" borderId="0" xfId="0" applyNumberFormat="1" applyAlignment="1">
      <alignment horizontal="center"/>
    </xf>
    <xf numFmtId="3" fontId="0" fillId="0" borderId="0" xfId="0" applyNumberFormat="1"/>
    <xf numFmtId="177" fontId="0" fillId="0" borderId="0" xfId="0" applyNumberFormat="1" applyAlignment="1">
      <alignment horizontal="center"/>
    </xf>
    <xf numFmtId="177" fontId="0" fillId="4" borderId="0" xfId="0" applyNumberFormat="1" applyFill="1" applyAlignment="1">
      <alignment horizontal="center"/>
    </xf>
    <xf numFmtId="3" fontId="0" fillId="4" borderId="0" xfId="0" applyNumberFormat="1" applyFill="1"/>
    <xf numFmtId="176" fontId="0" fillId="0" borderId="0" xfId="0" applyNumberFormat="1"/>
    <xf numFmtId="0" fontId="0" fillId="0" borderId="0" xfId="0" applyFont="1"/>
    <xf numFmtId="176" fontId="0" fillId="0" borderId="0" xfId="0" applyNumberFormat="1" applyFont="1"/>
    <xf numFmtId="0" fontId="4" fillId="0" borderId="0" xfId="0" applyFont="1" applyFill="1" applyAlignment="1">
      <alignment horizontal="center"/>
    </xf>
    <xf numFmtId="0" fontId="3" fillId="0" borderId="0" xfId="6" applyNumberFormat="1" applyFont="1" applyFill="1" applyAlignment="1">
      <alignment horizontal="center"/>
    </xf>
    <xf numFmtId="5" fontId="36" fillId="0" borderId="0" xfId="6" applyNumberFormat="1" applyFont="1"/>
    <xf numFmtId="42" fontId="35" fillId="0" borderId="12" xfId="6" applyNumberFormat="1" applyFont="1" applyBorder="1"/>
    <xf numFmtId="42" fontId="36" fillId="0" borderId="12" xfId="6" applyNumberFormat="1" applyFont="1" applyBorder="1"/>
    <xf numFmtId="41" fontId="13" fillId="0" borderId="0" xfId="1" applyNumberFormat="1" applyFont="1" applyFill="1" applyBorder="1"/>
    <xf numFmtId="41" fontId="9" fillId="0" borderId="0" xfId="1" applyNumberFormat="1" applyFont="1" applyBorder="1"/>
    <xf numFmtId="3" fontId="47" fillId="0" borderId="0" xfId="13" applyNumberFormat="1" applyFont="1"/>
    <xf numFmtId="3" fontId="47" fillId="0" borderId="0" xfId="13" applyNumberFormat="1" applyFont="1" applyAlignment="1">
      <alignment horizontal="right"/>
    </xf>
    <xf numFmtId="0" fontId="9" fillId="0" borderId="0" xfId="13" applyFont="1" applyBorder="1" applyAlignment="1">
      <alignment horizontal="center"/>
    </xf>
    <xf numFmtId="10" fontId="3" fillId="0" borderId="10" xfId="7" applyNumberFormat="1" applyFont="1" applyBorder="1"/>
    <xf numFmtId="178" fontId="35" fillId="0" borderId="0" xfId="5" applyNumberFormat="1" applyFont="1" applyFill="1"/>
    <xf numFmtId="3" fontId="15" fillId="0" borderId="0" xfId="13" applyNumberFormat="1" applyFont="1"/>
    <xf numFmtId="10" fontId="35" fillId="2" borderId="0" xfId="7" applyNumberFormat="1" applyFont="1" applyFill="1"/>
    <xf numFmtId="41" fontId="9" fillId="2" borderId="18" xfId="1" applyNumberFormat="1" applyFont="1" applyFill="1" applyBorder="1"/>
    <xf numFmtId="42" fontId="3" fillId="0" borderId="0" xfId="0" applyNumberFormat="1" applyFont="1"/>
    <xf numFmtId="42" fontId="3" fillId="0" borderId="10" xfId="0" applyNumberFormat="1" applyFont="1" applyBorder="1"/>
    <xf numFmtId="42" fontId="3" fillId="0" borderId="0" xfId="0" applyNumberFormat="1" applyFont="1" applyBorder="1"/>
    <xf numFmtId="37" fontId="3" fillId="0" borderId="0" xfId="6" applyNumberFormat="1" applyFont="1" applyFill="1"/>
    <xf numFmtId="41" fontId="3" fillId="0" borderId="0" xfId="6" applyNumberFormat="1" applyFont="1" applyFill="1"/>
    <xf numFmtId="41" fontId="3" fillId="0" borderId="0" xfId="1" applyNumberFormat="1" applyFont="1" applyFill="1"/>
    <xf numFmtId="41" fontId="3" fillId="0" borderId="10" xfId="1" applyNumberFormat="1" applyFont="1" applyFill="1" applyBorder="1"/>
    <xf numFmtId="0" fontId="10" fillId="0" borderId="0" xfId="0" applyFont="1" applyAlignment="1"/>
    <xf numFmtId="0" fontId="10" fillId="0" borderId="0" xfId="0" applyFont="1" applyFill="1"/>
    <xf numFmtId="0" fontId="20" fillId="0" borderId="0" xfId="0" applyFont="1" applyFill="1"/>
    <xf numFmtId="41" fontId="9" fillId="0" borderId="10" xfId="13" applyNumberFormat="1" applyFont="1" applyBorder="1"/>
    <xf numFmtId="41" fontId="9" fillId="0" borderId="10" xfId="13" applyNumberFormat="1" applyFont="1" applyBorder="1" applyAlignment="1">
      <alignment horizontal="right"/>
    </xf>
    <xf numFmtId="41" fontId="14" fillId="0" borderId="10" xfId="13" applyNumberFormat="1" applyFont="1" applyBorder="1"/>
    <xf numFmtId="5" fontId="9" fillId="0" borderId="0" xfId="1" applyNumberFormat="1" applyFont="1" applyBorder="1"/>
    <xf numFmtId="164" fontId="9" fillId="0" borderId="0" xfId="1" applyNumberFormat="1" applyFont="1" applyBorder="1"/>
    <xf numFmtId="0" fontId="9" fillId="0" borderId="19" xfId="0" applyFont="1" applyFill="1" applyBorder="1"/>
    <xf numFmtId="0" fontId="9" fillId="0" borderId="21" xfId="0" applyFont="1" applyFill="1" applyBorder="1"/>
    <xf numFmtId="0" fontId="9" fillId="0" borderId="22" xfId="0" applyFont="1" applyBorder="1"/>
    <xf numFmtId="0" fontId="9" fillId="0" borderId="23" xfId="0" applyFont="1" applyBorder="1"/>
    <xf numFmtId="0" fontId="9" fillId="0" borderId="25" xfId="0" applyFont="1" applyBorder="1"/>
    <xf numFmtId="0" fontId="9" fillId="0" borderId="27" xfId="0" applyFont="1" applyBorder="1"/>
    <xf numFmtId="0" fontId="9" fillId="0" borderId="22" xfId="0" applyFont="1" applyFill="1" applyBorder="1"/>
    <xf numFmtId="0" fontId="9" fillId="0" borderId="23" xfId="0" applyFont="1" applyFill="1" applyBorder="1"/>
    <xf numFmtId="0" fontId="10" fillId="0" borderId="22" xfId="0" applyFont="1" applyBorder="1"/>
    <xf numFmtId="174" fontId="10" fillId="0" borderId="23" xfId="2" applyNumberFormat="1" applyFont="1" applyBorder="1"/>
    <xf numFmtId="4" fontId="10" fillId="0" borderId="0" xfId="0" applyNumberFormat="1" applyFont="1" applyFill="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41" fontId="5" fillId="0" borderId="1" xfId="4" applyNumberFormat="1" applyFont="1" applyFill="1" applyBorder="1" applyAlignment="1">
      <alignment horizontal="center"/>
    </xf>
    <xf numFmtId="169" fontId="9" fillId="0" borderId="0" xfId="0" applyNumberFormat="1" applyFont="1"/>
    <xf numFmtId="169" fontId="9" fillId="0" borderId="15" xfId="0" applyNumberFormat="1" applyFont="1" applyBorder="1"/>
    <xf numFmtId="166" fontId="48" fillId="0" borderId="0" xfId="0" applyNumberFormat="1" applyFont="1" applyFill="1"/>
    <xf numFmtId="0" fontId="11" fillId="0" borderId="0" xfId="0" applyFont="1" applyBorder="1" applyAlignment="1">
      <alignment horizontal="center"/>
    </xf>
    <xf numFmtId="0" fontId="11" fillId="0" borderId="0" xfId="0" applyFont="1" applyBorder="1"/>
    <xf numFmtId="41" fontId="5" fillId="0" borderId="1" xfId="20" applyNumberFormat="1" applyFont="1" applyFill="1" applyBorder="1" applyAlignment="1">
      <alignment horizontal="center"/>
    </xf>
    <xf numFmtId="42" fontId="9" fillId="0" borderId="0" xfId="0" applyNumberFormat="1" applyFont="1" applyFill="1" applyBorder="1"/>
    <xf numFmtId="10" fontId="5" fillId="0" borderId="16" xfId="7" applyNumberFormat="1" applyFont="1" applyBorder="1"/>
    <xf numFmtId="10" fontId="3" fillId="0" borderId="0" xfId="7" applyNumberFormat="1" applyFont="1" applyBorder="1"/>
    <xf numFmtId="10" fontId="5" fillId="0" borderId="0" xfId="7" applyNumberFormat="1" applyFont="1" applyBorder="1"/>
    <xf numFmtId="41" fontId="5" fillId="0" borderId="2" xfId="4" applyNumberFormat="1" applyFont="1" applyFill="1" applyBorder="1" applyAlignment="1">
      <alignment horizontal="center"/>
    </xf>
    <xf numFmtId="10" fontId="9" fillId="0" borderId="0"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5" fillId="0" borderId="0" xfId="0" applyFont="1" applyBorder="1" applyAlignment="1">
      <alignment horizontal="center" wrapText="1"/>
    </xf>
    <xf numFmtId="6" fontId="10" fillId="0" borderId="0" xfId="0" applyNumberFormat="1" applyFont="1" applyBorder="1"/>
    <xf numFmtId="5" fontId="10" fillId="0" borderId="0" xfId="0" applyNumberFormat="1" applyFont="1" applyBorder="1"/>
    <xf numFmtId="37" fontId="3" fillId="0" borderId="0" xfId="5" applyNumberFormat="1" applyFont="1" applyBorder="1"/>
    <xf numFmtId="3" fontId="5" fillId="0" borderId="0" xfId="6" applyNumberFormat="1" applyFont="1"/>
    <xf numFmtId="3" fontId="3" fillId="0" borderId="0" xfId="6" applyNumberFormat="1" applyFont="1" applyFill="1"/>
    <xf numFmtId="0" fontId="3" fillId="0" borderId="0" xfId="6" applyNumberFormat="1" applyFont="1" applyAlignment="1">
      <alignment horizontal="left"/>
    </xf>
    <xf numFmtId="3" fontId="5" fillId="0" borderId="0" xfId="6" applyNumberFormat="1" applyFont="1" applyFill="1" applyAlignment="1">
      <alignment horizontal="center"/>
    </xf>
    <xf numFmtId="41" fontId="3" fillId="0" borderId="0" xfId="5" applyNumberFormat="1" applyFont="1" applyFill="1" applyAlignment="1">
      <alignment horizontal="center"/>
    </xf>
    <xf numFmtId="3" fontId="5" fillId="0" borderId="0" xfId="6" applyNumberFormat="1" applyFont="1" applyAlignment="1">
      <alignment horizontal="center"/>
    </xf>
    <xf numFmtId="0" fontId="3" fillId="0" borderId="0" xfId="6" applyFont="1" applyAlignment="1">
      <alignment horizontal="center"/>
    </xf>
    <xf numFmtId="3" fontId="5" fillId="0" borderId="0" xfId="6" applyNumberFormat="1" applyFont="1" applyFill="1" applyBorder="1" applyAlignment="1">
      <alignment horizontal="center"/>
    </xf>
    <xf numFmtId="0" fontId="5" fillId="0" borderId="0" xfId="6" applyNumberFormat="1" applyFont="1" applyAlignment="1">
      <alignment horizontal="center"/>
    </xf>
    <xf numFmtId="0" fontId="5" fillId="0" borderId="0" xfId="6" applyFont="1" applyAlignment="1">
      <alignment horizontal="center"/>
    </xf>
    <xf numFmtId="3" fontId="5" fillId="0" borderId="10" xfId="6" applyNumberFormat="1" applyFont="1" applyFill="1" applyBorder="1" applyAlignment="1"/>
    <xf numFmtId="0" fontId="5" fillId="0" borderId="1" xfId="6" applyNumberFormat="1"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3" fillId="0" borderId="4" xfId="6" applyFont="1" applyBorder="1"/>
    <xf numFmtId="3" fontId="5" fillId="0" borderId="1" xfId="6" applyNumberFormat="1" applyFont="1" applyBorder="1" applyAlignment="1">
      <alignment horizontal="center"/>
    </xf>
    <xf numFmtId="3" fontId="5" fillId="0" borderId="1" xfId="6" applyNumberFormat="1" applyFont="1" applyFill="1" applyBorder="1" applyAlignment="1">
      <alignment horizontal="center"/>
    </xf>
    <xf numFmtId="0" fontId="5" fillId="0" borderId="5" xfId="6" applyNumberFormat="1" applyFont="1" applyBorder="1" applyAlignment="1">
      <alignment horizontal="center"/>
    </xf>
    <xf numFmtId="0" fontId="5" fillId="0" borderId="6" xfId="6" applyFont="1" applyBorder="1" applyAlignment="1">
      <alignment horizontal="center"/>
    </xf>
    <xf numFmtId="0" fontId="5" fillId="0" borderId="0" xfId="6" applyFont="1" applyBorder="1" applyAlignment="1">
      <alignment horizontal="center"/>
    </xf>
    <xf numFmtId="0" fontId="3" fillId="0" borderId="7" xfId="6" applyFont="1" applyBorder="1"/>
    <xf numFmtId="3" fontId="5" fillId="0" borderId="5" xfId="6" applyNumberFormat="1" applyFont="1" applyBorder="1" applyAlignment="1">
      <alignment horizontal="center"/>
    </xf>
    <xf numFmtId="3" fontId="5" fillId="0" borderId="5" xfId="6" applyNumberFormat="1" applyFont="1" applyFill="1" applyBorder="1" applyAlignment="1">
      <alignment horizontal="center"/>
    </xf>
    <xf numFmtId="3" fontId="5" fillId="0" borderId="5" xfId="5" applyNumberFormat="1" applyFont="1" applyBorder="1" applyAlignment="1">
      <alignment horizontal="center"/>
    </xf>
    <xf numFmtId="0" fontId="5" fillId="0" borderId="8" xfId="6" applyNumberFormat="1" applyFont="1" applyBorder="1" applyAlignment="1">
      <alignment horizontal="center"/>
    </xf>
    <xf numFmtId="0" fontId="5" fillId="0" borderId="9"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3" fontId="5" fillId="0" borderId="8" xfId="6" applyNumberFormat="1" applyFont="1" applyBorder="1" applyAlignment="1">
      <alignment horizontal="center"/>
    </xf>
    <xf numFmtId="3" fontId="5" fillId="0" borderId="8" xfId="6" applyNumberFormat="1" applyFont="1" applyFill="1" applyBorder="1" applyAlignment="1">
      <alignment horizontal="center"/>
    </xf>
    <xf numFmtId="3" fontId="5" fillId="0" borderId="8" xfId="5" applyNumberFormat="1" applyFont="1" applyBorder="1" applyAlignment="1">
      <alignment horizontal="center"/>
    </xf>
    <xf numFmtId="3" fontId="5" fillId="0" borderId="8" xfId="6" quotePrefix="1" applyNumberFormat="1" applyFont="1" applyBorder="1" applyAlignment="1">
      <alignment horizontal="center"/>
    </xf>
    <xf numFmtId="3" fontId="5" fillId="0" borderId="31" xfId="6" applyNumberFormat="1" applyFont="1" applyFill="1" applyBorder="1" applyAlignment="1">
      <alignment horizontal="center"/>
    </xf>
    <xf numFmtId="0" fontId="3" fillId="0" borderId="0" xfId="6" applyFont="1" applyAlignment="1">
      <alignment horizontal="left"/>
    </xf>
    <xf numFmtId="4" fontId="5" fillId="0" borderId="0" xfId="6" applyNumberFormat="1" applyFont="1" applyFill="1" applyBorder="1" applyAlignment="1">
      <alignment horizontal="center"/>
    </xf>
    <xf numFmtId="3" fontId="3" fillId="0" borderId="0" xfId="6" applyNumberFormat="1" applyFont="1" applyFill="1" applyBorder="1"/>
    <xf numFmtId="42" fontId="5" fillId="0" borderId="0" xfId="6" applyNumberFormat="1" applyFont="1"/>
    <xf numFmtId="42" fontId="3" fillId="0" borderId="0" xfId="4" applyNumberFormat="1" applyFont="1" applyFill="1" applyBorder="1"/>
    <xf numFmtId="41" fontId="5" fillId="0" borderId="0" xfId="6" applyNumberFormat="1" applyFont="1"/>
    <xf numFmtId="41" fontId="3" fillId="0" borderId="0" xfId="4" applyNumberFormat="1" applyFont="1" applyFill="1" applyBorder="1"/>
    <xf numFmtId="41" fontId="3" fillId="0" borderId="10" xfId="4" applyNumberFormat="1" applyFont="1" applyFill="1" applyBorder="1"/>
    <xf numFmtId="41" fontId="5" fillId="0" borderId="10" xfId="6" applyNumberFormat="1" applyFont="1" applyBorder="1"/>
    <xf numFmtId="41" fontId="3" fillId="0" borderId="0" xfId="6" applyNumberFormat="1" applyFont="1" applyFill="1" applyBorder="1"/>
    <xf numFmtId="0" fontId="3" fillId="0" borderId="0" xfId="6" applyFont="1" applyBorder="1"/>
    <xf numFmtId="42" fontId="3" fillId="0" borderId="12" xfId="6" applyNumberFormat="1" applyFont="1" applyFill="1" applyBorder="1"/>
    <xf numFmtId="42" fontId="5" fillId="0" borderId="12" xfId="6" applyNumberFormat="1" applyFont="1" applyBorder="1"/>
    <xf numFmtId="173" fontId="3" fillId="0" borderId="0" xfId="1" applyNumberFormat="1" applyFont="1" applyFill="1" applyBorder="1"/>
    <xf numFmtId="41" fontId="3" fillId="0" borderId="15" xfId="6" applyNumberFormat="1" applyFont="1" applyFill="1" applyBorder="1"/>
    <xf numFmtId="41" fontId="5" fillId="0" borderId="15" xfId="6" applyNumberFormat="1" applyFont="1" applyBorder="1"/>
    <xf numFmtId="41" fontId="5" fillId="0" borderId="0" xfId="6" applyNumberFormat="1" applyFont="1" applyBorder="1"/>
    <xf numFmtId="5" fontId="5" fillId="0" borderId="0" xfId="6" applyNumberFormat="1" applyFont="1"/>
    <xf numFmtId="10" fontId="5" fillId="0" borderId="0" xfId="7" applyNumberFormat="1" applyFont="1"/>
    <xf numFmtId="0" fontId="3" fillId="0" borderId="0" xfId="6" applyNumberFormat="1" applyFont="1" applyFill="1" applyAlignment="1">
      <alignment horizontal="left"/>
    </xf>
    <xf numFmtId="0" fontId="3" fillId="0" borderId="0" xfId="6" applyFont="1" applyFill="1"/>
    <xf numFmtId="0" fontId="3" fillId="0" borderId="0" xfId="5" applyFont="1" applyFill="1"/>
    <xf numFmtId="41" fontId="5" fillId="0" borderId="0" xfId="6" applyNumberFormat="1" applyFont="1" applyFill="1"/>
    <xf numFmtId="41" fontId="5" fillId="0" borderId="0" xfId="5" applyNumberFormat="1" applyFont="1" applyFill="1"/>
    <xf numFmtId="3" fontId="5" fillId="0" borderId="0" xfId="6" applyNumberFormat="1" applyFont="1" applyFill="1"/>
    <xf numFmtId="3" fontId="5" fillId="0" borderId="0" xfId="5" applyNumberFormat="1" applyFont="1" applyFill="1"/>
    <xf numFmtId="0" fontId="3" fillId="0" borderId="0" xfId="5" applyFont="1" applyFill="1" applyAlignment="1">
      <alignment horizontal="right"/>
    </xf>
    <xf numFmtId="175" fontId="3" fillId="0" borderId="0" xfId="0" applyNumberFormat="1" applyFont="1"/>
    <xf numFmtId="4" fontId="9" fillId="0" borderId="0" xfId="0" applyNumberFormat="1" applyFont="1" applyAlignment="1">
      <alignment horizontal="center"/>
    </xf>
    <xf numFmtId="37" fontId="9" fillId="0" borderId="0" xfId="0" applyNumberFormat="1" applyFont="1" applyFill="1"/>
    <xf numFmtId="3" fontId="9" fillId="0" borderId="0" xfId="0" applyNumberFormat="1" applyFont="1" applyFill="1"/>
    <xf numFmtId="10" fontId="15" fillId="0" borderId="0" xfId="0" applyNumberFormat="1" applyFont="1" applyAlignment="1">
      <alignment horizontal="center"/>
    </xf>
    <xf numFmtId="4" fontId="9" fillId="0" borderId="20" xfId="0" applyNumberFormat="1" applyFont="1" applyBorder="1" applyAlignment="1">
      <alignment horizontal="left"/>
    </xf>
    <xf numFmtId="3" fontId="9" fillId="0" borderId="20" xfId="0" applyNumberFormat="1" applyFont="1" applyBorder="1"/>
    <xf numFmtId="37" fontId="9" fillId="0" borderId="20" xfId="0" applyNumberFormat="1" applyFont="1" applyBorder="1"/>
    <xf numFmtId="37" fontId="9" fillId="0" borderId="21" xfId="0" applyNumberFormat="1" applyFont="1" applyBorder="1"/>
    <xf numFmtId="4" fontId="9" fillId="0" borderId="22" xfId="0" applyNumberFormat="1" applyFont="1" applyBorder="1" applyAlignment="1">
      <alignment horizontal="center"/>
    </xf>
    <xf numFmtId="4" fontId="9" fillId="0" borderId="0" xfId="0" applyNumberFormat="1" applyFont="1" applyBorder="1" applyAlignment="1">
      <alignment horizontal="left"/>
    </xf>
    <xf numFmtId="37" fontId="9" fillId="0" borderId="23" xfId="0" applyNumberFormat="1" applyFont="1" applyBorder="1"/>
    <xf numFmtId="4" fontId="9" fillId="0" borderId="25" xfId="0" applyNumberFormat="1" applyFont="1" applyBorder="1" applyAlignment="1">
      <alignment horizontal="center"/>
    </xf>
    <xf numFmtId="4" fontId="9" fillId="0" borderId="26" xfId="0" applyNumberFormat="1" applyFont="1" applyBorder="1" applyAlignment="1">
      <alignment horizontal="left"/>
    </xf>
    <xf numFmtId="3" fontId="9" fillId="0" borderId="26" xfId="0" applyNumberFormat="1" applyFont="1" applyBorder="1"/>
    <xf numFmtId="37" fontId="9" fillId="0" borderId="26" xfId="0" applyNumberFormat="1" applyFont="1" applyBorder="1"/>
    <xf numFmtId="37" fontId="9" fillId="0" borderId="27" xfId="0" applyNumberFormat="1" applyFont="1" applyBorder="1"/>
    <xf numFmtId="3" fontId="9" fillId="0" borderId="0" xfId="0" applyNumberFormat="1" applyFont="1" applyFill="1" applyAlignment="1">
      <alignment horizontal="center"/>
    </xf>
    <xf numFmtId="3" fontId="9" fillId="0" borderId="0" xfId="0" applyNumberFormat="1" applyFont="1" applyFill="1" applyAlignment="1">
      <alignment horizontal="left"/>
    </xf>
    <xf numFmtId="10" fontId="9" fillId="0" borderId="0" xfId="0" applyNumberFormat="1" applyFont="1" applyAlignment="1">
      <alignment horizontal="center"/>
    </xf>
    <xf numFmtId="3" fontId="9" fillId="0" borderId="0" xfId="0" applyNumberFormat="1" applyFont="1" applyAlignment="1">
      <alignment horizontal="left"/>
    </xf>
    <xf numFmtId="10" fontId="5" fillId="0" borderId="0" xfId="7" quotePrefix="1" applyNumberFormat="1" applyFont="1" applyAlignment="1">
      <alignment horizontal="center"/>
    </xf>
    <xf numFmtId="41" fontId="3" fillId="0" borderId="20" xfId="6" applyNumberFormat="1" applyFont="1" applyFill="1" applyBorder="1"/>
    <xf numFmtId="3" fontId="3" fillId="0" borderId="29" xfId="6" applyNumberFormat="1" applyFont="1" applyBorder="1"/>
    <xf numFmtId="10" fontId="5" fillId="0" borderId="0" xfId="7" applyNumberFormat="1" applyFont="1" applyBorder="1" applyAlignment="1">
      <alignment horizontal="right"/>
    </xf>
    <xf numFmtId="41" fontId="9" fillId="0" borderId="0" xfId="0" applyNumberFormat="1" applyFont="1"/>
    <xf numFmtId="3" fontId="5" fillId="6" borderId="8" xfId="6" applyNumberFormat="1" applyFont="1" applyFill="1" applyBorder="1" applyAlignment="1">
      <alignment horizontal="center"/>
    </xf>
    <xf numFmtId="3" fontId="5" fillId="6" borderId="0" xfId="6" applyNumberFormat="1" applyFont="1" applyFill="1"/>
    <xf numFmtId="42" fontId="5" fillId="6" borderId="0" xfId="6" applyNumberFormat="1" applyFont="1" applyFill="1"/>
    <xf numFmtId="41" fontId="5" fillId="6" borderId="0" xfId="6" applyNumberFormat="1" applyFont="1" applyFill="1"/>
    <xf numFmtId="41" fontId="5" fillId="6" borderId="10" xfId="6" applyNumberFormat="1" applyFont="1" applyFill="1" applyBorder="1"/>
    <xf numFmtId="42" fontId="5" fillId="6" borderId="12" xfId="6" applyNumberFormat="1" applyFont="1" applyFill="1" applyBorder="1"/>
    <xf numFmtId="41" fontId="5" fillId="6" borderId="15" xfId="6" applyNumberFormat="1" applyFont="1" applyFill="1" applyBorder="1"/>
    <xf numFmtId="41" fontId="5" fillId="6" borderId="0" xfId="6" applyNumberFormat="1" applyFont="1" applyFill="1" applyBorder="1"/>
    <xf numFmtId="10" fontId="5" fillId="6" borderId="0" xfId="7" applyNumberFormat="1" applyFont="1" applyFill="1"/>
    <xf numFmtId="3" fontId="5" fillId="0" borderId="6" xfId="6" applyNumberFormat="1" applyFont="1" applyFill="1" applyBorder="1" applyAlignment="1">
      <alignment horizontal="center"/>
    </xf>
    <xf numFmtId="3" fontId="5" fillId="0" borderId="32" xfId="6" applyNumberFormat="1" applyFont="1" applyFill="1" applyBorder="1" applyAlignment="1">
      <alignment horizontal="center"/>
    </xf>
    <xf numFmtId="3" fontId="5" fillId="0" borderId="5" xfId="6" applyNumberFormat="1" applyFont="1" applyBorder="1"/>
    <xf numFmtId="42" fontId="5" fillId="0" borderId="5" xfId="6" applyNumberFormat="1" applyFont="1" applyBorder="1"/>
    <xf numFmtId="41" fontId="5" fillId="0" borderId="5" xfId="6" applyNumberFormat="1" applyFont="1" applyBorder="1"/>
    <xf numFmtId="41" fontId="5" fillId="0" borderId="8" xfId="6" applyNumberFormat="1" applyFont="1" applyBorder="1"/>
    <xf numFmtId="42" fontId="5" fillId="0" borderId="33" xfId="6" applyNumberFormat="1" applyFont="1" applyBorder="1"/>
    <xf numFmtId="41" fontId="5" fillId="0" borderId="34" xfId="6" applyNumberFormat="1" applyFont="1" applyBorder="1"/>
    <xf numFmtId="41" fontId="5" fillId="0" borderId="5" xfId="20" applyNumberFormat="1" applyFont="1" applyBorder="1" applyAlignment="1">
      <alignment horizontal="center"/>
    </xf>
    <xf numFmtId="3" fontId="5" fillId="6" borderId="1" xfId="6" applyNumberFormat="1" applyFont="1" applyFill="1" applyBorder="1" applyAlignment="1">
      <alignment horizontal="center"/>
    </xf>
    <xf numFmtId="3" fontId="5" fillId="6" borderId="5" xfId="6" applyNumberFormat="1" applyFont="1" applyFill="1" applyBorder="1" applyAlignment="1">
      <alignment horizontal="center"/>
    </xf>
    <xf numFmtId="3" fontId="5" fillId="6" borderId="32" xfId="6" applyNumberFormat="1" applyFont="1" applyFill="1" applyBorder="1" applyAlignment="1">
      <alignment horizontal="center"/>
    </xf>
    <xf numFmtId="3" fontId="5" fillId="6" borderId="5" xfId="6" applyNumberFormat="1" applyFont="1" applyFill="1" applyBorder="1"/>
    <xf numFmtId="42" fontId="5" fillId="6" borderId="5" xfId="6" applyNumberFormat="1" applyFont="1" applyFill="1" applyBorder="1"/>
    <xf numFmtId="41" fontId="5" fillId="6" borderId="5" xfId="6" applyNumberFormat="1" applyFont="1" applyFill="1" applyBorder="1"/>
    <xf numFmtId="41" fontId="5" fillId="6" borderId="8" xfId="6" applyNumberFormat="1" applyFont="1" applyFill="1" applyBorder="1"/>
    <xf numFmtId="42" fontId="5" fillId="6" borderId="33" xfId="6" applyNumberFormat="1" applyFont="1" applyFill="1" applyBorder="1"/>
    <xf numFmtId="41" fontId="5" fillId="6" borderId="34" xfId="6" applyNumberFormat="1" applyFont="1" applyFill="1" applyBorder="1"/>
    <xf numFmtId="10" fontId="5" fillId="6" borderId="36" xfId="7" applyNumberFormat="1" applyFont="1" applyFill="1" applyBorder="1"/>
    <xf numFmtId="3" fontId="5" fillId="6" borderId="35" xfId="6" applyNumberFormat="1" applyFont="1" applyFill="1" applyBorder="1"/>
    <xf numFmtId="3" fontId="5" fillId="0" borderId="0" xfId="6" applyNumberFormat="1" applyFont="1" applyFill="1" applyBorder="1" applyAlignment="1"/>
    <xf numFmtId="3" fontId="50" fillId="0" borderId="0" xfId="6" applyNumberFormat="1" applyFont="1" applyFill="1"/>
    <xf numFmtId="41" fontId="50" fillId="0" borderId="0" xfId="5" applyNumberFormat="1" applyFont="1" applyFill="1" applyAlignment="1">
      <alignment horizontal="center"/>
    </xf>
    <xf numFmtId="3" fontId="52" fillId="0" borderId="0" xfId="6" quotePrefix="1" applyNumberFormat="1" applyFont="1" applyFill="1" applyAlignment="1">
      <alignment horizontal="center"/>
    </xf>
    <xf numFmtId="3" fontId="51" fillId="0" borderId="0" xfId="6" applyNumberFormat="1" applyFont="1" applyFill="1" applyAlignment="1">
      <alignment horizontal="center"/>
    </xf>
    <xf numFmtId="41" fontId="50" fillId="0" borderId="0" xfId="6" applyNumberFormat="1" applyFont="1" applyFill="1"/>
    <xf numFmtId="3" fontId="50" fillId="0" borderId="0" xfId="5" applyNumberFormat="1" applyFont="1" applyFill="1"/>
    <xf numFmtId="3" fontId="51" fillId="0" borderId="10" xfId="6" applyNumberFormat="1" applyFont="1" applyFill="1" applyBorder="1" applyAlignment="1">
      <alignment horizontal="center"/>
    </xf>
    <xf numFmtId="3" fontId="5" fillId="0" borderId="10" xfId="6" applyNumberFormat="1" applyFont="1" applyFill="1" applyBorder="1" applyAlignment="1">
      <alignment horizontal="center"/>
    </xf>
    <xf numFmtId="42" fontId="5" fillId="0" borderId="33" xfId="6" applyNumberFormat="1" applyFont="1" applyFill="1" applyBorder="1"/>
    <xf numFmtId="168" fontId="3" fillId="0" borderId="0" xfId="6" applyNumberFormat="1" applyFont="1" applyFill="1"/>
    <xf numFmtId="3" fontId="5" fillId="6" borderId="37" xfId="6" applyNumberFormat="1" applyFont="1" applyFill="1" applyBorder="1"/>
    <xf numFmtId="41" fontId="5" fillId="0" borderId="0" xfId="6" applyNumberFormat="1" applyFont="1" applyFill="1" applyBorder="1"/>
    <xf numFmtId="41" fontId="5" fillId="0" borderId="0" xfId="5" applyNumberFormat="1" applyFont="1" applyFill="1" applyBorder="1"/>
    <xf numFmtId="3" fontId="5" fillId="0" borderId="0" xfId="5" applyNumberFormat="1" applyFont="1" applyFill="1" applyBorder="1"/>
    <xf numFmtId="3" fontId="5" fillId="0" borderId="0" xfId="6" applyNumberFormat="1" applyFont="1" applyFill="1" applyBorder="1"/>
    <xf numFmtId="41" fontId="5" fillId="0" borderId="0" xfId="20" applyNumberFormat="1" applyFont="1" applyFill="1" applyBorder="1" applyAlignment="1">
      <alignment horizontal="center"/>
    </xf>
    <xf numFmtId="42" fontId="5" fillId="0" borderId="0" xfId="6" applyNumberFormat="1" applyFont="1" applyFill="1" applyBorder="1"/>
    <xf numFmtId="10" fontId="5" fillId="0" borderId="0" xfId="7" applyNumberFormat="1" applyFont="1" applyFill="1" applyBorder="1"/>
    <xf numFmtId="4" fontId="36" fillId="0" borderId="0" xfId="6" applyNumberFormat="1" applyFont="1" applyFill="1" applyBorder="1" applyAlignment="1">
      <alignment horizontal="center"/>
    </xf>
    <xf numFmtId="41" fontId="5" fillId="5" borderId="0" xfId="6" applyNumberFormat="1" applyFont="1" applyFill="1"/>
    <xf numFmtId="2" fontId="5" fillId="6" borderId="5" xfId="20" applyNumberFormat="1" applyFont="1" applyFill="1" applyBorder="1" applyAlignment="1">
      <alignment horizontal="center"/>
    </xf>
    <xf numFmtId="41" fontId="5" fillId="0" borderId="0" xfId="20" quotePrefix="1" applyNumberFormat="1" applyFont="1" applyFill="1" applyBorder="1" applyAlignment="1">
      <alignment horizontal="center"/>
    </xf>
    <xf numFmtId="0" fontId="3" fillId="5" borderId="0" xfId="6" applyFont="1" applyFill="1" applyBorder="1"/>
    <xf numFmtId="178" fontId="3" fillId="5" borderId="0" xfId="6" applyNumberFormat="1" applyFont="1" applyFill="1" applyBorder="1"/>
    <xf numFmtId="41" fontId="5" fillId="5" borderId="0" xfId="6" applyNumberFormat="1" applyFont="1" applyFill="1" applyBorder="1"/>
    <xf numFmtId="10" fontId="5" fillId="0" borderId="0" xfId="7" applyNumberFormat="1" applyFont="1" applyFill="1"/>
    <xf numFmtId="42" fontId="5" fillId="0" borderId="0" xfId="6" applyNumberFormat="1" applyFont="1" applyFill="1"/>
    <xf numFmtId="0" fontId="3" fillId="5" borderId="0" xfId="6" applyFont="1" applyFill="1"/>
    <xf numFmtId="2" fontId="5" fillId="0" borderId="0" xfId="20" applyNumberFormat="1" applyFont="1" applyFill="1" applyBorder="1" applyAlignment="1">
      <alignment horizontal="center"/>
    </xf>
    <xf numFmtId="41" fontId="5" fillId="0" borderId="0" xfId="20" applyNumberFormat="1" applyFont="1" applyFill="1" applyBorder="1" applyAlignment="1">
      <alignment horizontal="center"/>
    </xf>
    <xf numFmtId="1" fontId="3" fillId="5" borderId="0" xfId="6" applyNumberFormat="1" applyFont="1" applyFill="1"/>
    <xf numFmtId="3" fontId="36" fillId="0" borderId="6" xfId="6" applyNumberFormat="1" applyFont="1" applyBorder="1" applyAlignment="1">
      <alignment horizontal="center"/>
    </xf>
    <xf numFmtId="3" fontId="36" fillId="0" borderId="2" xfId="6" applyNumberFormat="1" applyFont="1" applyBorder="1" applyAlignment="1">
      <alignment horizontal="center"/>
    </xf>
    <xf numFmtId="42" fontId="5" fillId="0" borderId="12" xfId="6" applyNumberFormat="1" applyFont="1" applyFill="1" applyBorder="1"/>
    <xf numFmtId="0" fontId="3" fillId="0" borderId="0" xfId="0" applyFont="1"/>
    <xf numFmtId="0" fontId="9" fillId="0" borderId="0" xfId="0" applyFont="1"/>
    <xf numFmtId="0" fontId="10" fillId="0" borderId="0" xfId="0" applyFont="1" applyAlignment="1">
      <alignment horizontal="center"/>
    </xf>
    <xf numFmtId="0" fontId="9" fillId="0" borderId="0" xfId="0" applyFont="1" applyBorder="1"/>
    <xf numFmtId="0" fontId="9" fillId="0" borderId="0" xfId="0" applyFont="1" applyAlignment="1">
      <alignment horizontal="center"/>
    </xf>
    <xf numFmtId="0" fontId="9" fillId="0" borderId="0" xfId="0" applyFont="1" applyBorder="1" applyAlignment="1">
      <alignment horizontal="center"/>
    </xf>
    <xf numFmtId="37" fontId="9" fillId="0" borderId="0" xfId="0" applyNumberFormat="1" applyFont="1" applyBorder="1"/>
    <xf numFmtId="3" fontId="9" fillId="0" borderId="0" xfId="0" applyNumberFormat="1" applyFont="1"/>
    <xf numFmtId="37" fontId="9" fillId="0" borderId="0" xfId="0" applyNumberFormat="1" applyFont="1"/>
    <xf numFmtId="3" fontId="9" fillId="0" borderId="0" xfId="0" applyNumberFormat="1" applyFont="1" applyBorder="1"/>
    <xf numFmtId="0" fontId="9" fillId="0" borderId="0" xfId="0" applyFont="1" applyFill="1" applyBorder="1"/>
    <xf numFmtId="0" fontId="9" fillId="0" borderId="0" xfId="0" applyFont="1" applyFill="1"/>
    <xf numFmtId="3" fontId="9" fillId="0" borderId="0" xfId="0" applyNumberFormat="1" applyFont="1" applyFill="1"/>
    <xf numFmtId="41" fontId="5" fillId="0" borderId="5" xfId="20" applyNumberFormat="1" applyFont="1" applyFill="1" applyBorder="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4" fontId="10" fillId="0" borderId="19" xfId="0" applyNumberFormat="1" applyFont="1" applyFill="1" applyBorder="1" applyAlignment="1">
      <alignment horizontal="left"/>
    </xf>
    <xf numFmtId="41" fontId="40" fillId="0" borderId="0" xfId="5" applyNumberFormat="1" applyFont="1" applyFill="1" applyBorder="1"/>
    <xf numFmtId="41" fontId="35" fillId="0" borderId="0" xfId="6" applyNumberFormat="1" applyFont="1" applyFill="1" applyBorder="1"/>
    <xf numFmtId="41" fontId="35" fillId="0" borderId="0" xfId="5" applyNumberFormat="1" applyFont="1" applyFill="1" applyBorder="1"/>
    <xf numFmtId="3" fontId="35" fillId="0" borderId="0" xfId="5" applyNumberFormat="1" applyFont="1" applyFill="1" applyBorder="1"/>
    <xf numFmtId="3" fontId="35" fillId="0" borderId="0" xfId="6" applyNumberFormat="1" applyFont="1" applyFill="1" applyBorder="1"/>
    <xf numFmtId="0" fontId="35" fillId="0" borderId="0" xfId="6" applyFont="1" applyFill="1" applyBorder="1"/>
    <xf numFmtId="3" fontId="36" fillId="0" borderId="0" xfId="6" applyNumberFormat="1" applyFont="1" applyFill="1" applyBorder="1"/>
    <xf numFmtId="3" fontId="36" fillId="0" borderId="0" xfId="6" applyNumberFormat="1" applyFont="1" applyFill="1" applyBorder="1" applyAlignment="1"/>
    <xf numFmtId="3" fontId="36" fillId="0" borderId="0" xfId="6" applyNumberFormat="1" applyFont="1" applyFill="1" applyBorder="1" applyAlignment="1">
      <alignment horizontal="center"/>
    </xf>
    <xf numFmtId="42" fontId="35" fillId="0" borderId="0" xfId="6" applyNumberFormat="1" applyFont="1" applyFill="1" applyBorder="1"/>
    <xf numFmtId="42" fontId="36" fillId="0" borderId="0" xfId="6" applyNumberFormat="1" applyFont="1" applyFill="1" applyBorder="1"/>
    <xf numFmtId="0" fontId="9" fillId="0" borderId="0" xfId="0" applyFont="1" applyAlignment="1">
      <alignment horizontal="center"/>
    </xf>
    <xf numFmtId="3" fontId="1" fillId="0" borderId="0" xfId="0" applyNumberFormat="1" applyFont="1" applyFill="1" applyAlignment="1">
      <alignment horizontal="left"/>
    </xf>
    <xf numFmtId="0" fontId="53"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9" fontId="9" fillId="0" borderId="0" xfId="17" applyNumberFormat="1" applyFont="1"/>
    <xf numFmtId="169" fontId="22" fillId="0" borderId="0" xfId="17" applyNumberFormat="1" applyFont="1"/>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8" fontId="3" fillId="0" borderId="10" xfId="6" applyNumberFormat="1" applyFont="1" applyBorder="1"/>
    <xf numFmtId="41" fontId="54" fillId="0" borderId="0" xfId="6" applyNumberFormat="1" applyFont="1" applyFill="1" applyBorder="1"/>
    <xf numFmtId="3" fontId="3" fillId="0" borderId="0" xfId="5" applyNumberFormat="1" applyFont="1" applyFill="1"/>
    <xf numFmtId="0" fontId="55"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3" fontId="3" fillId="0" borderId="0" xfId="6" applyNumberFormat="1" applyFont="1" applyFill="1" applyAlignment="1">
      <alignment horizontal="center"/>
    </xf>
    <xf numFmtId="3" fontId="3" fillId="5" borderId="0" xfId="6" applyNumberFormat="1" applyFont="1" applyFill="1"/>
    <xf numFmtId="173" fontId="3" fillId="5" borderId="0" xfId="1" applyNumberFormat="1" applyFont="1" applyFill="1"/>
    <xf numFmtId="0" fontId="9" fillId="0" borderId="0" xfId="0" applyFont="1" applyAlignment="1">
      <alignment horizontal="center"/>
    </xf>
    <xf numFmtId="42" fontId="3" fillId="0" borderId="0" xfId="4" applyNumberFormat="1" applyFont="1" applyFill="1"/>
    <xf numFmtId="41" fontId="3" fillId="0" borderId="0" xfId="4" applyNumberFormat="1" applyFont="1" applyFill="1"/>
    <xf numFmtId="3" fontId="31" fillId="0" borderId="0" xfId="6" applyNumberFormat="1" applyFont="1" applyFill="1"/>
    <xf numFmtId="3" fontId="26" fillId="0" borderId="0" xfId="6" applyNumberFormat="1" applyFont="1"/>
    <xf numFmtId="41" fontId="5" fillId="0" borderId="0" xfId="20" applyNumberFormat="1" applyFont="1" applyFill="1" applyAlignment="1">
      <alignment horizontal="center"/>
    </xf>
    <xf numFmtId="41" fontId="5" fillId="0" borderId="0" xfId="6" applyNumberFormat="1" applyFont="1" applyFill="1" applyAlignment="1">
      <alignment horizontal="center"/>
    </xf>
    <xf numFmtId="41" fontId="5" fillId="0" borderId="1" xfId="22" applyNumberFormat="1" applyFont="1" applyFill="1" applyBorder="1" applyAlignment="1">
      <alignment horizontal="center"/>
    </xf>
    <xf numFmtId="41" fontId="5" fillId="0" borderId="5" xfId="22" applyNumberFormat="1" applyFont="1" applyFill="1" applyBorder="1" applyAlignment="1">
      <alignment horizontal="center"/>
    </xf>
    <xf numFmtId="41" fontId="5" fillId="0" borderId="8" xfId="22" applyNumberFormat="1" applyFont="1" applyFill="1" applyBorder="1" applyAlignment="1">
      <alignment horizontal="center"/>
    </xf>
    <xf numFmtId="4" fontId="5" fillId="0" borderId="0" xfId="6" applyNumberFormat="1" applyFont="1" applyAlignment="1">
      <alignment horizontal="center"/>
    </xf>
    <xf numFmtId="42" fontId="3" fillId="0" borderId="0" xfId="6" applyNumberFormat="1" applyFont="1"/>
    <xf numFmtId="42" fontId="3" fillId="0" borderId="12" xfId="6" applyNumberFormat="1" applyFont="1" applyBorder="1"/>
    <xf numFmtId="41" fontId="5" fillId="0" borderId="0" xfId="4" applyNumberFormat="1" applyFont="1" applyFill="1"/>
    <xf numFmtId="42" fontId="5" fillId="0" borderId="0" xfId="4" applyNumberFormat="1" applyFont="1" applyFill="1"/>
    <xf numFmtId="41" fontId="5" fillId="0" borderId="10" xfId="4" applyNumberFormat="1" applyFont="1" applyFill="1" applyBorder="1"/>
    <xf numFmtId="10" fontId="3" fillId="0" borderId="0" xfId="7" applyNumberFormat="1" applyFont="1" applyFill="1"/>
    <xf numFmtId="178" fontId="3" fillId="0" borderId="0" xfId="5" applyNumberFormat="1" applyFont="1" applyFill="1"/>
    <xf numFmtId="0" fontId="9" fillId="0" borderId="0" xfId="0" applyFont="1" applyBorder="1" applyAlignment="1">
      <alignment horizontal="right"/>
    </xf>
    <xf numFmtId="3" fontId="3" fillId="0" borderId="0" xfId="6" applyNumberFormat="1" applyFont="1" applyAlignment="1">
      <alignment horizontal="right"/>
    </xf>
    <xf numFmtId="5" fontId="5" fillId="0" borderId="18" xfId="0" applyNumberFormat="1" applyFont="1" applyFill="1" applyBorder="1"/>
    <xf numFmtId="4" fontId="5" fillId="0" borderId="5" xfId="6" applyNumberFormat="1" applyFont="1" applyFill="1" applyBorder="1" applyAlignment="1">
      <alignment horizontal="center"/>
    </xf>
    <xf numFmtId="3" fontId="3" fillId="0" borderId="5" xfId="6" applyNumberFormat="1" applyFont="1" applyFill="1" applyBorder="1"/>
    <xf numFmtId="42" fontId="3" fillId="0" borderId="5" xfId="4" applyNumberFormat="1" applyFont="1" applyFill="1" applyBorder="1"/>
    <xf numFmtId="41" fontId="3" fillId="0" borderId="5" xfId="4" applyNumberFormat="1" applyFont="1" applyFill="1" applyBorder="1"/>
    <xf numFmtId="41" fontId="3" fillId="0" borderId="8" xfId="4" applyNumberFormat="1" applyFont="1" applyFill="1" applyBorder="1"/>
    <xf numFmtId="41" fontId="3" fillId="0" borderId="5" xfId="6" applyNumberFormat="1" applyFont="1" applyFill="1" applyBorder="1"/>
    <xf numFmtId="41" fontId="3" fillId="0" borderId="8" xfId="6" applyNumberFormat="1" applyFont="1" applyFill="1" applyBorder="1"/>
    <xf numFmtId="42" fontId="3" fillId="0" borderId="33" xfId="6" applyNumberFormat="1" applyFont="1" applyFill="1" applyBorder="1"/>
    <xf numFmtId="173" fontId="3" fillId="0" borderId="5" xfId="1" applyNumberFormat="1" applyFont="1" applyFill="1" applyBorder="1"/>
    <xf numFmtId="173" fontId="3" fillId="0" borderId="8" xfId="1" applyNumberFormat="1" applyFont="1" applyFill="1" applyBorder="1"/>
    <xf numFmtId="41" fontId="3" fillId="0" borderId="34" xfId="6" applyNumberFormat="1" applyFont="1" applyFill="1" applyBorder="1"/>
    <xf numFmtId="174" fontId="5" fillId="0" borderId="5" xfId="2" applyNumberFormat="1" applyFont="1" applyFill="1" applyBorder="1"/>
    <xf numFmtId="3" fontId="26" fillId="0" borderId="0" xfId="6" applyNumberFormat="1" applyFont="1" applyFill="1"/>
    <xf numFmtId="0" fontId="26" fillId="0" borderId="19" xfId="0" applyFont="1" applyFill="1" applyBorder="1"/>
    <xf numFmtId="0" fontId="26" fillId="0" borderId="20" xfId="0" applyFont="1" applyFill="1" applyBorder="1"/>
    <xf numFmtId="0" fontId="26" fillId="0" borderId="21" xfId="0" applyFont="1" applyFill="1" applyBorder="1"/>
    <xf numFmtId="37" fontId="26" fillId="0" borderId="22" xfId="5" applyNumberFormat="1" applyFont="1" applyFill="1" applyBorder="1"/>
    <xf numFmtId="37" fontId="26" fillId="0" borderId="23" xfId="3" applyNumberFormat="1" applyFont="1" applyFill="1" applyBorder="1"/>
    <xf numFmtId="0" fontId="28" fillId="0" borderId="22" xfId="0" applyFont="1" applyFill="1" applyBorder="1" applyAlignment="1">
      <alignment horizontal="center"/>
    </xf>
    <xf numFmtId="0" fontId="27" fillId="0" borderId="24" xfId="0" applyFont="1" applyFill="1" applyBorder="1" applyAlignment="1">
      <alignment horizontal="center"/>
    </xf>
    <xf numFmtId="0" fontId="27" fillId="0" borderId="10" xfId="0" applyFont="1" applyFill="1" applyBorder="1" applyAlignment="1">
      <alignment horizontal="center"/>
    </xf>
    <xf numFmtId="0" fontId="26" fillId="0" borderId="22" xfId="0" applyFont="1" applyFill="1" applyBorder="1"/>
    <xf numFmtId="167" fontId="30" fillId="0" borderId="0" xfId="7" applyNumberFormat="1" applyFont="1" applyFill="1" applyBorder="1"/>
    <xf numFmtId="37" fontId="26" fillId="0" borderId="23" xfId="3" applyNumberFormat="1" applyFont="1" applyFill="1" applyBorder="1" applyAlignment="1">
      <alignment horizontal="center"/>
    </xf>
    <xf numFmtId="10" fontId="26" fillId="0" borderId="16" xfId="7" applyNumberFormat="1" applyFont="1" applyFill="1" applyBorder="1"/>
    <xf numFmtId="0" fontId="26" fillId="0" borderId="25" xfId="0" applyFont="1" applyFill="1" applyBorder="1"/>
    <xf numFmtId="0" fontId="26" fillId="0" borderId="26" xfId="0" applyFont="1" applyFill="1" applyBorder="1"/>
    <xf numFmtId="37" fontId="26" fillId="0" borderId="27" xfId="3" applyNumberFormat="1" applyFont="1" applyFill="1" applyBorder="1"/>
    <xf numFmtId="10" fontId="26" fillId="0" borderId="30" xfId="7" applyNumberFormat="1" applyFont="1" applyFill="1" applyBorder="1"/>
    <xf numFmtId="0" fontId="27" fillId="0" borderId="23" xfId="0" applyFont="1" applyFill="1" applyBorder="1" applyAlignment="1">
      <alignment horizontal="center"/>
    </xf>
    <xf numFmtId="0" fontId="27" fillId="0" borderId="38" xfId="0" applyFont="1" applyFill="1" applyBorder="1" applyAlignment="1">
      <alignment horizontal="center"/>
    </xf>
    <xf numFmtId="37" fontId="26" fillId="0" borderId="23" xfId="5" applyNumberFormat="1" applyFont="1" applyFill="1" applyBorder="1"/>
    <xf numFmtId="10" fontId="30" fillId="0" borderId="23" xfId="7" applyNumberFormat="1" applyFont="1" applyFill="1" applyBorder="1"/>
    <xf numFmtId="10" fontId="26" fillId="0" borderId="39" xfId="7" applyNumberFormat="1" applyFont="1" applyFill="1" applyBorder="1"/>
    <xf numFmtId="0" fontId="26" fillId="0" borderId="27" xfId="0" applyFont="1" applyFill="1" applyBorder="1"/>
    <xf numFmtId="0" fontId="10"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10" fillId="0" borderId="0" xfId="5" applyNumberFormat="1" applyFont="1" applyAlignment="1">
      <alignment horizontal="center"/>
    </xf>
    <xf numFmtId="0" fontId="5" fillId="0" borderId="1" xfId="0" applyFont="1" applyBorder="1" applyAlignment="1">
      <alignment horizontal="center" wrapText="1"/>
    </xf>
    <xf numFmtId="0" fontId="5" fillId="0" borderId="8" xfId="0" applyFont="1" applyBorder="1" applyAlignment="1">
      <alignment horizontal="center" wrapText="1"/>
    </xf>
    <xf numFmtId="42" fontId="5" fillId="5" borderId="0" xfId="6" applyNumberFormat="1" applyFont="1" applyFill="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28" xfId="13" applyFont="1" applyBorder="1" applyAlignment="1">
      <alignment horizontal="center"/>
    </xf>
    <xf numFmtId="0" fontId="9" fillId="0" borderId="29" xfId="13" applyFont="1" applyBorder="1" applyAlignment="1">
      <alignment horizontal="center"/>
    </xf>
    <xf numFmtId="0" fontId="9" fillId="0" borderId="30" xfId="13" applyFont="1" applyBorder="1" applyAlignment="1">
      <alignment horizontal="center"/>
    </xf>
    <xf numFmtId="4" fontId="41" fillId="0" borderId="0" xfId="13" applyNumberFormat="1" applyFont="1" applyBorder="1" applyAlignment="1">
      <alignment horizontal="center"/>
    </xf>
    <xf numFmtId="4" fontId="10" fillId="0" borderId="0" xfId="13" applyNumberFormat="1" applyFont="1" applyBorder="1" applyAlignment="1">
      <alignment horizontal="center"/>
    </xf>
    <xf numFmtId="4" fontId="42" fillId="0" borderId="0" xfId="13" applyNumberFormat="1" applyFont="1" applyBorder="1" applyAlignment="1">
      <alignment horizontal="center"/>
    </xf>
    <xf numFmtId="4" fontId="9" fillId="0" borderId="0" xfId="13" applyNumberFormat="1" applyFont="1" applyBorder="1" applyAlignment="1">
      <alignment horizontal="center"/>
    </xf>
    <xf numFmtId="0" fontId="4" fillId="0" borderId="0" xfId="0" applyFont="1" applyAlignment="1">
      <alignment horizontal="center"/>
    </xf>
    <xf numFmtId="0" fontId="3" fillId="0" borderId="0" xfId="0" applyFont="1" applyAlignment="1">
      <alignment horizontal="center"/>
    </xf>
  </cellXfs>
  <cellStyles count="23">
    <cellStyle name="Comma" xfId="1" builtinId="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2" xfId="17"/>
    <cellStyle name="Normal 2 3" xfId="18"/>
    <cellStyle name="Normal 6" xfId="12"/>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Percent" xfId="7" builtinId="5"/>
    <cellStyle name="Percent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44824</xdr:colOff>
      <xdr:row>84</xdr:row>
      <xdr:rowOff>5040</xdr:rowOff>
    </xdr:from>
    <xdr:to>
      <xdr:col>43</xdr:col>
      <xdr:colOff>1266265</xdr:colOff>
      <xdr:row>88</xdr:row>
      <xdr:rowOff>0</xdr:rowOff>
    </xdr:to>
    <xdr:sp macro="" textlink="">
      <xdr:nvSpPr>
        <xdr:cNvPr id="2" name="TextBox 1"/>
        <xdr:cNvSpPr txBox="1"/>
      </xdr:nvSpPr>
      <xdr:spPr>
        <a:xfrm>
          <a:off x="32990118" y="13171952"/>
          <a:ext cx="6656294" cy="8578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(2) The </a:t>
          </a:r>
          <a:r>
            <a:rPr lang="en-US" sz="900" b="1"/>
            <a:t>Attrition Adjusted Total </a:t>
          </a:r>
          <a:r>
            <a:rPr lang="en-US" sz="900"/>
            <a:t>revenue requirement of $12.021 million on line 50 developed by the Company's Attrition Study is used for the adjusted results and revenue requirement on an attrition adjusted basis.  However, the values shown elsewhere in the  </a:t>
          </a:r>
          <a:r>
            <a:rPr lang="en-US" sz="900" b="1"/>
            <a:t>Attrition</a:t>
          </a:r>
          <a:r>
            <a:rPr lang="en-US" sz="900" b="1" baseline="0"/>
            <a:t> Adjusted</a:t>
          </a:r>
          <a:r>
            <a:rPr lang="en-US" sz="900" b="1"/>
            <a:t> Total </a:t>
          </a:r>
          <a:r>
            <a:rPr lang="en-US" sz="900"/>
            <a:t>column, lines 1-47 above, were used for the limited purpose of preparing the cost-of-service study that is presented by Company witness Mr. Miller, because these values more readily lend themselves to Mr. Miller's cost-of-service analysis.   </a:t>
          </a:r>
        </a:p>
      </xdr:txBody>
    </xdr:sp>
    <xdr:clientData/>
  </xdr:twoCellAnchor>
  <xdr:twoCellAnchor>
    <xdr:from>
      <xdr:col>17</xdr:col>
      <xdr:colOff>76200</xdr:colOff>
      <xdr:row>84</xdr:row>
      <xdr:rowOff>21167</xdr:rowOff>
    </xdr:from>
    <xdr:to>
      <xdr:col>23</xdr:col>
      <xdr:colOff>1066800</xdr:colOff>
      <xdr:row>87</xdr:row>
      <xdr:rowOff>205154</xdr:rowOff>
    </xdr:to>
    <xdr:sp macro="" textlink="">
      <xdr:nvSpPr>
        <xdr:cNvPr id="3" name="TextBox 2"/>
        <xdr:cNvSpPr txBox="1"/>
      </xdr:nvSpPr>
      <xdr:spPr>
        <a:xfrm>
          <a:off x="14297758" y="13070417"/>
          <a:ext cx="6016869" cy="7188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(1) </a:t>
          </a:r>
          <a:r>
            <a:rPr lang="en-US" sz="900" b="0"/>
            <a:t>The</a:t>
          </a:r>
          <a:r>
            <a:rPr lang="en-US" sz="900"/>
            <a:t> </a:t>
          </a:r>
          <a:r>
            <a:rPr lang="en-US" sz="900" b="1"/>
            <a:t>Restated TOTAL </a:t>
          </a:r>
          <a:r>
            <a:rPr lang="en-US" sz="900" b="0"/>
            <a:t>column does not represent 9/30/2014 Test Period results of operation on a normalized basis, due to variances between certain restating adjustments included in the</a:t>
          </a:r>
          <a:r>
            <a:rPr lang="en-US" sz="900" b="0" baseline="0"/>
            <a:t> normalized commission basis reports (CBRs) versus those included here, such as inclusion of pro forma debt interest</a:t>
          </a:r>
          <a:r>
            <a:rPr lang="en-US" sz="900" b="0">
              <a:solidFill>
                <a:schemeClr val="dk1"/>
              </a:solidFill>
              <a:latin typeface="+mn-lt"/>
              <a:ea typeface="+mn-ea"/>
              <a:cs typeface="+mn-cs"/>
            </a:rPr>
            <a:t>.  Normalized CB results of operations at 09/30/2014 was  5.9% as shown on Exhibit No. __(EMA-3) page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34">
    <pageSetUpPr fitToPage="1"/>
  </sheetPr>
  <dimension ref="A1:AQ84"/>
  <sheetViews>
    <sheetView tabSelected="1" view="pageBreakPreview" zoomScaleNormal="100" zoomScaleSheetLayoutView="100" workbookViewId="0">
      <selection activeCell="E47" sqref="E47"/>
    </sheetView>
  </sheetViews>
  <sheetFormatPr defaultColWidth="9.140625" defaultRowHeight="12.75"/>
  <cols>
    <col min="1" max="1" width="4.7109375" style="68" customWidth="1"/>
    <col min="2" max="3" width="1.7109375" style="66" customWidth="1"/>
    <col min="4" max="4" width="2.7109375" style="66" customWidth="1"/>
    <col min="5" max="5" width="28.140625" style="39" customWidth="1"/>
    <col min="6" max="9" width="11.7109375" style="39" customWidth="1"/>
    <col min="10" max="10" width="11.7109375" style="36" customWidth="1"/>
    <col min="11" max="12" width="9" style="36" customWidth="1"/>
    <col min="13" max="13" width="9.140625" style="36"/>
    <col min="14" max="14" width="9.85546875" style="36" bestFit="1" customWidth="1"/>
    <col min="15" max="16" width="9.140625" style="36"/>
    <col min="17" max="17" width="11.140625" style="36" bestFit="1" customWidth="1"/>
    <col min="18" max="30" width="9.140625" style="36"/>
    <col min="31" max="31" width="14.7109375" style="36" customWidth="1"/>
    <col min="32" max="32" width="13" style="36" customWidth="1"/>
    <col min="33" max="16384" width="9.140625" style="36"/>
  </cols>
  <sheetData>
    <row r="1" spans="1:43">
      <c r="E1" s="151"/>
      <c r="F1" s="151"/>
      <c r="G1" s="151"/>
      <c r="H1" s="151"/>
      <c r="I1" s="151"/>
    </row>
    <row r="2" spans="1:43">
      <c r="A2" s="67" t="str">
        <f>'ROO INPUT'!A3:C3</f>
        <v>AVISTA UTILITIES</v>
      </c>
      <c r="D2" s="68"/>
    </row>
    <row r="3" spans="1:43" ht="18.75">
      <c r="A3" s="67" t="str">
        <f>'ADJ DETAIL INPUT'!A3</f>
        <v>WASHINGTON NATURAL GAS - PRO FORMA STUDY</v>
      </c>
      <c r="D3" s="68"/>
      <c r="G3" s="124"/>
      <c r="H3" s="125"/>
      <c r="I3" s="125"/>
      <c r="J3" s="121"/>
      <c r="K3" s="121"/>
      <c r="L3" s="121"/>
      <c r="M3" s="121"/>
      <c r="N3" s="121"/>
    </row>
    <row r="4" spans="1:43">
      <c r="A4" s="67" t="s">
        <v>496</v>
      </c>
      <c r="D4" s="68"/>
    </row>
    <row r="5" spans="1:43" ht="13.5" thickBot="1">
      <c r="A5" s="67" t="str">
        <f>'ROO INPUT'!A5:C5</f>
        <v>TWELVE MONTHS ENDED SEPTEMBER 30, 2014</v>
      </c>
      <c r="D5" s="68"/>
    </row>
    <row r="6" spans="1:43">
      <c r="A6" s="67" t="str">
        <f>'ROO INPUT'!A6:C6</f>
        <v xml:space="preserve">(000'S OF DOLLARS)   </v>
      </c>
      <c r="D6" s="68"/>
      <c r="AD6" s="121"/>
      <c r="AE6" s="362"/>
      <c r="AF6" s="363"/>
      <c r="AG6" s="121"/>
      <c r="AH6" s="121"/>
      <c r="AI6" s="121"/>
      <c r="AJ6" s="121"/>
      <c r="AK6" s="121"/>
      <c r="AL6" s="121"/>
      <c r="AM6" s="121"/>
      <c r="AN6" s="121"/>
      <c r="AO6" s="121"/>
      <c r="AP6" s="121"/>
      <c r="AQ6" s="121"/>
    </row>
    <row r="7" spans="1:43">
      <c r="A7" s="69"/>
      <c r="B7" s="69"/>
      <c r="C7" s="70"/>
      <c r="D7" s="70"/>
      <c r="E7" s="69"/>
      <c r="F7" s="71" t="s">
        <v>149</v>
      </c>
      <c r="G7" s="72"/>
      <c r="H7" s="73"/>
      <c r="I7" s="73" t="s">
        <v>150</v>
      </c>
      <c r="J7" s="73"/>
      <c r="P7" s="121"/>
      <c r="Y7" s="121"/>
      <c r="Z7" s="121"/>
      <c r="AD7" s="121"/>
      <c r="AE7" s="368"/>
      <c r="AF7" s="369"/>
      <c r="AG7" s="121"/>
      <c r="AH7" s="121"/>
      <c r="AI7" s="121"/>
      <c r="AJ7" s="121"/>
      <c r="AK7" s="121"/>
      <c r="AL7" s="121"/>
      <c r="AM7" s="121"/>
      <c r="AN7" s="121"/>
      <c r="AO7" s="121"/>
      <c r="AP7" s="121"/>
      <c r="AQ7" s="121"/>
    </row>
    <row r="8" spans="1:43">
      <c r="A8" s="74"/>
      <c r="B8" s="75"/>
      <c r="C8" s="76"/>
      <c r="D8" s="77"/>
      <c r="E8" s="78"/>
      <c r="F8" s="41" t="s">
        <v>151</v>
      </c>
      <c r="G8" s="41"/>
      <c r="H8" s="41"/>
      <c r="I8" s="41" t="s">
        <v>152</v>
      </c>
      <c r="J8" s="41" t="s">
        <v>16</v>
      </c>
      <c r="AE8" s="364"/>
      <c r="AF8" s="365"/>
    </row>
    <row r="9" spans="1:43">
      <c r="A9" s="79" t="s">
        <v>7</v>
      </c>
      <c r="B9" s="80"/>
      <c r="C9" s="81"/>
      <c r="D9" s="82"/>
      <c r="E9" s="83"/>
      <c r="F9" s="43" t="s">
        <v>8</v>
      </c>
      <c r="G9" s="43" t="s">
        <v>27</v>
      </c>
      <c r="H9" s="43" t="s">
        <v>16</v>
      </c>
      <c r="I9" s="43" t="s">
        <v>153</v>
      </c>
      <c r="J9" s="43" t="s">
        <v>152</v>
      </c>
      <c r="AE9" s="364"/>
      <c r="AF9" s="365"/>
    </row>
    <row r="10" spans="1:43">
      <c r="A10" s="84" t="s">
        <v>17</v>
      </c>
      <c r="B10" s="85"/>
      <c r="C10" s="86"/>
      <c r="D10" s="87"/>
      <c r="E10" s="88" t="s">
        <v>18</v>
      </c>
      <c r="F10" s="45" t="s">
        <v>19</v>
      </c>
      <c r="G10" s="45" t="s">
        <v>118</v>
      </c>
      <c r="H10" s="45" t="s">
        <v>27</v>
      </c>
      <c r="I10" s="45" t="s">
        <v>154</v>
      </c>
      <c r="J10" s="45" t="s">
        <v>27</v>
      </c>
      <c r="AE10" s="364"/>
      <c r="AF10" s="365"/>
    </row>
    <row r="11" spans="1:43">
      <c r="A11" s="89"/>
      <c r="B11" s="89"/>
      <c r="C11" s="90"/>
      <c r="D11" s="90"/>
      <c r="E11" s="90" t="s">
        <v>28</v>
      </c>
      <c r="F11" s="47" t="s">
        <v>29</v>
      </c>
      <c r="G11" s="47" t="s">
        <v>30</v>
      </c>
      <c r="H11" s="47" t="s">
        <v>31</v>
      </c>
      <c r="I11" s="47" t="s">
        <v>32</v>
      </c>
      <c r="J11" s="47" t="s">
        <v>33</v>
      </c>
      <c r="AE11" s="364"/>
      <c r="AF11" s="365"/>
    </row>
    <row r="12" spans="1:43" ht="3.75" customHeight="1">
      <c r="A12" s="89"/>
      <c r="B12" s="89"/>
      <c r="C12" s="90"/>
      <c r="D12" s="90"/>
      <c r="E12" s="90"/>
      <c r="F12" s="47"/>
      <c r="G12" s="47"/>
      <c r="H12" s="47"/>
      <c r="I12" s="47"/>
      <c r="J12" s="47"/>
      <c r="AE12" s="364"/>
      <c r="AF12" s="365"/>
    </row>
    <row r="13" spans="1:43" ht="5.25" customHeight="1">
      <c r="A13" s="89"/>
      <c r="B13" s="89"/>
      <c r="C13" s="90"/>
      <c r="D13" s="90"/>
      <c r="E13" s="90"/>
      <c r="F13" s="47"/>
      <c r="G13" s="47"/>
      <c r="H13" s="47"/>
      <c r="I13" s="47"/>
      <c r="J13" s="47"/>
      <c r="AE13" s="364"/>
      <c r="AF13" s="365"/>
    </row>
    <row r="14" spans="1:43">
      <c r="A14" s="2"/>
      <c r="B14" s="1" t="s">
        <v>34</v>
      </c>
      <c r="C14" s="1"/>
      <c r="D14" s="1"/>
      <c r="E14" s="1"/>
      <c r="F14" s="61"/>
      <c r="G14" s="61"/>
      <c r="J14" s="39"/>
      <c r="AE14" s="364"/>
      <c r="AF14" s="365"/>
    </row>
    <row r="15" spans="1:43">
      <c r="A15" s="2">
        <v>1</v>
      </c>
      <c r="B15" s="3"/>
      <c r="C15" s="3" t="s">
        <v>35</v>
      </c>
      <c r="D15" s="3"/>
      <c r="E15" s="3"/>
      <c r="F15" s="62">
        <f>'ADJ DETAIL INPUT'!E15</f>
        <v>166628</v>
      </c>
      <c r="G15" s="62">
        <f>H15-F15</f>
        <v>103</v>
      </c>
      <c r="H15" s="62">
        <f>'ADJ DETAIL INPUT'!AP15</f>
        <v>166731</v>
      </c>
      <c r="I15" s="521">
        <f>CF!J12</f>
        <v>12021</v>
      </c>
      <c r="J15" s="62">
        <f>H15+I15</f>
        <v>178752</v>
      </c>
      <c r="AE15" s="364"/>
      <c r="AF15" s="365"/>
    </row>
    <row r="16" spans="1:43">
      <c r="A16" s="2">
        <v>2</v>
      </c>
      <c r="B16" s="1"/>
      <c r="C16" s="4" t="s">
        <v>36</v>
      </c>
      <c r="D16" s="4"/>
      <c r="E16" s="4"/>
      <c r="F16" s="294">
        <f>'ADJ DETAIL INPUT'!E16</f>
        <v>4112</v>
      </c>
      <c r="G16" s="294">
        <f>H16-F16</f>
        <v>71</v>
      </c>
      <c r="H16" s="62">
        <f>'ADJ DETAIL INPUT'!AP16</f>
        <v>4183</v>
      </c>
      <c r="I16" s="294"/>
      <c r="J16" s="294">
        <f>H16+I16</f>
        <v>4183</v>
      </c>
      <c r="AE16" s="364"/>
      <c r="AF16" s="365"/>
    </row>
    <row r="17" spans="1:32">
      <c r="A17" s="2">
        <v>3</v>
      </c>
      <c r="B17" s="1"/>
      <c r="C17" s="4" t="s">
        <v>37</v>
      </c>
      <c r="D17" s="4"/>
      <c r="E17" s="4"/>
      <c r="F17" s="296">
        <f>'ADJ DETAIL INPUT'!E17</f>
        <v>83502</v>
      </c>
      <c r="G17" s="296">
        <f>H17-F17</f>
        <v>-83225</v>
      </c>
      <c r="H17" s="591">
        <f>'ADJ DETAIL INPUT'!AP17</f>
        <v>277</v>
      </c>
      <c r="I17" s="296"/>
      <c r="J17" s="296">
        <f>H17+I17</f>
        <v>277</v>
      </c>
      <c r="AE17" s="364"/>
      <c r="AF17" s="365"/>
    </row>
    <row r="18" spans="1:32">
      <c r="A18" s="2">
        <v>4</v>
      </c>
      <c r="B18" s="1" t="s">
        <v>38</v>
      </c>
      <c r="C18" s="4"/>
      <c r="D18" s="4"/>
      <c r="E18" s="4"/>
      <c r="F18" s="294">
        <f>SUM(F15:F17)</f>
        <v>254242</v>
      </c>
      <c r="G18" s="294">
        <f t="shared" ref="G18:J18" si="0">SUM(G15:G17)</f>
        <v>-83051</v>
      </c>
      <c r="H18" s="294">
        <f t="shared" si="0"/>
        <v>171191</v>
      </c>
      <c r="I18" s="294">
        <f t="shared" si="0"/>
        <v>12021</v>
      </c>
      <c r="J18" s="294">
        <f t="shared" si="0"/>
        <v>183212</v>
      </c>
      <c r="AE18" s="364"/>
      <c r="AF18" s="365"/>
    </row>
    <row r="19" spans="1:32">
      <c r="A19" s="2"/>
      <c r="B19" s="1"/>
      <c r="C19" s="4"/>
      <c r="D19" s="4"/>
      <c r="E19" s="4"/>
      <c r="F19" s="294"/>
      <c r="G19" s="294"/>
      <c r="H19" s="294"/>
      <c r="I19" s="294"/>
      <c r="J19" s="294"/>
      <c r="AE19" s="364"/>
      <c r="AF19" s="365"/>
    </row>
    <row r="20" spans="1:32">
      <c r="A20" s="2"/>
      <c r="B20" s="1" t="s">
        <v>39</v>
      </c>
      <c r="C20" s="4"/>
      <c r="D20" s="4"/>
      <c r="E20" s="4"/>
      <c r="F20" s="294"/>
      <c r="G20" s="294"/>
      <c r="H20" s="294"/>
      <c r="I20" s="294"/>
      <c r="J20" s="294"/>
      <c r="AE20" s="364"/>
      <c r="AF20" s="365"/>
    </row>
    <row r="21" spans="1:32">
      <c r="A21" s="2"/>
      <c r="B21" s="1"/>
      <c r="C21" s="4" t="s">
        <v>258</v>
      </c>
      <c r="D21" s="4"/>
      <c r="E21" s="4"/>
      <c r="F21" s="294"/>
      <c r="G21" s="294"/>
      <c r="H21" s="294"/>
      <c r="I21" s="294"/>
      <c r="J21" s="294"/>
      <c r="AE21" s="364"/>
      <c r="AF21" s="365"/>
    </row>
    <row r="22" spans="1:32">
      <c r="A22" s="2">
        <v>5</v>
      </c>
      <c r="B22" s="1"/>
      <c r="C22" s="4"/>
      <c r="D22" s="4" t="s">
        <v>40</v>
      </c>
      <c r="E22" s="4"/>
      <c r="F22" s="294">
        <f>'ADJ DETAIL INPUT'!E22</f>
        <v>173262</v>
      </c>
      <c r="G22" s="294">
        <f>H22-F22</f>
        <v>-85395</v>
      </c>
      <c r="H22" s="295">
        <f>'ADJ DETAIL INPUT'!AP22</f>
        <v>87867</v>
      </c>
      <c r="I22" s="294"/>
      <c r="J22" s="294">
        <f>H22+I22</f>
        <v>87867</v>
      </c>
      <c r="AE22" s="364"/>
      <c r="AF22" s="365"/>
    </row>
    <row r="23" spans="1:32">
      <c r="A23" s="2">
        <v>6</v>
      </c>
      <c r="B23" s="1"/>
      <c r="C23" s="4"/>
      <c r="D23" s="4" t="s">
        <v>41</v>
      </c>
      <c r="E23" s="4"/>
      <c r="F23" s="294">
        <f>'ADJ DETAIL INPUT'!E23</f>
        <v>839</v>
      </c>
      <c r="G23" s="294">
        <f>H23-F23</f>
        <v>27.961999999999989</v>
      </c>
      <c r="H23" s="295">
        <f>'ADJ DETAIL INPUT'!AP23</f>
        <v>866.96199999999999</v>
      </c>
      <c r="I23" s="294"/>
      <c r="J23" s="294">
        <f>H23+I23</f>
        <v>866.96199999999999</v>
      </c>
      <c r="AE23" s="364"/>
      <c r="AF23" s="365"/>
    </row>
    <row r="24" spans="1:32">
      <c r="A24" s="2">
        <v>7</v>
      </c>
      <c r="B24" s="1"/>
      <c r="C24" s="4"/>
      <c r="D24" s="4" t="s">
        <v>42</v>
      </c>
      <c r="E24" s="4"/>
      <c r="F24" s="296">
        <f>'ADJ DETAIL INPUT'!E24</f>
        <v>-5990</v>
      </c>
      <c r="G24" s="296">
        <f>H24-F24</f>
        <v>5990</v>
      </c>
      <c r="H24" s="297">
        <f>'ADJ DETAIL INPUT'!AP24</f>
        <v>0</v>
      </c>
      <c r="I24" s="296"/>
      <c r="J24" s="296">
        <f>H24+I24</f>
        <v>0</v>
      </c>
      <c r="AE24" s="364"/>
      <c r="AF24" s="365"/>
    </row>
    <row r="25" spans="1:32">
      <c r="A25" s="2">
        <v>8</v>
      </c>
      <c r="B25" s="1"/>
      <c r="C25" s="4"/>
      <c r="D25" s="4"/>
      <c r="E25" s="4" t="s">
        <v>43</v>
      </c>
      <c r="F25" s="294">
        <f>SUM(F22:F24)</f>
        <v>168111</v>
      </c>
      <c r="G25" s="294">
        <f t="shared" ref="G25:J25" si="1">SUM(G22:G24)</f>
        <v>-79377.038</v>
      </c>
      <c r="H25" s="294">
        <f t="shared" si="1"/>
        <v>88733.962</v>
      </c>
      <c r="I25" s="294">
        <f t="shared" si="1"/>
        <v>0</v>
      </c>
      <c r="J25" s="294">
        <f t="shared" si="1"/>
        <v>88733.962</v>
      </c>
      <c r="AE25" s="364"/>
      <c r="AF25" s="365"/>
    </row>
    <row r="26" spans="1:32">
      <c r="A26" s="155"/>
      <c r="B26" s="1"/>
      <c r="C26" s="4"/>
      <c r="D26" s="4"/>
      <c r="E26" s="4"/>
      <c r="F26" s="294"/>
      <c r="G26" s="294"/>
      <c r="H26" s="295"/>
      <c r="I26" s="294"/>
      <c r="J26" s="294"/>
      <c r="AE26" s="364"/>
      <c r="AF26" s="365"/>
    </row>
    <row r="27" spans="1:32">
      <c r="A27" s="2"/>
      <c r="B27" s="1"/>
      <c r="C27" s="4" t="s">
        <v>44</v>
      </c>
      <c r="D27" s="4"/>
      <c r="E27" s="4"/>
      <c r="F27" s="294"/>
      <c r="G27" s="294"/>
      <c r="H27" s="294"/>
      <c r="I27" s="294"/>
      <c r="J27" s="294"/>
      <c r="AE27" s="364"/>
      <c r="AF27" s="365"/>
    </row>
    <row r="28" spans="1:32">
      <c r="A28" s="2">
        <v>9</v>
      </c>
      <c r="B28" s="1"/>
      <c r="C28" s="4"/>
      <c r="D28" s="4" t="s">
        <v>45</v>
      </c>
      <c r="E28" s="4"/>
      <c r="F28" s="294">
        <f>'ADJ DETAIL INPUT'!E28</f>
        <v>858</v>
      </c>
      <c r="G28" s="294">
        <f>H28-F28</f>
        <v>0.19799999999997908</v>
      </c>
      <c r="H28" s="295">
        <f>'ADJ DETAIL INPUT'!AP28</f>
        <v>858.19799999999998</v>
      </c>
      <c r="I28" s="294"/>
      <c r="J28" s="294">
        <f>H28+I28</f>
        <v>858.19799999999998</v>
      </c>
      <c r="AE28" s="364"/>
      <c r="AF28" s="365"/>
    </row>
    <row r="29" spans="1:32">
      <c r="A29" s="2">
        <v>10</v>
      </c>
      <c r="B29" s="1"/>
      <c r="C29" s="4"/>
      <c r="D29" s="4" t="s">
        <v>46</v>
      </c>
      <c r="E29" s="4"/>
      <c r="F29" s="294">
        <f>'ADJ DETAIL INPUT'!E29</f>
        <v>392</v>
      </c>
      <c r="G29" s="294">
        <f>H29-F29</f>
        <v>31</v>
      </c>
      <c r="H29" s="295">
        <f>'ADJ DETAIL INPUT'!AP29</f>
        <v>423</v>
      </c>
      <c r="I29" s="294"/>
      <c r="J29" s="294">
        <f>H29+I29</f>
        <v>423</v>
      </c>
      <c r="AE29" s="364"/>
      <c r="AF29" s="365"/>
    </row>
    <row r="30" spans="1:32">
      <c r="A30" s="333">
        <v>11</v>
      </c>
      <c r="B30" s="1"/>
      <c r="C30" s="4"/>
      <c r="D30" s="4" t="s">
        <v>22</v>
      </c>
      <c r="E30" s="4"/>
      <c r="F30" s="296">
        <f>'ADJ DETAIL INPUT'!E30</f>
        <v>216</v>
      </c>
      <c r="G30" s="296">
        <f>H30-F30</f>
        <v>53</v>
      </c>
      <c r="H30" s="297">
        <f>'ADJ DETAIL INPUT'!AP30</f>
        <v>269</v>
      </c>
      <c r="I30" s="296"/>
      <c r="J30" s="296">
        <f>H30+I30</f>
        <v>269</v>
      </c>
      <c r="AE30" s="364"/>
      <c r="AF30" s="365"/>
    </row>
    <row r="31" spans="1:32">
      <c r="A31" s="2">
        <v>12</v>
      </c>
      <c r="B31" s="1"/>
      <c r="C31" s="4"/>
      <c r="D31" s="4"/>
      <c r="E31" s="4" t="s">
        <v>47</v>
      </c>
      <c r="F31" s="294">
        <f>SUM(F28:F30)</f>
        <v>1466</v>
      </c>
      <c r="G31" s="294">
        <f>SUM(G28:G30)</f>
        <v>84.197999999999979</v>
      </c>
      <c r="H31" s="294">
        <f>SUM(H28:H30)</f>
        <v>1550.1979999999999</v>
      </c>
      <c r="I31" s="294">
        <f>SUM(I28:I30)</f>
        <v>0</v>
      </c>
      <c r="J31" s="294">
        <f>SUM(J28:J30)</f>
        <v>1550.1979999999999</v>
      </c>
      <c r="AE31" s="364"/>
      <c r="AF31" s="365"/>
    </row>
    <row r="32" spans="1:32">
      <c r="A32" s="155"/>
      <c r="B32" s="1"/>
      <c r="C32" s="4"/>
      <c r="D32" s="4"/>
      <c r="E32" s="4"/>
      <c r="F32" s="294"/>
      <c r="G32" s="294"/>
      <c r="H32" s="295"/>
      <c r="I32" s="294"/>
      <c r="J32" s="294"/>
      <c r="AE32" s="364"/>
      <c r="AF32" s="365"/>
    </row>
    <row r="33" spans="1:32">
      <c r="A33" s="2"/>
      <c r="B33" s="1"/>
      <c r="C33" s="4" t="s">
        <v>48</v>
      </c>
      <c r="D33" s="4"/>
      <c r="E33" s="4"/>
      <c r="F33" s="294"/>
      <c r="G33" s="294"/>
      <c r="H33" s="294"/>
      <c r="I33" s="294"/>
      <c r="J33" s="294"/>
      <c r="AE33" s="364"/>
      <c r="AF33" s="365"/>
    </row>
    <row r="34" spans="1:32">
      <c r="A34" s="2">
        <v>13</v>
      </c>
      <c r="B34" s="1"/>
      <c r="C34" s="4"/>
      <c r="D34" s="4" t="s">
        <v>45</v>
      </c>
      <c r="E34" s="4"/>
      <c r="F34" s="294">
        <f>'ADJ DETAIL INPUT'!E34</f>
        <v>10666</v>
      </c>
      <c r="G34" s="294">
        <f>H34-F34</f>
        <v>1326</v>
      </c>
      <c r="H34" s="295">
        <f>'ADJ DETAIL INPUT'!AP34</f>
        <v>11992</v>
      </c>
      <c r="I34" s="294"/>
      <c r="J34" s="294">
        <f>H34+I34</f>
        <v>11992</v>
      </c>
      <c r="AE34" s="364"/>
      <c r="AF34" s="365"/>
    </row>
    <row r="35" spans="1:32">
      <c r="A35" s="2">
        <v>14</v>
      </c>
      <c r="B35" s="1"/>
      <c r="C35" s="4"/>
      <c r="D35" s="4" t="s">
        <v>46</v>
      </c>
      <c r="E35" s="4"/>
      <c r="F35" s="294">
        <f>'ADJ DETAIL INPUT'!E35</f>
        <v>8386</v>
      </c>
      <c r="G35" s="294">
        <f>H35-F35</f>
        <v>1188</v>
      </c>
      <c r="H35" s="295">
        <f>'ADJ DETAIL INPUT'!AP35</f>
        <v>9574</v>
      </c>
      <c r="I35" s="294"/>
      <c r="J35" s="294">
        <f>H35+I35</f>
        <v>9574</v>
      </c>
      <c r="AE35" s="364"/>
      <c r="AF35" s="365"/>
    </row>
    <row r="36" spans="1:32">
      <c r="A36" s="2">
        <v>15</v>
      </c>
      <c r="B36" s="1"/>
      <c r="C36" s="4"/>
      <c r="D36" s="4" t="s">
        <v>22</v>
      </c>
      <c r="E36" s="4"/>
      <c r="F36" s="298">
        <f>'ADJ DETAIL INPUT'!E36</f>
        <v>14954</v>
      </c>
      <c r="G36" s="296">
        <f>H36-F36</f>
        <v>-5077</v>
      </c>
      <c r="H36" s="297">
        <f>'ADJ DETAIL INPUT'!AP36</f>
        <v>9877</v>
      </c>
      <c r="I36" s="296">
        <f>CF!J19</f>
        <v>460</v>
      </c>
      <c r="J36" s="296">
        <f>H36+I36</f>
        <v>10337</v>
      </c>
      <c r="AE36" s="364"/>
      <c r="AF36" s="365"/>
    </row>
    <row r="37" spans="1:32">
      <c r="A37" s="2">
        <v>16</v>
      </c>
      <c r="B37" s="1"/>
      <c r="C37" s="4"/>
      <c r="D37" s="4"/>
      <c r="E37" s="4" t="s">
        <v>49</v>
      </c>
      <c r="F37" s="294">
        <f>SUM(F34:F36)</f>
        <v>34006</v>
      </c>
      <c r="G37" s="294">
        <f t="shared" ref="G37:J37" si="2">SUM(G34:G36)</f>
        <v>-2563</v>
      </c>
      <c r="H37" s="294">
        <f t="shared" si="2"/>
        <v>31443</v>
      </c>
      <c r="I37" s="294">
        <f t="shared" si="2"/>
        <v>460</v>
      </c>
      <c r="J37" s="294">
        <f t="shared" si="2"/>
        <v>31903</v>
      </c>
      <c r="AE37" s="364"/>
      <c r="AF37" s="365"/>
    </row>
    <row r="38" spans="1:32">
      <c r="A38" s="2"/>
      <c r="B38" s="1"/>
      <c r="C38" s="4"/>
      <c r="D38" s="4"/>
      <c r="E38" s="4"/>
      <c r="F38" s="294"/>
      <c r="G38" s="294"/>
      <c r="H38" s="294"/>
      <c r="I38" s="294"/>
      <c r="J38" s="294"/>
      <c r="AE38" s="364"/>
      <c r="AF38" s="365"/>
    </row>
    <row r="39" spans="1:32">
      <c r="A39" s="2">
        <v>17</v>
      </c>
      <c r="B39" s="1" t="s">
        <v>50</v>
      </c>
      <c r="C39" s="4"/>
      <c r="D39" s="4"/>
      <c r="E39" s="4"/>
      <c r="F39" s="294">
        <f>'ADJ DETAIL INPUT'!E39</f>
        <v>6550</v>
      </c>
      <c r="G39" s="294">
        <f>H39-F39</f>
        <v>244</v>
      </c>
      <c r="H39" s="295">
        <f>'ADJ DETAIL INPUT'!AP39</f>
        <v>6794</v>
      </c>
      <c r="I39" s="294">
        <f>CF!J15</f>
        <v>68</v>
      </c>
      <c r="J39" s="294">
        <f>H39+I39</f>
        <v>6862</v>
      </c>
      <c r="AE39" s="364"/>
      <c r="AF39" s="365"/>
    </row>
    <row r="40" spans="1:32">
      <c r="A40" s="2">
        <v>18</v>
      </c>
      <c r="B40" s="1" t="s">
        <v>51</v>
      </c>
      <c r="C40" s="4"/>
      <c r="D40" s="4"/>
      <c r="E40" s="4"/>
      <c r="F40" s="294">
        <f>'ADJ DETAIL INPUT'!E40</f>
        <v>6427</v>
      </c>
      <c r="G40" s="294">
        <f>H40-F40</f>
        <v>-5461</v>
      </c>
      <c r="H40" s="295">
        <f>'ADJ DETAIL INPUT'!AP40</f>
        <v>966</v>
      </c>
      <c r="I40" s="294"/>
      <c r="J40" s="294">
        <f>H40+I40</f>
        <v>966</v>
      </c>
      <c r="AE40" s="364"/>
      <c r="AF40" s="365"/>
    </row>
    <row r="41" spans="1:32">
      <c r="A41" s="2">
        <v>19</v>
      </c>
      <c r="B41" s="1" t="s">
        <v>52</v>
      </c>
      <c r="C41" s="4"/>
      <c r="D41" s="4"/>
      <c r="E41" s="4"/>
      <c r="F41" s="294">
        <f>'ADJ DETAIL INPUT'!E41</f>
        <v>0</v>
      </c>
      <c r="G41" s="294">
        <f>H41-F41</f>
        <v>1.1299999999999999</v>
      </c>
      <c r="H41" s="299">
        <f>'ADJ DETAIL INPUT'!AP41</f>
        <v>1.1299999999999999</v>
      </c>
      <c r="I41" s="294"/>
      <c r="J41" s="294">
        <f>H41+I41</f>
        <v>1.1299999999999999</v>
      </c>
      <c r="AE41" s="364"/>
      <c r="AF41" s="365"/>
    </row>
    <row r="42" spans="1:32">
      <c r="A42" s="155"/>
      <c r="B42" s="1"/>
      <c r="C42" s="4"/>
      <c r="D42" s="4"/>
      <c r="E42" s="4"/>
      <c r="F42" s="294"/>
      <c r="G42" s="294"/>
      <c r="H42" s="299"/>
      <c r="I42" s="294"/>
      <c r="J42" s="294"/>
      <c r="AE42" s="364"/>
      <c r="AF42" s="365"/>
    </row>
    <row r="43" spans="1:32">
      <c r="A43" s="2"/>
      <c r="B43" s="1" t="s">
        <v>53</v>
      </c>
      <c r="C43" s="4"/>
      <c r="D43" s="4"/>
      <c r="E43" s="4"/>
      <c r="F43" s="294"/>
      <c r="G43" s="294"/>
      <c r="H43" s="294"/>
      <c r="I43" s="294"/>
      <c r="J43" s="294"/>
      <c r="AE43" s="364"/>
      <c r="AF43" s="365"/>
    </row>
    <row r="44" spans="1:32">
      <c r="A44" s="2">
        <v>20</v>
      </c>
      <c r="B44" s="1"/>
      <c r="C44" s="4" t="s">
        <v>45</v>
      </c>
      <c r="D44" s="4"/>
      <c r="E44" s="4"/>
      <c r="F44" s="294">
        <f>'ADJ DETAIL INPUT'!E44</f>
        <v>11883</v>
      </c>
      <c r="G44" s="294">
        <f>H44-F44</f>
        <v>1839</v>
      </c>
      <c r="H44" s="295">
        <f>'ADJ DETAIL INPUT'!AP44</f>
        <v>13722</v>
      </c>
      <c r="I44" s="294">
        <f>CF!J17</f>
        <v>24</v>
      </c>
      <c r="J44" s="294">
        <f>H44+I44</f>
        <v>13746</v>
      </c>
      <c r="AE44" s="364"/>
      <c r="AF44" s="365"/>
    </row>
    <row r="45" spans="1:32">
      <c r="A45" s="2">
        <v>21</v>
      </c>
      <c r="B45" s="1"/>
      <c r="C45" s="4" t="s">
        <v>216</v>
      </c>
      <c r="D45" s="4"/>
      <c r="E45" s="4"/>
      <c r="F45" s="294">
        <f>'ADJ DETAIL INPUT'!E45</f>
        <v>4316</v>
      </c>
      <c r="G45" s="294">
        <f>H45-F45</f>
        <v>3323</v>
      </c>
      <c r="H45" s="295">
        <f>'ADJ DETAIL INPUT'!AP45</f>
        <v>7639</v>
      </c>
      <c r="I45" s="294"/>
      <c r="J45" s="294">
        <f>H45+I45</f>
        <v>7639</v>
      </c>
      <c r="AE45" s="364"/>
      <c r="AF45" s="365"/>
    </row>
    <row r="46" spans="1:32">
      <c r="A46" s="155">
        <v>22</v>
      </c>
      <c r="B46" s="1"/>
      <c r="C46" s="9" t="s">
        <v>434</v>
      </c>
      <c r="D46" s="4"/>
      <c r="E46" s="4"/>
      <c r="F46" s="294">
        <f>'ADJ DETAIL INPUT'!E46</f>
        <v>11</v>
      </c>
      <c r="G46" s="294">
        <f>H46-F46</f>
        <v>1132</v>
      </c>
      <c r="H46" s="295">
        <f>'ADJ DETAIL INPUT'!AP46</f>
        <v>1143</v>
      </c>
      <c r="I46" s="294"/>
      <c r="J46" s="294">
        <f>H46+I46</f>
        <v>1143</v>
      </c>
      <c r="AE46" s="364"/>
      <c r="AF46" s="365"/>
    </row>
    <row r="47" spans="1:32">
      <c r="A47" s="2">
        <v>23</v>
      </c>
      <c r="B47" s="1"/>
      <c r="C47" s="4" t="s">
        <v>22</v>
      </c>
      <c r="D47" s="4"/>
      <c r="E47" s="4"/>
      <c r="F47" s="296">
        <f>'ADJ DETAIL INPUT'!E47</f>
        <v>0</v>
      </c>
      <c r="G47" s="296">
        <f>H47-F47</f>
        <v>0</v>
      </c>
      <c r="H47" s="297">
        <f>'ADJ DETAIL INPUT'!AP47</f>
        <v>0</v>
      </c>
      <c r="I47" s="296"/>
      <c r="J47" s="296">
        <f>H47+I47</f>
        <v>0</v>
      </c>
      <c r="AE47" s="364"/>
      <c r="AF47" s="365"/>
    </row>
    <row r="48" spans="1:32">
      <c r="A48" s="2">
        <v>24</v>
      </c>
      <c r="B48" s="1"/>
      <c r="C48" s="4"/>
      <c r="D48" s="4" t="s">
        <v>54</v>
      </c>
      <c r="E48" s="36"/>
      <c r="F48" s="300">
        <f>SUM(F44:F47)</f>
        <v>16210</v>
      </c>
      <c r="G48" s="300">
        <f t="shared" ref="G48:J48" si="3">SUM(G44:G47)</f>
        <v>6294</v>
      </c>
      <c r="H48" s="300">
        <f t="shared" si="3"/>
        <v>22504</v>
      </c>
      <c r="I48" s="300">
        <f t="shared" si="3"/>
        <v>24</v>
      </c>
      <c r="J48" s="300">
        <f t="shared" si="3"/>
        <v>22528</v>
      </c>
      <c r="AE48" s="364"/>
      <c r="AF48" s="365"/>
    </row>
    <row r="49" spans="1:32">
      <c r="A49" s="2">
        <v>25</v>
      </c>
      <c r="B49" s="1" t="s">
        <v>55</v>
      </c>
      <c r="C49" s="4"/>
      <c r="D49" s="4"/>
      <c r="E49" s="4"/>
      <c r="F49" s="296">
        <f>F48+F37+F31+F25+F39+F40+F41</f>
        <v>232770</v>
      </c>
      <c r="G49" s="296">
        <f>G48+G37+G31+G25+G39+G40+G41</f>
        <v>-80777.709999999992</v>
      </c>
      <c r="H49" s="296">
        <f>H48+H37+H31+H25+H39+H40+H41</f>
        <v>151992.29</v>
      </c>
      <c r="I49" s="296">
        <f>I48+I37+I31+I25+I39+I40+I41</f>
        <v>552</v>
      </c>
      <c r="J49" s="296">
        <f>J48+J37+J31+J25+J39+J40+J41</f>
        <v>152544.29</v>
      </c>
      <c r="AE49" s="364"/>
      <c r="AF49" s="365"/>
    </row>
    <row r="50" spans="1:32">
      <c r="A50" s="2"/>
      <c r="B50" s="1"/>
      <c r="C50" s="4"/>
      <c r="D50" s="4"/>
      <c r="E50" s="4"/>
      <c r="F50" s="294"/>
      <c r="G50" s="294"/>
      <c r="H50" s="294"/>
      <c r="I50" s="294"/>
      <c r="J50" s="294"/>
      <c r="AE50" s="364"/>
      <c r="AF50" s="365"/>
    </row>
    <row r="51" spans="1:32">
      <c r="A51" s="2">
        <v>26</v>
      </c>
      <c r="B51" s="1" t="s">
        <v>56</v>
      </c>
      <c r="C51" s="4"/>
      <c r="D51" s="4"/>
      <c r="E51" s="4"/>
      <c r="F51" s="294">
        <f>F18-F49</f>
        <v>21472</v>
      </c>
      <c r="G51" s="294">
        <f>G18-G49</f>
        <v>-2273.2900000000081</v>
      </c>
      <c r="H51" s="294">
        <f>H18-H49</f>
        <v>19198.709999999992</v>
      </c>
      <c r="I51" s="294">
        <f>I18-I49</f>
        <v>11469</v>
      </c>
      <c r="J51" s="294">
        <f>J18-J49</f>
        <v>30667.709999999992</v>
      </c>
      <c r="AE51" s="364"/>
      <c r="AF51" s="365"/>
    </row>
    <row r="52" spans="1:32">
      <c r="A52" s="2"/>
      <c r="B52" s="1"/>
      <c r="C52" s="4"/>
      <c r="D52" s="4"/>
      <c r="E52" s="4"/>
      <c r="F52" s="294"/>
      <c r="G52" s="294"/>
      <c r="H52" s="294"/>
      <c r="I52" s="294"/>
      <c r="J52" s="294"/>
      <c r="AE52" s="364"/>
      <c r="AF52" s="365"/>
    </row>
    <row r="53" spans="1:32">
      <c r="A53" s="2"/>
      <c r="B53" s="1" t="s">
        <v>57</v>
      </c>
      <c r="C53" s="4"/>
      <c r="D53" s="4"/>
      <c r="E53" s="4"/>
      <c r="F53" s="294"/>
      <c r="G53" s="294"/>
      <c r="H53" s="294"/>
      <c r="I53" s="294"/>
      <c r="J53" s="294"/>
      <c r="N53" s="481"/>
      <c r="AE53" s="364"/>
      <c r="AF53" s="365"/>
    </row>
    <row r="54" spans="1:32">
      <c r="A54" s="2">
        <v>27</v>
      </c>
      <c r="B54" s="1"/>
      <c r="C54" s="4" t="s">
        <v>58</v>
      </c>
      <c r="D54" s="4"/>
      <c r="E54" s="4"/>
      <c r="F54" s="294">
        <f>'ADJ DETAIL INPUT'!E54</f>
        <v>4339</v>
      </c>
      <c r="G54" s="294">
        <f>H54-F54</f>
        <v>-585.65149999999994</v>
      </c>
      <c r="H54" s="295">
        <f>'ADJ DETAIL INPUT'!AP54</f>
        <v>3753.3485000000001</v>
      </c>
      <c r="I54" s="294">
        <f>CF!J25</f>
        <v>4014</v>
      </c>
      <c r="J54" s="294">
        <f>H54+I54</f>
        <v>7767.3485000000001</v>
      </c>
      <c r="N54" s="108"/>
      <c r="Q54" s="108"/>
      <c r="AE54" s="364"/>
      <c r="AF54" s="365"/>
    </row>
    <row r="55" spans="1:32">
      <c r="A55" s="155">
        <v>28</v>
      </c>
      <c r="B55" s="1"/>
      <c r="C55" s="190" t="s">
        <v>195</v>
      </c>
      <c r="D55" s="4"/>
      <c r="E55" s="4"/>
      <c r="F55" s="294">
        <f>'ADJ DETAIL INPUT'!E55</f>
        <v>0</v>
      </c>
      <c r="G55" s="294">
        <f>H55-F55</f>
        <v>-499.01533499999999</v>
      </c>
      <c r="H55" s="295">
        <f>'ADJ DETAIL INPUT'!AP55</f>
        <v>-499.01533499999999</v>
      </c>
      <c r="I55" s="294">
        <f>CF!J26</f>
        <v>0</v>
      </c>
      <c r="J55" s="294">
        <f>H55+I55</f>
        <v>-499.01533499999999</v>
      </c>
      <c r="N55" s="481"/>
      <c r="AE55" s="364"/>
      <c r="AF55" s="365"/>
    </row>
    <row r="56" spans="1:32">
      <c r="A56" s="2">
        <v>29</v>
      </c>
      <c r="B56" s="1"/>
      <c r="C56" s="4" t="s">
        <v>59</v>
      </c>
      <c r="D56" s="4"/>
      <c r="E56" s="4"/>
      <c r="F56" s="294">
        <f>'ADJ DETAIL INPUT'!E56</f>
        <v>2153</v>
      </c>
      <c r="G56" s="294">
        <f>H56-F56</f>
        <v>-74</v>
      </c>
      <c r="H56" s="295">
        <f>'ADJ DETAIL INPUT'!AP56</f>
        <v>2079</v>
      </c>
      <c r="I56" s="294"/>
      <c r="J56" s="294">
        <f>H56+I56</f>
        <v>2079</v>
      </c>
      <c r="AE56" s="364"/>
      <c r="AF56" s="365"/>
    </row>
    <row r="57" spans="1:32">
      <c r="A57" s="2">
        <v>30</v>
      </c>
      <c r="B57" s="1"/>
      <c r="C57" s="4" t="s">
        <v>60</v>
      </c>
      <c r="D57" s="4"/>
      <c r="E57" s="4"/>
      <c r="F57" s="296">
        <f>'ADJ DETAIL INPUT'!E57</f>
        <v>-22</v>
      </c>
      <c r="G57" s="296">
        <f>H57-F57</f>
        <v>0</v>
      </c>
      <c r="H57" s="297">
        <f>'ADJ DETAIL INPUT'!AP57</f>
        <v>-22</v>
      </c>
      <c r="I57" s="296"/>
      <c r="J57" s="296">
        <f>H57+I57</f>
        <v>-22</v>
      </c>
      <c r="N57" s="157"/>
      <c r="AE57" s="364"/>
      <c r="AF57" s="365"/>
    </row>
    <row r="58" spans="1:32">
      <c r="A58" s="2"/>
      <c r="B58" s="1"/>
      <c r="C58" s="1"/>
      <c r="D58" s="1"/>
      <c r="E58" s="1"/>
      <c r="F58" s="294"/>
      <c r="G58" s="294"/>
      <c r="H58" s="294"/>
      <c r="I58" s="301"/>
      <c r="J58" s="294"/>
      <c r="AE58" s="364"/>
      <c r="AF58" s="365"/>
    </row>
    <row r="59" spans="1:32" ht="13.5" thickBot="1">
      <c r="A59" s="2">
        <v>31</v>
      </c>
      <c r="B59" s="3" t="s">
        <v>61</v>
      </c>
      <c r="C59" s="3"/>
      <c r="D59" s="3"/>
      <c r="E59" s="3"/>
      <c r="F59" s="302">
        <f>F51-SUM(F54:F57)</f>
        <v>15002</v>
      </c>
      <c r="G59" s="302">
        <f>G51-SUM(G54:G57)</f>
        <v>-1114.6231650000082</v>
      </c>
      <c r="H59" s="302">
        <f>H51-SUM(H54:H57)</f>
        <v>13887.376834999992</v>
      </c>
      <c r="I59" s="302">
        <f>I51-SUM(I54:I57)</f>
        <v>7455</v>
      </c>
      <c r="J59" s="302">
        <f>J51-SUM(J54:J57)</f>
        <v>21342.376834999992</v>
      </c>
      <c r="N59" s="126"/>
      <c r="AE59" s="364"/>
      <c r="AF59" s="365"/>
    </row>
    <row r="60" spans="1:32" ht="12.75" customHeight="1" thickTop="1">
      <c r="A60" s="2"/>
      <c r="B60" s="1"/>
      <c r="C60" s="1"/>
      <c r="D60" s="1"/>
      <c r="E60" s="1"/>
      <c r="F60" s="294"/>
      <c r="G60" s="294"/>
      <c r="H60" s="294"/>
      <c r="I60" s="294"/>
      <c r="J60" s="294"/>
      <c r="AE60" s="364"/>
      <c r="AF60" s="365"/>
    </row>
    <row r="61" spans="1:32" hidden="1">
      <c r="A61" s="2"/>
      <c r="B61" s="1"/>
      <c r="C61" s="1"/>
      <c r="D61" s="1"/>
      <c r="E61" s="1"/>
      <c r="F61" s="294"/>
      <c r="G61" s="294"/>
      <c r="H61" s="294"/>
      <c r="I61" s="294"/>
      <c r="J61" s="294"/>
      <c r="AE61" s="364"/>
      <c r="AF61" s="365"/>
    </row>
    <row r="62" spans="1:32">
      <c r="A62" s="2"/>
      <c r="B62" s="1" t="s">
        <v>62</v>
      </c>
      <c r="C62" s="1"/>
      <c r="D62" s="1"/>
      <c r="E62" s="1"/>
      <c r="F62" s="294"/>
      <c r="G62" s="294"/>
      <c r="H62" s="294"/>
      <c r="I62" s="294"/>
      <c r="J62" s="294"/>
      <c r="AE62" s="364"/>
      <c r="AF62" s="365"/>
    </row>
    <row r="63" spans="1:32">
      <c r="A63" s="2">
        <v>32</v>
      </c>
      <c r="B63" s="4"/>
      <c r="C63" s="4" t="s">
        <v>44</v>
      </c>
      <c r="D63" s="4"/>
      <c r="E63" s="4"/>
      <c r="F63" s="294">
        <f>'ADJ DETAIL INPUT'!E63</f>
        <v>24932</v>
      </c>
      <c r="G63" s="294">
        <f>H63-F63</f>
        <v>1389</v>
      </c>
      <c r="H63" s="295">
        <f>'ADJ DETAIL INPUT'!AP63</f>
        <v>26321</v>
      </c>
      <c r="I63" s="294"/>
      <c r="J63" s="294">
        <f>H63+I63</f>
        <v>26321</v>
      </c>
      <c r="AE63" s="364"/>
      <c r="AF63" s="365"/>
    </row>
    <row r="64" spans="1:32">
      <c r="A64" s="2">
        <v>33</v>
      </c>
      <c r="B64" s="4"/>
      <c r="C64" s="4" t="s">
        <v>63</v>
      </c>
      <c r="D64" s="4"/>
      <c r="E64" s="4"/>
      <c r="F64" s="294">
        <f>'ADJ DETAIL INPUT'!E64</f>
        <v>332439</v>
      </c>
      <c r="G64" s="294">
        <f>H64-F64</f>
        <v>39563</v>
      </c>
      <c r="H64" s="295">
        <f>'ADJ DETAIL INPUT'!AP64</f>
        <v>372002</v>
      </c>
      <c r="I64" s="294"/>
      <c r="J64" s="294">
        <f>H64+I64</f>
        <v>372002</v>
      </c>
      <c r="AE64" s="364"/>
      <c r="AF64" s="365"/>
    </row>
    <row r="65" spans="1:32">
      <c r="A65" s="2">
        <v>34</v>
      </c>
      <c r="B65" s="4"/>
      <c r="C65" s="4" t="s">
        <v>64</v>
      </c>
      <c r="D65" s="4"/>
      <c r="E65" s="4"/>
      <c r="F65" s="296">
        <f>'ADJ DETAIL INPUT'!E65</f>
        <v>58679</v>
      </c>
      <c r="G65" s="296">
        <f>H65-F65</f>
        <v>31763</v>
      </c>
      <c r="H65" s="297">
        <f>'ADJ DETAIL INPUT'!AP65</f>
        <v>90442</v>
      </c>
      <c r="I65" s="296"/>
      <c r="J65" s="296">
        <f>H65+I65</f>
        <v>90442</v>
      </c>
      <c r="AE65" s="364"/>
      <c r="AF65" s="365"/>
    </row>
    <row r="66" spans="1:32">
      <c r="A66" s="2">
        <v>35</v>
      </c>
      <c r="B66" s="4"/>
      <c r="C66" s="4"/>
      <c r="D66" s="4"/>
      <c r="E66" s="4" t="s">
        <v>65</v>
      </c>
      <c r="F66" s="303">
        <f>SUM(F63:F65)</f>
        <v>416050</v>
      </c>
      <c r="G66" s="303">
        <f t="shared" ref="G66:J66" si="4">SUM(G63:G65)</f>
        <v>72715</v>
      </c>
      <c r="H66" s="303">
        <f t="shared" si="4"/>
        <v>488765</v>
      </c>
      <c r="I66" s="303">
        <f t="shared" si="4"/>
        <v>0</v>
      </c>
      <c r="J66" s="303">
        <f t="shared" si="4"/>
        <v>488765</v>
      </c>
      <c r="AE66" s="364"/>
      <c r="AF66" s="365"/>
    </row>
    <row r="67" spans="1:32">
      <c r="A67" s="155"/>
      <c r="B67" s="4"/>
      <c r="C67" s="4"/>
      <c r="D67" s="4"/>
      <c r="E67" s="4"/>
      <c r="F67" s="303"/>
      <c r="G67" s="303"/>
      <c r="H67" s="303"/>
      <c r="I67" s="303"/>
      <c r="J67" s="303"/>
      <c r="AE67" s="364"/>
      <c r="AF67" s="365"/>
    </row>
    <row r="68" spans="1:32">
      <c r="A68" s="2"/>
      <c r="B68" s="4" t="s">
        <v>439</v>
      </c>
      <c r="C68" s="4"/>
      <c r="D68" s="4"/>
      <c r="E68" s="4"/>
      <c r="F68" s="294"/>
      <c r="G68" s="294"/>
      <c r="H68" s="294"/>
      <c r="I68" s="294"/>
      <c r="J68" s="294"/>
      <c r="AE68" s="364"/>
      <c r="AF68" s="365"/>
    </row>
    <row r="69" spans="1:32">
      <c r="A69" s="2">
        <v>36</v>
      </c>
      <c r="B69" s="4"/>
      <c r="C69" s="4" t="s">
        <v>44</v>
      </c>
      <c r="D69" s="4"/>
      <c r="E69" s="4"/>
      <c r="F69" s="294">
        <f>'ADJ DETAIL INPUT'!E69</f>
        <v>-9345</v>
      </c>
      <c r="G69" s="294">
        <f t="shared" ref="G69:G79" si="5">H69-F69</f>
        <v>-923</v>
      </c>
      <c r="H69" s="295">
        <f>'ADJ DETAIL INPUT'!AP69</f>
        <v>-10268</v>
      </c>
      <c r="I69" s="294"/>
      <c r="J69" s="294">
        <f t="shared" ref="J69:J79" si="6">H69+I69</f>
        <v>-10268</v>
      </c>
      <c r="AE69" s="364"/>
      <c r="AF69" s="365"/>
    </row>
    <row r="70" spans="1:32">
      <c r="A70" s="2">
        <v>37</v>
      </c>
      <c r="B70" s="4"/>
      <c r="C70" s="4" t="s">
        <v>63</v>
      </c>
      <c r="D70" s="4"/>
      <c r="E70" s="4"/>
      <c r="F70" s="294">
        <f>'ADJ DETAIL INPUT'!E70</f>
        <v>-113282</v>
      </c>
      <c r="G70" s="294">
        <f t="shared" si="5"/>
        <v>-13702</v>
      </c>
      <c r="H70" s="295">
        <f>'ADJ DETAIL INPUT'!AP70</f>
        <v>-126984</v>
      </c>
      <c r="I70" s="294"/>
      <c r="J70" s="294">
        <f t="shared" si="6"/>
        <v>-126984</v>
      </c>
      <c r="AE70" s="364"/>
      <c r="AF70" s="365"/>
    </row>
    <row r="71" spans="1:32">
      <c r="A71" s="2">
        <v>38</v>
      </c>
      <c r="B71" s="4"/>
      <c r="C71" s="4" t="s">
        <v>64</v>
      </c>
      <c r="D71" s="4"/>
      <c r="E71" s="4"/>
      <c r="F71" s="296">
        <f>'ADJ DETAIL INPUT'!E71</f>
        <v>-16998</v>
      </c>
      <c r="G71" s="296">
        <f t="shared" si="5"/>
        <v>-8385</v>
      </c>
      <c r="H71" s="297">
        <f>'ADJ DETAIL INPUT'!AP71</f>
        <v>-25383</v>
      </c>
      <c r="I71" s="296"/>
      <c r="J71" s="296">
        <f t="shared" si="6"/>
        <v>-25383</v>
      </c>
      <c r="AE71" s="364"/>
      <c r="AF71" s="365"/>
    </row>
    <row r="72" spans="1:32">
      <c r="A72" s="2">
        <v>39</v>
      </c>
      <c r="B72" s="4" t="s">
        <v>440</v>
      </c>
      <c r="C72" s="4"/>
      <c r="D72" s="4"/>
      <c r="E72" s="36"/>
      <c r="F72" s="300">
        <f>SUM(F69:F71)</f>
        <v>-139625</v>
      </c>
      <c r="G72" s="300">
        <f t="shared" ref="G72:J72" si="7">SUM(G69:G71)</f>
        <v>-23010</v>
      </c>
      <c r="H72" s="300">
        <f t="shared" si="7"/>
        <v>-162635</v>
      </c>
      <c r="I72" s="300">
        <f t="shared" si="7"/>
        <v>0</v>
      </c>
      <c r="J72" s="300">
        <f t="shared" si="7"/>
        <v>-162635</v>
      </c>
      <c r="AE72" s="364"/>
      <c r="AF72" s="365"/>
    </row>
    <row r="73" spans="1:32">
      <c r="A73" s="155">
        <v>40</v>
      </c>
      <c r="B73" s="190" t="s">
        <v>184</v>
      </c>
      <c r="C73" s="4"/>
      <c r="D73" s="4"/>
      <c r="E73" s="4"/>
      <c r="F73" s="303">
        <f>F66+F72</f>
        <v>276425</v>
      </c>
      <c r="G73" s="303">
        <f t="shared" ref="G73:J73" si="8">G66+G72</f>
        <v>49705</v>
      </c>
      <c r="H73" s="303">
        <f t="shared" si="8"/>
        <v>326130</v>
      </c>
      <c r="I73" s="303">
        <f t="shared" si="8"/>
        <v>0</v>
      </c>
      <c r="J73" s="303">
        <f t="shared" si="8"/>
        <v>326130</v>
      </c>
      <c r="AE73" s="364"/>
      <c r="AF73" s="365"/>
    </row>
    <row r="74" spans="1:32">
      <c r="A74" s="5">
        <v>41</v>
      </c>
      <c r="B74" s="6" t="s">
        <v>67</v>
      </c>
      <c r="C74" s="6"/>
      <c r="D74" s="6"/>
      <c r="E74" s="6"/>
      <c r="F74" s="296">
        <f>'ADJ DETAIL INPUT'!E74</f>
        <v>-55323</v>
      </c>
      <c r="G74" s="296">
        <f t="shared" si="5"/>
        <v>-15380</v>
      </c>
      <c r="H74" s="297">
        <f>'ADJ DETAIL INPUT'!AP74</f>
        <v>-70703</v>
      </c>
      <c r="I74" s="296"/>
      <c r="J74" s="296">
        <f>H74+I74</f>
        <v>-70703</v>
      </c>
      <c r="AE74" s="364"/>
      <c r="AF74" s="365"/>
    </row>
    <row r="75" spans="1:32">
      <c r="A75" s="5">
        <v>42</v>
      </c>
      <c r="B75" s="6"/>
      <c r="C75" s="192" t="s">
        <v>219</v>
      </c>
      <c r="D75" s="6"/>
      <c r="E75" s="6"/>
      <c r="F75" s="294">
        <f>F73+F74</f>
        <v>221102</v>
      </c>
      <c r="G75" s="294">
        <f t="shared" ref="G75:J75" si="9">G73+G74</f>
        <v>34325</v>
      </c>
      <c r="H75" s="294">
        <f>H73+H74</f>
        <v>255427</v>
      </c>
      <c r="I75" s="294">
        <f t="shared" si="9"/>
        <v>0</v>
      </c>
      <c r="J75" s="294">
        <f t="shared" si="9"/>
        <v>255427</v>
      </c>
      <c r="AE75" s="364"/>
      <c r="AF75" s="365"/>
    </row>
    <row r="76" spans="1:32" ht="12" customHeight="1">
      <c r="A76" s="2">
        <v>43</v>
      </c>
      <c r="B76" s="350" t="s">
        <v>68</v>
      </c>
      <c r="C76" s="350"/>
      <c r="D76" s="350"/>
      <c r="E76" s="350"/>
      <c r="F76" s="351">
        <f>'ADJ DETAIL INPUT'!E76</f>
        <v>12801</v>
      </c>
      <c r="G76" s="351">
        <f t="shared" si="5"/>
        <v>0</v>
      </c>
      <c r="H76" s="352">
        <f>'ADJ DETAIL INPUT'!AP76</f>
        <v>12801</v>
      </c>
      <c r="I76" s="351"/>
      <c r="J76" s="351">
        <f t="shared" si="6"/>
        <v>12801</v>
      </c>
      <c r="AE76" s="364"/>
      <c r="AF76" s="365"/>
    </row>
    <row r="77" spans="1:32">
      <c r="A77" s="155">
        <v>44</v>
      </c>
      <c r="B77" s="350" t="s">
        <v>69</v>
      </c>
      <c r="C77" s="350"/>
      <c r="D77" s="350"/>
      <c r="E77" s="350"/>
      <c r="F77" s="351">
        <f>'ADJ DETAIL INPUT'!E77</f>
        <v>0</v>
      </c>
      <c r="G77" s="351">
        <f>H77-F77</f>
        <v>0</v>
      </c>
      <c r="H77" s="352">
        <f>'ADJ DETAIL INPUT'!AP77</f>
        <v>0</v>
      </c>
      <c r="I77" s="351"/>
      <c r="J77" s="351">
        <f t="shared" ref="J77" si="10">H77+I77</f>
        <v>0</v>
      </c>
      <c r="AE77" s="364"/>
      <c r="AF77" s="365"/>
    </row>
    <row r="78" spans="1:32">
      <c r="A78" s="155">
        <v>45</v>
      </c>
      <c r="B78" s="350" t="s">
        <v>441</v>
      </c>
      <c r="C78" s="350"/>
      <c r="D78" s="350"/>
      <c r="E78" s="350"/>
      <c r="F78" s="351">
        <f>'ADJ DETAIL INPUT'!E78</f>
        <v>-428</v>
      </c>
      <c r="G78" s="351">
        <f t="shared" ref="G78" si="11">H78-F78</f>
        <v>7915</v>
      </c>
      <c r="H78" s="352">
        <f>'ADJ DETAIL INPUT'!AP78</f>
        <v>7487</v>
      </c>
      <c r="I78" s="351"/>
      <c r="J78" s="351">
        <f t="shared" ref="J78" si="12">H78+I78</f>
        <v>7487</v>
      </c>
      <c r="AE78" s="364"/>
      <c r="AF78" s="365"/>
    </row>
    <row r="79" spans="1:32">
      <c r="A79" s="2">
        <v>46</v>
      </c>
      <c r="B79" s="350" t="s">
        <v>188</v>
      </c>
      <c r="C79" s="350"/>
      <c r="D79" s="350"/>
      <c r="E79" s="350"/>
      <c r="F79" s="298">
        <f>'ADJ DETAIL INPUT'!E79</f>
        <v>0</v>
      </c>
      <c r="G79" s="298">
        <f t="shared" si="5"/>
        <v>10371</v>
      </c>
      <c r="H79" s="353">
        <f>'ADJ DETAIL INPUT'!AP79</f>
        <v>10371</v>
      </c>
      <c r="I79" s="298"/>
      <c r="J79" s="298">
        <f t="shared" si="6"/>
        <v>10371</v>
      </c>
      <c r="AE79" s="364"/>
      <c r="AF79" s="365"/>
    </row>
    <row r="80" spans="1:32">
      <c r="A80" s="2"/>
      <c r="B80" s="1"/>
      <c r="C80" s="1"/>
      <c r="D80" s="1"/>
      <c r="E80" s="1"/>
      <c r="F80" s="61"/>
      <c r="G80" s="61"/>
      <c r="H80" s="98"/>
      <c r="I80" s="61"/>
      <c r="J80" s="61"/>
      <c r="AE80" s="364"/>
      <c r="AF80" s="365"/>
    </row>
    <row r="81" spans="1:36" ht="13.5" thickBot="1">
      <c r="A81" s="2">
        <v>47</v>
      </c>
      <c r="B81" s="3" t="s">
        <v>70</v>
      </c>
      <c r="C81" s="3"/>
      <c r="D81" s="3"/>
      <c r="E81" s="3"/>
      <c r="F81" s="97">
        <f>F79+F77+F76+F75+F78</f>
        <v>233475</v>
      </c>
      <c r="G81" s="97">
        <f>G79+G77+G76+G75</f>
        <v>44696</v>
      </c>
      <c r="H81" s="97">
        <f>H79+H77+H76+H75+H78</f>
        <v>286086</v>
      </c>
      <c r="I81" s="97">
        <f>I79+I77+I76+I75</f>
        <v>0</v>
      </c>
      <c r="J81" s="97">
        <f>J79+J77+J76+J75+J78</f>
        <v>286086</v>
      </c>
      <c r="AE81" s="364"/>
      <c r="AF81" s="365"/>
    </row>
    <row r="82" spans="1:36" ht="13.5" thickTop="1">
      <c r="A82" s="2">
        <v>48</v>
      </c>
      <c r="B82" s="1" t="s">
        <v>533</v>
      </c>
      <c r="C82" s="1"/>
      <c r="D82" s="1"/>
      <c r="E82" s="1"/>
      <c r="F82" s="7">
        <f>ROUND(F59/F81,4)</f>
        <v>6.4299999999999996E-2</v>
      </c>
      <c r="G82" s="91"/>
      <c r="H82" s="447">
        <f>ROUND(H59/H81,4)</f>
        <v>4.8500000000000001E-2</v>
      </c>
      <c r="I82" s="7"/>
      <c r="J82" s="447">
        <f>ROUND(J59/J81,4)</f>
        <v>7.46E-2</v>
      </c>
      <c r="AE82" s="364"/>
      <c r="AF82" s="365"/>
    </row>
    <row r="83" spans="1:36">
      <c r="A83" s="92"/>
      <c r="B83" s="1"/>
      <c r="C83" s="93"/>
      <c r="D83" s="93"/>
      <c r="E83" s="65"/>
      <c r="F83" s="480"/>
      <c r="G83" s="65"/>
      <c r="H83" s="65"/>
      <c r="I83" s="65"/>
      <c r="J83" s="65"/>
      <c r="AE83" s="370"/>
      <c r="AF83" s="371"/>
    </row>
    <row r="84" spans="1:36" ht="13.5" thickBot="1">
      <c r="A84" s="92"/>
      <c r="B84" s="93"/>
      <c r="C84" s="93"/>
      <c r="D84" s="93"/>
      <c r="E84" s="65"/>
      <c r="F84" s="65"/>
      <c r="G84" s="65"/>
      <c r="H84" s="65"/>
      <c r="I84" s="65"/>
      <c r="J84" s="65"/>
      <c r="AE84" s="366"/>
      <c r="AF84" s="367"/>
      <c r="AJ84" s="36">
        <f>AJ90</f>
        <v>0</v>
      </c>
    </row>
  </sheetData>
  <phoneticPr fontId="0" type="noConversion"/>
  <pageMargins left="0.75" right="0.5" top="0.72" bottom="0.84" header="0.5" footer="0.5"/>
  <pageSetup scale="69" orientation="portrait" r:id="rId1"/>
  <headerFooter scaleWithDoc="0" alignWithMargins="0">
    <oddHeader xml:space="preserve">&amp;RExhibit No. ___(JSS-3)
</oddHeader>
    <oddFooter>&amp;RPage &amp;P of &amp;N</oddFooter>
  </headerFooter>
</worksheet>
</file>

<file path=xl/worksheets/sheet2.xml><?xml version="1.0" encoding="utf-8"?>
<worksheet xmlns="http://schemas.openxmlformats.org/spreadsheetml/2006/main" xmlns:r="http://schemas.openxmlformats.org/officeDocument/2006/relationships">
  <sheetPr codeName="Sheet35"/>
  <dimension ref="A1:AH84"/>
  <sheetViews>
    <sheetView tabSelected="1" view="pageBreakPreview" zoomScale="115" zoomScaleNormal="100" zoomScaleSheetLayoutView="115" workbookViewId="0">
      <selection activeCell="E47" sqref="E47"/>
    </sheetView>
  </sheetViews>
  <sheetFormatPr defaultRowHeight="12.75"/>
  <cols>
    <col min="1" max="1" width="10.7109375" style="36" customWidth="1"/>
    <col min="2" max="3" width="9.140625" style="36"/>
    <col min="4" max="4" width="22" style="36" customWidth="1"/>
    <col min="5" max="5" width="10.7109375" style="36" customWidth="1"/>
    <col min="6" max="6" width="10.5703125" style="36" bestFit="1" customWidth="1"/>
    <col min="7" max="7" width="10.28515625" style="36" bestFit="1" customWidth="1"/>
    <col min="8" max="8" width="11.140625" style="36" bestFit="1" customWidth="1"/>
    <col min="9" max="9" width="8.140625" style="36" customWidth="1"/>
    <col min="10" max="10" width="13.85546875" style="36" customWidth="1"/>
    <col min="11" max="11" width="7.85546875" style="36" customWidth="1"/>
    <col min="12" max="12" width="11.42578125" style="36" customWidth="1"/>
    <col min="13" max="13" width="14.28515625" style="36" customWidth="1"/>
    <col min="14" max="14" width="14.85546875" style="36" customWidth="1"/>
    <col min="15" max="15" width="14" style="36" customWidth="1"/>
    <col min="16" max="16" width="9.28515625" customWidth="1"/>
  </cols>
  <sheetData>
    <row r="1" spans="1:34">
      <c r="A1" s="63" t="s">
        <v>113</v>
      </c>
      <c r="B1" s="63"/>
      <c r="C1" s="63"/>
      <c r="D1" s="63"/>
      <c r="E1" s="63"/>
      <c r="F1" s="63"/>
      <c r="G1" s="63"/>
      <c r="H1" s="63"/>
      <c r="I1" s="141"/>
      <c r="J1" s="130" t="s">
        <v>113</v>
      </c>
      <c r="K1" s="130"/>
      <c r="L1" s="130"/>
      <c r="M1" s="130"/>
      <c r="N1" s="130"/>
      <c r="O1" s="130"/>
      <c r="P1" s="36"/>
    </row>
    <row r="2" spans="1:34">
      <c r="A2" s="63" t="s">
        <v>492</v>
      </c>
      <c r="B2" s="63"/>
      <c r="C2" s="63"/>
      <c r="D2" s="63"/>
      <c r="E2" s="63"/>
      <c r="F2" s="63"/>
      <c r="G2" s="63"/>
      <c r="H2" s="63"/>
      <c r="J2" s="657" t="s">
        <v>495</v>
      </c>
      <c r="K2" s="657"/>
      <c r="L2" s="657"/>
      <c r="M2" s="657"/>
      <c r="N2" s="657"/>
      <c r="O2" s="657"/>
      <c r="P2" s="36"/>
    </row>
    <row r="3" spans="1:34">
      <c r="A3" s="657" t="s">
        <v>493</v>
      </c>
      <c r="B3" s="657"/>
      <c r="C3" s="657"/>
      <c r="D3" s="657"/>
      <c r="E3" s="657"/>
      <c r="F3" s="657"/>
      <c r="G3" s="657"/>
      <c r="H3" s="657"/>
      <c r="I3" s="141"/>
      <c r="J3" s="130" t="s">
        <v>493</v>
      </c>
      <c r="K3" s="130"/>
      <c r="L3" s="130"/>
      <c r="M3" s="130"/>
      <c r="N3" s="130"/>
      <c r="O3" s="130"/>
      <c r="P3" s="36"/>
    </row>
    <row r="4" spans="1:34">
      <c r="A4" s="662" t="str">
        <f>'PROP0SED RATES-2016'!A5</f>
        <v>TWELVE MONTHS ENDED SEPTEMBER 30, 2014</v>
      </c>
      <c r="B4" s="662"/>
      <c r="C4" s="662"/>
      <c r="D4" s="662"/>
      <c r="E4" s="662"/>
      <c r="F4" s="662"/>
      <c r="G4" s="662"/>
      <c r="H4" s="662"/>
      <c r="I4" s="657"/>
      <c r="J4" s="657"/>
      <c r="K4" s="657"/>
      <c r="L4" s="657"/>
      <c r="M4" s="657"/>
      <c r="N4" s="657"/>
      <c r="O4" s="657"/>
    </row>
    <row r="5" spans="1:34">
      <c r="A5" s="657" t="s">
        <v>498</v>
      </c>
      <c r="B5" s="657"/>
      <c r="C5" s="657"/>
      <c r="D5" s="657"/>
      <c r="E5" s="657"/>
      <c r="F5" s="657"/>
      <c r="G5" s="657"/>
      <c r="H5" s="657"/>
      <c r="I5" s="141"/>
      <c r="J5" s="657"/>
      <c r="K5" s="657"/>
      <c r="L5" s="657"/>
      <c r="M5" s="657"/>
      <c r="N5" s="657"/>
      <c r="O5" s="657"/>
      <c r="W5" s="118"/>
      <c r="X5" s="118"/>
      <c r="Y5" s="118"/>
      <c r="Z5" s="118"/>
      <c r="AA5" s="118"/>
      <c r="AB5" s="118"/>
      <c r="AC5" s="118"/>
      <c r="AD5" s="118"/>
      <c r="AE5" s="118"/>
      <c r="AF5" s="118"/>
      <c r="AG5" s="118"/>
      <c r="AH5" s="118"/>
    </row>
    <row r="6" spans="1:34" ht="16.5" thickBot="1">
      <c r="A6" s="657"/>
      <c r="B6" s="657"/>
      <c r="C6" s="657"/>
      <c r="D6" s="657"/>
      <c r="E6" s="657"/>
      <c r="F6" s="657"/>
      <c r="G6" s="657"/>
      <c r="H6" s="657"/>
      <c r="I6" s="131"/>
      <c r="J6" s="132"/>
      <c r="K6" s="132"/>
      <c r="L6" s="132"/>
      <c r="M6" s="132"/>
      <c r="N6" s="132"/>
      <c r="O6" s="132"/>
      <c r="R6" s="118"/>
      <c r="S6" s="118"/>
      <c r="W6" s="118"/>
      <c r="X6" s="118"/>
      <c r="Y6" s="118"/>
      <c r="Z6" s="118"/>
      <c r="AA6" s="118"/>
      <c r="AB6" s="118"/>
      <c r="AC6" s="118"/>
      <c r="AD6" s="118"/>
      <c r="AE6" s="118"/>
      <c r="AF6" s="118"/>
      <c r="AG6" s="118"/>
      <c r="AH6" s="118"/>
    </row>
    <row r="7" spans="1:34" ht="15.75">
      <c r="I7" s="131"/>
      <c r="J7" s="635" t="s">
        <v>456</v>
      </c>
      <c r="K7" s="636"/>
      <c r="L7" s="636"/>
      <c r="M7" s="636"/>
      <c r="N7" s="637"/>
      <c r="O7" s="637"/>
    </row>
    <row r="8" spans="1:34" ht="15.75">
      <c r="A8" s="38"/>
      <c r="B8" s="38"/>
      <c r="C8" s="38"/>
      <c r="D8" s="38"/>
      <c r="E8" s="38"/>
      <c r="F8" s="42"/>
      <c r="G8" s="42"/>
      <c r="H8" s="42"/>
      <c r="I8" s="133"/>
      <c r="J8" s="638"/>
      <c r="K8" s="135"/>
      <c r="L8" s="139"/>
      <c r="M8" s="140"/>
      <c r="N8" s="651"/>
      <c r="O8" s="639"/>
    </row>
    <row r="9" spans="1:34" ht="15.75">
      <c r="A9" s="94" t="s">
        <v>136</v>
      </c>
      <c r="B9" s="40"/>
      <c r="C9" s="658" t="s">
        <v>73</v>
      </c>
      <c r="D9" s="659"/>
      <c r="E9" s="42"/>
      <c r="F9" s="663" t="s">
        <v>497</v>
      </c>
      <c r="G9" s="42"/>
      <c r="H9" s="42"/>
      <c r="I9" s="133"/>
      <c r="J9" s="640"/>
      <c r="K9" s="134"/>
      <c r="L9" s="134" t="s">
        <v>137</v>
      </c>
      <c r="M9" s="134"/>
      <c r="N9" s="651" t="s">
        <v>138</v>
      </c>
      <c r="O9" s="639"/>
    </row>
    <row r="10" spans="1:34" ht="15.75">
      <c r="A10" s="95" t="s">
        <v>17</v>
      </c>
      <c r="B10" s="40"/>
      <c r="C10" s="660"/>
      <c r="D10" s="661"/>
      <c r="E10" s="42"/>
      <c r="F10" s="664"/>
      <c r="G10" s="42"/>
      <c r="H10" s="42"/>
      <c r="I10" s="133"/>
      <c r="J10" s="641" t="s">
        <v>139</v>
      </c>
      <c r="K10" s="134"/>
      <c r="L10" s="642" t="s">
        <v>140</v>
      </c>
      <c r="M10" s="642" t="s">
        <v>141</v>
      </c>
      <c r="N10" s="652" t="s">
        <v>141</v>
      </c>
      <c r="O10" s="639"/>
    </row>
    <row r="11" spans="1:34" ht="15.75">
      <c r="A11" s="38"/>
      <c r="B11" s="38"/>
      <c r="C11" s="38"/>
      <c r="D11" s="38"/>
      <c r="E11" s="96"/>
      <c r="I11" s="133"/>
      <c r="J11" s="638"/>
      <c r="K11" s="135"/>
      <c r="L11" s="135"/>
      <c r="M11" s="135"/>
      <c r="N11" s="653"/>
      <c r="O11" s="639"/>
    </row>
    <row r="12" spans="1:34" ht="15.75">
      <c r="A12" s="46">
        <v>1</v>
      </c>
      <c r="B12" s="38"/>
      <c r="C12" s="38" t="s">
        <v>156</v>
      </c>
      <c r="D12" s="38"/>
      <c r="E12" s="38"/>
      <c r="F12" s="347">
        <f>'ADJ DETAIL INPUT'!AP82</f>
        <v>286086</v>
      </c>
      <c r="G12" s="347"/>
      <c r="H12" s="347"/>
      <c r="I12" s="133"/>
      <c r="J12" s="368"/>
      <c r="K12" s="556"/>
      <c r="L12" s="556"/>
      <c r="M12" s="556"/>
      <c r="N12" s="369"/>
      <c r="O12" s="639"/>
      <c r="P12" s="118"/>
    </row>
    <row r="13" spans="1:34" ht="16.5" thickBot="1">
      <c r="A13" s="46"/>
      <c r="B13" s="38"/>
      <c r="C13" s="38"/>
      <c r="D13" s="38"/>
      <c r="E13" s="38"/>
      <c r="F13" s="48"/>
      <c r="G13" s="48"/>
      <c r="H13" s="48"/>
      <c r="I13" s="133"/>
      <c r="J13" s="643" t="s">
        <v>457</v>
      </c>
      <c r="K13" s="136"/>
      <c r="L13" s="644">
        <f>100%-L15</f>
        <v>0.52</v>
      </c>
      <c r="M13" s="200">
        <v>5.1999999999999998E-2</v>
      </c>
      <c r="N13" s="654">
        <f>ROUND(L13*M13,4)+0.0001</f>
        <v>2.7099999999999999E-2</v>
      </c>
      <c r="O13" s="645" t="s">
        <v>168</v>
      </c>
    </row>
    <row r="14" spans="1:34" ht="16.5" thickBot="1">
      <c r="A14" s="46">
        <v>2</v>
      </c>
      <c r="B14" s="38"/>
      <c r="C14" s="38" t="s">
        <v>142</v>
      </c>
      <c r="D14" s="38"/>
      <c r="E14" s="38"/>
      <c r="F14" s="342">
        <f>N17</f>
        <v>7.46E-2</v>
      </c>
      <c r="G14" s="384"/>
      <c r="H14" s="384"/>
      <c r="I14" s="133"/>
      <c r="J14" s="643"/>
      <c r="K14" s="136"/>
      <c r="L14" s="644"/>
      <c r="M14" s="200"/>
      <c r="N14" s="654"/>
      <c r="O14" s="650">
        <f>N13+N14</f>
        <v>2.7099999999999999E-2</v>
      </c>
    </row>
    <row r="15" spans="1:34" ht="15.75">
      <c r="A15" s="46"/>
      <c r="B15" s="38"/>
      <c r="C15" s="38"/>
      <c r="D15" s="38"/>
      <c r="E15" s="38"/>
      <c r="F15" s="65"/>
      <c r="G15" s="65"/>
      <c r="H15" s="65"/>
      <c r="I15" s="133"/>
      <c r="J15" s="643" t="s">
        <v>179</v>
      </c>
      <c r="K15" s="136"/>
      <c r="L15" s="644">
        <v>0.48</v>
      </c>
      <c r="M15" s="200">
        <v>9.9000000000000005E-2</v>
      </c>
      <c r="N15" s="654">
        <f>ROUND(L15*M15,4)</f>
        <v>4.7500000000000001E-2</v>
      </c>
      <c r="O15" s="639"/>
      <c r="P15" s="118"/>
    </row>
    <row r="16" spans="1:34" ht="15.75">
      <c r="A16" s="46">
        <v>3</v>
      </c>
      <c r="B16" s="38"/>
      <c r="C16" s="38" t="s">
        <v>143</v>
      </c>
      <c r="D16" s="38"/>
      <c r="E16" s="38"/>
      <c r="F16" s="48">
        <f>ROUND(F12*F14,0)</f>
        <v>21342</v>
      </c>
      <c r="G16" s="48"/>
      <c r="H16" s="48"/>
      <c r="I16" s="133"/>
      <c r="J16" s="368"/>
      <c r="K16" s="556"/>
      <c r="L16" s="556"/>
      <c r="M16" s="556"/>
      <c r="N16" s="369"/>
      <c r="O16" s="639"/>
    </row>
    <row r="17" spans="1:16" ht="16.5" thickBot="1">
      <c r="A17" s="46"/>
      <c r="B17" s="38"/>
      <c r="C17" s="38"/>
      <c r="D17" s="38"/>
      <c r="E17" s="38"/>
      <c r="F17" s="48"/>
      <c r="G17" s="48"/>
      <c r="H17" s="48"/>
      <c r="I17" s="133"/>
      <c r="J17" s="643" t="s">
        <v>27</v>
      </c>
      <c r="K17" s="138"/>
      <c r="L17" s="646">
        <f>SUM(L13:L15)</f>
        <v>1</v>
      </c>
      <c r="M17" s="203"/>
      <c r="N17" s="655">
        <f>SUM(N13:N15)</f>
        <v>7.46E-2</v>
      </c>
      <c r="O17" s="639"/>
    </row>
    <row r="18" spans="1:16" ht="17.25" thickTop="1" thickBot="1">
      <c r="A18" s="46">
        <v>4</v>
      </c>
      <c r="B18" s="38"/>
      <c r="C18" s="38" t="s">
        <v>144</v>
      </c>
      <c r="D18" s="38"/>
      <c r="E18" s="38"/>
      <c r="F18" s="348">
        <f>'ADJ DETAIL INPUT'!AP59</f>
        <v>13887.376834999992</v>
      </c>
      <c r="G18" s="349"/>
      <c r="H18" s="349"/>
      <c r="I18" s="133"/>
      <c r="J18" s="647"/>
      <c r="K18" s="648"/>
      <c r="L18" s="648"/>
      <c r="M18" s="648"/>
      <c r="N18" s="656"/>
      <c r="O18" s="649"/>
    </row>
    <row r="19" spans="1:16" ht="15.75">
      <c r="A19" s="46"/>
      <c r="B19" s="38"/>
      <c r="C19" s="38"/>
      <c r="D19" s="38"/>
      <c r="E19" s="38"/>
      <c r="F19" s="38"/>
      <c r="G19" s="38"/>
      <c r="H19" s="38"/>
      <c r="I19" s="133"/>
      <c r="J19" s="121"/>
      <c r="K19" s="121"/>
      <c r="L19" s="121"/>
      <c r="M19" s="121"/>
      <c r="N19" s="121"/>
      <c r="O19" s="127"/>
    </row>
    <row r="20" spans="1:16" ht="15.75">
      <c r="A20" s="46">
        <v>5</v>
      </c>
      <c r="B20" s="38"/>
      <c r="C20" s="38" t="s">
        <v>145</v>
      </c>
      <c r="D20" s="38"/>
      <c r="E20" s="38"/>
      <c r="F20" s="48">
        <f>F16-F18</f>
        <v>7454.6231650000082</v>
      </c>
      <c r="G20" s="48"/>
      <c r="H20" s="48"/>
      <c r="I20" s="133"/>
      <c r="J20" s="119"/>
      <c r="K20" s="119"/>
      <c r="L20" s="119"/>
      <c r="M20" s="119"/>
      <c r="N20" s="119"/>
      <c r="O20" s="119"/>
    </row>
    <row r="21" spans="1:16" ht="15.75">
      <c r="A21" s="46"/>
      <c r="B21" s="38"/>
      <c r="C21" s="38"/>
      <c r="D21" s="38"/>
      <c r="E21" s="38"/>
      <c r="F21" s="38"/>
      <c r="G21" s="38"/>
      <c r="H21" s="38"/>
      <c r="I21" s="64"/>
      <c r="J21" s="204"/>
      <c r="K21" s="204"/>
      <c r="L21" s="204"/>
      <c r="M21" s="204"/>
      <c r="N21" s="204"/>
      <c r="O21" s="204"/>
    </row>
    <row r="22" spans="1:16" ht="15.75">
      <c r="A22" s="46">
        <v>6</v>
      </c>
      <c r="B22" s="38"/>
      <c r="C22" s="38" t="s">
        <v>146</v>
      </c>
      <c r="D22" s="38"/>
      <c r="E22" s="38"/>
      <c r="F22" s="456">
        <f>CF!E27</f>
        <v>0.62014000000000002</v>
      </c>
      <c r="G22" s="160"/>
      <c r="H22" s="160"/>
      <c r="I22" s="64"/>
      <c r="J22" s="135"/>
      <c r="K22" s="135"/>
      <c r="L22" s="139"/>
      <c r="M22" s="140"/>
      <c r="N22" s="134"/>
      <c r="O22" s="205"/>
      <c r="P22" s="123"/>
    </row>
    <row r="23" spans="1:16" ht="16.5" thickBot="1">
      <c r="A23" s="46"/>
      <c r="B23" s="38"/>
      <c r="C23" s="38"/>
      <c r="D23" s="38"/>
      <c r="E23" s="38"/>
      <c r="F23" s="38"/>
      <c r="G23" s="392"/>
      <c r="H23" s="392"/>
      <c r="I23" s="64"/>
      <c r="L23" s="134"/>
      <c r="M23" s="134"/>
      <c r="N23" s="134"/>
      <c r="O23" s="205"/>
      <c r="P23" s="123"/>
    </row>
    <row r="24" spans="1:16" ht="16.5" thickBot="1">
      <c r="A24" s="46">
        <v>7</v>
      </c>
      <c r="B24" s="38"/>
      <c r="C24" s="546" t="s">
        <v>524</v>
      </c>
      <c r="D24" s="38"/>
      <c r="E24" s="122"/>
      <c r="F24" s="621">
        <f>ROUND(F20/F22,0)</f>
        <v>12021</v>
      </c>
      <c r="G24" s="393"/>
      <c r="H24" s="394"/>
      <c r="I24" s="64"/>
      <c r="N24" s="134"/>
      <c r="O24" s="205"/>
      <c r="P24" s="123"/>
    </row>
    <row r="25" spans="1:16" ht="15.75">
      <c r="A25" s="38"/>
      <c r="B25" s="38"/>
      <c r="C25" s="38"/>
      <c r="D25" s="38"/>
      <c r="E25" s="122"/>
      <c r="F25" s="38"/>
      <c r="G25" s="96"/>
      <c r="H25" s="119"/>
      <c r="I25" s="64"/>
      <c r="J25" s="135"/>
      <c r="K25" s="119"/>
      <c r="N25" s="135"/>
      <c r="O25" s="205"/>
      <c r="P25" s="123"/>
    </row>
    <row r="26" spans="1:16" ht="15.75">
      <c r="A26" s="46">
        <v>8</v>
      </c>
      <c r="B26" s="38"/>
      <c r="C26" s="38" t="s">
        <v>488</v>
      </c>
      <c r="D26" s="38"/>
      <c r="E26" s="38"/>
      <c r="F26" s="349">
        <f>'PROP0SED RATES-2016'!H15+'PROP0SED RATES-2016'!H16</f>
        <v>170914</v>
      </c>
      <c r="G26" s="349"/>
      <c r="H26" s="382"/>
      <c r="I26" s="64"/>
      <c r="J26" s="49"/>
      <c r="K26" s="119"/>
      <c r="N26" s="49"/>
      <c r="O26" s="205"/>
      <c r="P26" s="123"/>
    </row>
    <row r="27" spans="1:16" ht="15.75">
      <c r="A27" s="38"/>
      <c r="B27" s="38"/>
      <c r="C27" s="38"/>
      <c r="D27" s="38"/>
      <c r="E27" s="38"/>
      <c r="F27" s="38"/>
      <c r="G27" s="96"/>
      <c r="H27" s="119"/>
      <c r="I27" s="64"/>
      <c r="J27" s="204"/>
      <c r="K27" s="119"/>
      <c r="N27" s="200"/>
      <c r="O27" s="206"/>
      <c r="P27" s="123"/>
    </row>
    <row r="28" spans="1:16" ht="16.5" thickBot="1">
      <c r="A28" s="46">
        <v>9</v>
      </c>
      <c r="B28" s="38"/>
      <c r="C28" s="38" t="s">
        <v>148</v>
      </c>
      <c r="D28" s="38"/>
      <c r="E28" s="38"/>
      <c r="F28" s="383">
        <f>ROUND(F24/F26,4)</f>
        <v>7.0300000000000001E-2</v>
      </c>
      <c r="G28" s="385"/>
      <c r="H28" s="385"/>
      <c r="J28" s="204"/>
      <c r="K28" s="119"/>
      <c r="N28" s="200"/>
      <c r="O28" s="203"/>
      <c r="P28" s="123"/>
    </row>
    <row r="29" spans="1:16" ht="16.5" thickTop="1">
      <c r="B29" s="38"/>
      <c r="C29" s="64"/>
      <c r="D29" s="64"/>
      <c r="E29" s="64"/>
      <c r="F29" s="64"/>
      <c r="G29" s="395"/>
      <c r="H29" s="395"/>
      <c r="J29" s="204"/>
      <c r="K29" s="137"/>
      <c r="L29" s="201"/>
      <c r="M29" s="201"/>
      <c r="N29" s="202"/>
      <c r="O29" s="205"/>
      <c r="P29" s="123"/>
    </row>
    <row r="30" spans="1:16" ht="15.75">
      <c r="G30" s="549"/>
      <c r="J30" s="204"/>
      <c r="K30" s="136"/>
      <c r="L30" s="200"/>
      <c r="M30" s="200"/>
      <c r="N30" s="200"/>
      <c r="O30" s="205"/>
      <c r="P30" s="123"/>
    </row>
    <row r="31" spans="1:16" ht="15.75">
      <c r="G31" s="549"/>
      <c r="J31" s="204"/>
      <c r="K31" s="137"/>
      <c r="L31" s="201"/>
      <c r="M31" s="201"/>
      <c r="N31" s="202"/>
      <c r="O31" s="205"/>
      <c r="P31" s="123"/>
    </row>
    <row r="32" spans="1:16" ht="15.75" customHeight="1">
      <c r="F32" s="121"/>
      <c r="G32" s="121"/>
      <c r="H32" s="121"/>
      <c r="J32" s="49"/>
      <c r="K32" s="49"/>
      <c r="L32" s="49"/>
      <c r="M32" s="49"/>
      <c r="N32" s="49"/>
      <c r="O32" s="205"/>
      <c r="P32" s="123"/>
    </row>
    <row r="33" spans="1:16" ht="15.75">
      <c r="J33" s="204"/>
      <c r="K33" s="138"/>
      <c r="L33" s="203"/>
      <c r="M33" s="203"/>
      <c r="N33" s="203"/>
      <c r="O33" s="205"/>
      <c r="P33" s="123"/>
    </row>
    <row r="34" spans="1:16" ht="15.75">
      <c r="J34" s="204"/>
      <c r="K34" s="204"/>
      <c r="L34" s="204"/>
      <c r="M34" s="204"/>
      <c r="N34" s="204"/>
      <c r="O34" s="205"/>
      <c r="P34" s="123"/>
    </row>
    <row r="35" spans="1:16">
      <c r="J35" s="49"/>
      <c r="K35" s="49"/>
      <c r="L35" s="49"/>
      <c r="M35" s="49"/>
      <c r="N35" s="49"/>
      <c r="O35" s="49"/>
      <c r="P35" s="123"/>
    </row>
    <row r="36" spans="1:16">
      <c r="J36"/>
      <c r="K36"/>
      <c r="L36"/>
      <c r="M36"/>
      <c r="N36"/>
      <c r="O36"/>
    </row>
    <row r="37" spans="1:16">
      <c r="J37"/>
      <c r="K37"/>
      <c r="L37"/>
      <c r="M37"/>
      <c r="N37"/>
      <c r="O37"/>
    </row>
    <row r="38" spans="1:16">
      <c r="I38"/>
      <c r="J38"/>
      <c r="K38"/>
      <c r="L38"/>
      <c r="M38"/>
      <c r="N38"/>
      <c r="O38"/>
    </row>
    <row r="39" spans="1:16">
      <c r="F39" s="121"/>
      <c r="G39" s="121"/>
      <c r="H39" s="121"/>
      <c r="I39"/>
      <c r="J39"/>
      <c r="K39"/>
      <c r="L39"/>
      <c r="M39"/>
      <c r="N39"/>
      <c r="O39"/>
    </row>
    <row r="40" spans="1:16">
      <c r="F40" s="121"/>
      <c r="G40" s="121"/>
      <c r="H40" s="121"/>
      <c r="I40"/>
      <c r="J40"/>
      <c r="K40"/>
      <c r="L40"/>
      <c r="M40"/>
      <c r="N40"/>
      <c r="O40"/>
    </row>
    <row r="41" spans="1:16">
      <c r="F41" s="121"/>
      <c r="G41" s="121"/>
      <c r="H41" s="121"/>
      <c r="I41"/>
      <c r="J41"/>
      <c r="K41"/>
      <c r="L41"/>
      <c r="M41"/>
      <c r="N41"/>
      <c r="O41"/>
    </row>
    <row r="42" spans="1:16">
      <c r="F42" s="121"/>
      <c r="G42" s="121"/>
      <c r="H42" s="121"/>
      <c r="I42"/>
      <c r="J42"/>
      <c r="K42"/>
      <c r="L42"/>
      <c r="M42"/>
      <c r="N42"/>
      <c r="O42"/>
    </row>
    <row r="43" spans="1:16">
      <c r="A43" s="36" t="s">
        <v>489</v>
      </c>
      <c r="F43" s="121"/>
      <c r="G43" s="121"/>
      <c r="H43" s="121"/>
      <c r="I43"/>
      <c r="J43"/>
      <c r="K43"/>
      <c r="L43"/>
      <c r="M43"/>
      <c r="N43"/>
      <c r="O43"/>
    </row>
    <row r="44" spans="1:16">
      <c r="F44" s="121"/>
      <c r="G44" s="121"/>
      <c r="H44" s="121"/>
      <c r="I44"/>
      <c r="J44"/>
      <c r="K44"/>
      <c r="L44"/>
      <c r="M44"/>
      <c r="N44"/>
      <c r="O44"/>
    </row>
    <row r="45" spans="1:16">
      <c r="F45" s="121"/>
      <c r="G45" s="121"/>
      <c r="H45" s="121"/>
      <c r="I45"/>
      <c r="J45"/>
      <c r="K45"/>
      <c r="L45"/>
      <c r="M45"/>
      <c r="N45"/>
      <c r="O45"/>
    </row>
    <row r="46" spans="1:16">
      <c r="F46" s="121"/>
      <c r="G46" s="121"/>
      <c r="H46" s="121"/>
      <c r="I46"/>
      <c r="J46"/>
      <c r="K46"/>
      <c r="L46"/>
      <c r="M46"/>
      <c r="N46"/>
      <c r="O46"/>
    </row>
    <row r="47" spans="1:16">
      <c r="F47" s="121"/>
      <c r="G47" s="121"/>
      <c r="H47" s="121"/>
      <c r="I47"/>
      <c r="J47"/>
      <c r="K47"/>
      <c r="L47"/>
      <c r="M47"/>
      <c r="N47"/>
      <c r="O47"/>
    </row>
    <row r="48" spans="1:16">
      <c r="F48" s="121"/>
      <c r="G48" s="121"/>
      <c r="H48" s="121"/>
      <c r="I48"/>
      <c r="J48"/>
      <c r="K48"/>
      <c r="L48"/>
      <c r="M48"/>
      <c r="N48"/>
      <c r="O48"/>
    </row>
    <row r="49" spans="6:16">
      <c r="F49" s="121"/>
      <c r="G49" s="121"/>
      <c r="H49" s="121"/>
      <c r="I49"/>
      <c r="J49"/>
      <c r="K49"/>
      <c r="L49"/>
      <c r="M49"/>
      <c r="N49"/>
      <c r="O49"/>
    </row>
    <row r="50" spans="6:16">
      <c r="F50" s="121"/>
      <c r="G50" s="121"/>
      <c r="H50" s="121"/>
      <c r="I50"/>
      <c r="J50"/>
      <c r="K50"/>
      <c r="L50"/>
      <c r="M50"/>
      <c r="N50"/>
      <c r="O50"/>
    </row>
    <row r="51" spans="6:16">
      <c r="F51" s="121"/>
      <c r="G51" s="121"/>
      <c r="H51" s="121"/>
      <c r="I51"/>
      <c r="J51"/>
      <c r="K51"/>
      <c r="L51"/>
      <c r="M51"/>
      <c r="N51"/>
      <c r="O51"/>
    </row>
    <row r="52" spans="6:16">
      <c r="F52" s="121"/>
      <c r="G52" s="121"/>
      <c r="H52" s="121"/>
      <c r="I52"/>
      <c r="J52"/>
      <c r="K52"/>
      <c r="L52"/>
      <c r="M52"/>
      <c r="N52"/>
      <c r="O52"/>
    </row>
    <row r="53" spans="6:16">
      <c r="F53" s="121"/>
      <c r="G53" s="121"/>
      <c r="H53" s="121"/>
      <c r="I53"/>
      <c r="J53" s="121"/>
      <c r="K53" s="121"/>
      <c r="L53" s="121"/>
      <c r="M53" s="121"/>
      <c r="N53" s="121"/>
      <c r="O53" s="121"/>
    </row>
    <row r="54" spans="6:16">
      <c r="F54" s="121"/>
      <c r="G54" s="121"/>
      <c r="H54" s="121"/>
      <c r="I54"/>
      <c r="J54" s="121"/>
      <c r="K54" s="121"/>
      <c r="L54" s="121"/>
      <c r="M54" s="121"/>
      <c r="N54" s="121"/>
      <c r="O54" s="121"/>
    </row>
    <row r="55" spans="6:16">
      <c r="F55" s="121"/>
      <c r="G55" s="121"/>
      <c r="H55" s="121"/>
      <c r="I55" s="121"/>
      <c r="J55" s="121"/>
      <c r="K55" s="121"/>
      <c r="L55" s="121"/>
      <c r="M55" s="121"/>
      <c r="N55" s="121"/>
      <c r="O55" s="121"/>
      <c r="P55" s="118"/>
    </row>
    <row r="56" spans="6:16">
      <c r="F56" s="121"/>
      <c r="G56" s="121"/>
      <c r="H56" s="121"/>
      <c r="I56" s="121"/>
      <c r="J56" s="121"/>
      <c r="K56" s="121"/>
      <c r="L56" s="121"/>
      <c r="M56" s="121"/>
      <c r="N56" s="121"/>
      <c r="O56" s="121"/>
      <c r="P56" s="118"/>
    </row>
    <row r="57" spans="6:16">
      <c r="F57" s="121"/>
      <c r="G57" s="121"/>
      <c r="H57" s="121"/>
      <c r="I57" s="121"/>
      <c r="P57" s="118"/>
    </row>
    <row r="58" spans="6:16">
      <c r="F58" s="121"/>
      <c r="G58" s="121"/>
      <c r="H58" s="121"/>
      <c r="I58" s="121"/>
      <c r="P58" s="118"/>
    </row>
    <row r="84" spans="27:27">
      <c r="AA84">
        <f>AA90</f>
        <v>0</v>
      </c>
    </row>
  </sheetData>
  <mergeCells count="9">
    <mergeCell ref="J2:O2"/>
    <mergeCell ref="C9:D10"/>
    <mergeCell ref="J5:O5"/>
    <mergeCell ref="I4:O4"/>
    <mergeCell ref="A4:H4"/>
    <mergeCell ref="A6:H6"/>
    <mergeCell ref="A3:H3"/>
    <mergeCell ref="A5:H5"/>
    <mergeCell ref="F9:F10"/>
  </mergeCells>
  <phoneticPr fontId="0" type="noConversion"/>
  <pageMargins left="0.75" right="0.5" top="0.72" bottom="0.84" header="0.5" footer="0.5"/>
  <pageSetup orientation="portrait" r:id="rId1"/>
  <headerFooter scaleWithDoc="0" alignWithMargins="0">
    <oddHeader xml:space="preserve">&amp;RExhibit No. ___(JSS-3)
</oddHeader>
    <oddFooter>&amp;RPage &amp;P of &amp;N</oddFooter>
  </headerFooter>
</worksheet>
</file>

<file path=xl/worksheets/sheet3.xml><?xml version="1.0" encoding="utf-8"?>
<worksheet xmlns="http://schemas.openxmlformats.org/spreadsheetml/2006/main" xmlns:r="http://schemas.openxmlformats.org/officeDocument/2006/relationships">
  <sheetPr codeName="Sheet44"/>
  <dimension ref="A1:AQ82"/>
  <sheetViews>
    <sheetView tabSelected="1" view="pageBreakPreview" zoomScale="130" zoomScaleNormal="100" zoomScaleSheetLayoutView="130" workbookViewId="0">
      <selection activeCell="E47" sqref="E47"/>
    </sheetView>
  </sheetViews>
  <sheetFormatPr defaultColWidth="9.140625" defaultRowHeight="12.75"/>
  <cols>
    <col min="1" max="1" width="9.140625" style="36"/>
    <col min="2" max="2" width="6.5703125" style="36" customWidth="1"/>
    <col min="3" max="3" width="42" style="36" customWidth="1"/>
    <col min="4" max="4" width="9.140625" style="36"/>
    <col min="5" max="5" width="20.140625" style="115" customWidth="1"/>
    <col min="6" max="9" width="9.140625" style="36"/>
    <col min="10" max="10" width="19.85546875" style="36" bestFit="1" customWidth="1"/>
    <col min="11" max="30" width="9.140625" style="36"/>
    <col min="31" max="31" width="14.7109375" style="36" customWidth="1"/>
    <col min="32" max="32" width="13" style="36" customWidth="1"/>
    <col min="33" max="16384" width="9.140625" style="36"/>
  </cols>
  <sheetData>
    <row r="1" spans="1:43" s="102" customFormat="1">
      <c r="A1" s="36"/>
      <c r="B1" s="36"/>
      <c r="C1" s="99" t="s">
        <v>113</v>
      </c>
      <c r="D1" s="100"/>
      <c r="E1" s="101"/>
      <c r="G1" s="355"/>
      <c r="H1" s="356"/>
      <c r="I1" s="356"/>
      <c r="J1" s="36"/>
      <c r="Q1" s="657" t="s">
        <v>113</v>
      </c>
      <c r="R1" s="657"/>
      <c r="S1" s="657"/>
      <c r="T1" s="657"/>
      <c r="U1" s="657"/>
      <c r="V1" s="657"/>
      <c r="W1" s="657"/>
    </row>
    <row r="2" spans="1:43" s="102" customFormat="1">
      <c r="B2" s="36"/>
      <c r="C2" s="304" t="s">
        <v>167</v>
      </c>
      <c r="D2" s="100"/>
      <c r="E2" s="103"/>
      <c r="J2" s="36"/>
      <c r="Q2" s="657" t="s">
        <v>178</v>
      </c>
      <c r="R2" s="657"/>
      <c r="S2" s="657"/>
      <c r="T2" s="657"/>
      <c r="U2" s="657"/>
      <c r="V2" s="657"/>
      <c r="W2" s="657"/>
    </row>
    <row r="3" spans="1:43" s="102" customFormat="1">
      <c r="B3" s="36"/>
      <c r="C3" s="130" t="s">
        <v>493</v>
      </c>
      <c r="D3" s="100"/>
      <c r="E3" s="103"/>
      <c r="J3" s="36"/>
      <c r="Q3" s="354"/>
      <c r="R3" s="354"/>
      <c r="S3" s="354"/>
      <c r="T3" s="354"/>
      <c r="U3" s="354"/>
      <c r="V3" s="354"/>
      <c r="W3" s="354"/>
    </row>
    <row r="4" spans="1:43">
      <c r="B4" s="129"/>
      <c r="C4" s="304" t="str">
        <f>'PROP0SED RATES-2016'!A5</f>
        <v>TWELVE MONTHS ENDED SEPTEMBER 30, 2014</v>
      </c>
      <c r="D4" s="129"/>
      <c r="E4" s="129"/>
      <c r="F4" s="129"/>
      <c r="G4" s="129"/>
      <c r="H4" s="129"/>
      <c r="I4" s="129"/>
      <c r="J4" s="129"/>
      <c r="K4" s="129"/>
      <c r="L4" s="129"/>
      <c r="M4" s="129"/>
      <c r="N4" s="99"/>
      <c r="O4" s="99"/>
      <c r="P4" s="99"/>
    </row>
    <row r="5" spans="1:43" ht="13.5" thickBot="1">
      <c r="C5" s="42"/>
      <c r="D5" s="104"/>
      <c r="AD5" s="121"/>
      <c r="AE5" s="121"/>
      <c r="AF5" s="121"/>
      <c r="AG5" s="121"/>
      <c r="AH5" s="121"/>
      <c r="AI5" s="121"/>
      <c r="AJ5" s="121"/>
      <c r="AK5" s="121"/>
      <c r="AL5" s="121"/>
      <c r="AM5" s="121"/>
      <c r="AN5" s="121"/>
      <c r="AO5" s="121"/>
      <c r="AP5" s="121"/>
      <c r="AQ5" s="121"/>
    </row>
    <row r="6" spans="1:43">
      <c r="A6" s="42"/>
      <c r="C6" s="105"/>
      <c r="D6" s="104"/>
      <c r="E6" s="100"/>
      <c r="P6" s="121"/>
      <c r="Y6" s="121"/>
      <c r="Z6" s="121"/>
      <c r="AD6" s="121"/>
      <c r="AE6" s="362"/>
      <c r="AF6" s="363"/>
      <c r="AG6" s="121"/>
      <c r="AH6" s="121"/>
      <c r="AI6" s="121"/>
      <c r="AJ6" s="121"/>
      <c r="AK6" s="121"/>
      <c r="AL6" s="121"/>
      <c r="AM6" s="121"/>
      <c r="AN6" s="121"/>
      <c r="AO6" s="121"/>
      <c r="AP6" s="121"/>
      <c r="AQ6" s="121"/>
    </row>
    <row r="7" spans="1:43">
      <c r="A7" s="42"/>
      <c r="C7" s="105"/>
      <c r="D7" s="104"/>
      <c r="E7" s="100"/>
      <c r="AE7" s="364"/>
      <c r="AF7" s="365"/>
    </row>
    <row r="8" spans="1:43">
      <c r="A8" s="42"/>
      <c r="C8" s="104"/>
      <c r="D8" s="104"/>
      <c r="E8" s="158"/>
      <c r="F8" s="159"/>
      <c r="G8" s="159"/>
      <c r="AE8" s="364"/>
      <c r="AF8" s="365"/>
    </row>
    <row r="9" spans="1:43">
      <c r="A9" s="42" t="s">
        <v>136</v>
      </c>
      <c r="C9" s="42"/>
      <c r="D9" s="104"/>
      <c r="E9" s="42"/>
      <c r="J9" s="117" t="s">
        <v>169</v>
      </c>
      <c r="M9" s="49"/>
      <c r="N9" s="49"/>
      <c r="O9" s="49"/>
      <c r="P9" s="49"/>
      <c r="AE9" s="364"/>
      <c r="AF9" s="365"/>
    </row>
    <row r="10" spans="1:43">
      <c r="A10" s="44" t="s">
        <v>17</v>
      </c>
      <c r="C10" s="44" t="s">
        <v>73</v>
      </c>
      <c r="D10" s="104"/>
      <c r="E10" s="44" t="s">
        <v>158</v>
      </c>
      <c r="M10" s="49"/>
      <c r="N10" s="49"/>
      <c r="O10" s="49"/>
      <c r="P10" s="49"/>
      <c r="AE10" s="364"/>
      <c r="AF10" s="365"/>
    </row>
    <row r="11" spans="1:43">
      <c r="A11" s="42"/>
      <c r="C11" s="104"/>
      <c r="D11" s="104"/>
      <c r="E11" s="104"/>
      <c r="M11" s="49"/>
      <c r="N11" s="49"/>
      <c r="O11" s="49"/>
      <c r="P11" s="49"/>
      <c r="AE11" s="364"/>
      <c r="AF11" s="365"/>
    </row>
    <row r="12" spans="1:43">
      <c r="A12" s="37">
        <v>1</v>
      </c>
      <c r="C12" s="106" t="s">
        <v>159</v>
      </c>
      <c r="D12" s="104"/>
      <c r="E12" s="104">
        <v>1</v>
      </c>
      <c r="J12" s="107">
        <f>'RR SUMMARY'!F24</f>
        <v>12021</v>
      </c>
      <c r="M12" s="49"/>
      <c r="N12" s="360"/>
      <c r="O12" s="49"/>
      <c r="P12" s="49"/>
      <c r="AE12" s="364"/>
      <c r="AF12" s="365"/>
    </row>
    <row r="13" spans="1:43">
      <c r="A13" s="37"/>
      <c r="C13" s="106"/>
      <c r="D13" s="104"/>
      <c r="E13" s="104"/>
      <c r="M13" s="49"/>
      <c r="N13" s="49"/>
      <c r="O13" s="49"/>
      <c r="P13" s="49"/>
      <c r="AE13" s="364"/>
      <c r="AF13" s="365"/>
    </row>
    <row r="14" spans="1:43">
      <c r="A14" s="37"/>
      <c r="C14" s="106" t="s">
        <v>160</v>
      </c>
      <c r="D14" s="104"/>
      <c r="E14" s="104"/>
      <c r="M14" s="49"/>
      <c r="N14" s="49"/>
      <c r="O14" s="49"/>
      <c r="P14" s="49"/>
      <c r="AE14" s="364"/>
      <c r="AF14" s="365"/>
    </row>
    <row r="15" spans="1:43">
      <c r="A15" s="37">
        <v>2</v>
      </c>
      <c r="B15" s="40"/>
      <c r="C15" s="104" t="s">
        <v>161</v>
      </c>
      <c r="D15" s="104"/>
      <c r="E15" s="583">
        <v>5.6308493922570908E-3</v>
      </c>
      <c r="J15" s="108">
        <f>ROUND($J$12*E15,0)</f>
        <v>68</v>
      </c>
      <c r="M15" s="49"/>
      <c r="N15" s="111"/>
      <c r="O15" s="49"/>
      <c r="P15" s="49"/>
      <c r="AE15" s="364"/>
      <c r="AF15" s="365"/>
    </row>
    <row r="16" spans="1:43">
      <c r="A16" s="37"/>
      <c r="C16" s="104"/>
      <c r="D16" s="104"/>
      <c r="E16" s="583"/>
      <c r="M16" s="49"/>
      <c r="N16" s="49"/>
      <c r="O16" s="49"/>
      <c r="P16" s="49"/>
      <c r="AE16" s="364"/>
      <c r="AF16" s="365"/>
    </row>
    <row r="17" spans="1:32">
      <c r="A17" s="37">
        <v>3</v>
      </c>
      <c r="C17" s="104" t="s">
        <v>162</v>
      </c>
      <c r="D17" s="104"/>
      <c r="E17" s="584">
        <v>2E-3</v>
      </c>
      <c r="J17" s="108">
        <f>ROUND($J$12*E17,0)</f>
        <v>24</v>
      </c>
      <c r="M17" s="49"/>
      <c r="N17" s="111"/>
      <c r="O17" s="49"/>
      <c r="P17" s="49"/>
      <c r="AE17" s="364"/>
      <c r="AF17" s="365"/>
    </row>
    <row r="18" spans="1:32">
      <c r="A18" s="37"/>
      <c r="C18" s="104"/>
      <c r="D18" s="104"/>
      <c r="E18" s="583"/>
      <c r="M18" s="49"/>
      <c r="N18" s="49"/>
      <c r="O18" s="49"/>
      <c r="P18" s="49"/>
      <c r="AE18" s="364"/>
      <c r="AF18" s="365"/>
    </row>
    <row r="19" spans="1:32">
      <c r="A19" s="37">
        <v>4</v>
      </c>
      <c r="C19" s="104" t="s">
        <v>163</v>
      </c>
      <c r="D19" s="104"/>
      <c r="E19" s="583">
        <v>3.8303099681410255E-2</v>
      </c>
      <c r="J19" s="108">
        <f>ROUND($J$12*E19,0)</f>
        <v>460</v>
      </c>
      <c r="M19" s="49"/>
      <c r="N19" s="111"/>
      <c r="O19" s="49"/>
      <c r="P19" s="49"/>
      <c r="AE19" s="364"/>
      <c r="AF19" s="365"/>
    </row>
    <row r="20" spans="1:32">
      <c r="A20" s="37"/>
      <c r="C20" s="104"/>
      <c r="D20" s="104"/>
      <c r="E20" s="116"/>
      <c r="M20" s="49"/>
      <c r="N20" s="49"/>
      <c r="O20" s="49"/>
      <c r="P20" s="49"/>
      <c r="AE20" s="364"/>
      <c r="AF20" s="365"/>
    </row>
    <row r="21" spans="1:32">
      <c r="A21" s="37">
        <v>6</v>
      </c>
      <c r="C21" s="104" t="s">
        <v>164</v>
      </c>
      <c r="D21" s="104"/>
      <c r="E21" s="377">
        <f>SUM(E15:E19)</f>
        <v>4.5933949073667345E-2</v>
      </c>
      <c r="J21" s="110">
        <f>SUM(J15:J20)</f>
        <v>552</v>
      </c>
      <c r="M21" s="49"/>
      <c r="N21" s="111"/>
      <c r="O21" s="49"/>
      <c r="P21" s="49"/>
      <c r="AE21" s="364"/>
      <c r="AF21" s="365"/>
    </row>
    <row r="22" spans="1:32">
      <c r="A22" s="37"/>
      <c r="C22" s="104"/>
      <c r="D22" s="104"/>
      <c r="E22" s="376"/>
      <c r="J22" s="111"/>
      <c r="M22" s="49"/>
      <c r="N22" s="111"/>
      <c r="O22" s="49"/>
      <c r="P22" s="49"/>
      <c r="AE22" s="364"/>
      <c r="AF22" s="365"/>
    </row>
    <row r="23" spans="1:32">
      <c r="A23" s="37">
        <v>7</v>
      </c>
      <c r="C23" s="104" t="s">
        <v>165</v>
      </c>
      <c r="D23" s="104"/>
      <c r="E23" s="376">
        <f>E12-E21</f>
        <v>0.95406605092633268</v>
      </c>
      <c r="J23" s="111">
        <f>J12-J21</f>
        <v>11469</v>
      </c>
      <c r="M23" s="49"/>
      <c r="N23" s="111"/>
      <c r="O23" s="49"/>
      <c r="P23" s="49"/>
      <c r="AE23" s="364"/>
      <c r="AF23" s="365"/>
    </row>
    <row r="24" spans="1:32">
      <c r="A24" s="37"/>
      <c r="C24" s="104"/>
      <c r="D24" s="104"/>
      <c r="E24" s="376"/>
      <c r="M24" s="49"/>
      <c r="N24" s="49"/>
      <c r="O24" s="49"/>
      <c r="P24" s="49"/>
      <c r="AE24" s="364"/>
      <c r="AF24" s="365"/>
    </row>
    <row r="25" spans="1:32">
      <c r="A25" s="37">
        <v>8</v>
      </c>
      <c r="C25" s="104" t="s">
        <v>166</v>
      </c>
      <c r="D25" s="112"/>
      <c r="E25" s="376">
        <f>E23*0.35</f>
        <v>0.33392311782421641</v>
      </c>
      <c r="J25" s="113">
        <f>ROUND(J23*0.35,0)</f>
        <v>4014</v>
      </c>
      <c r="M25" s="49"/>
      <c r="N25" s="111"/>
      <c r="O25" s="49"/>
      <c r="P25" s="49"/>
      <c r="AE25" s="364"/>
      <c r="AF25" s="365"/>
    </row>
    <row r="26" spans="1:32">
      <c r="C26" s="104"/>
      <c r="D26" s="104"/>
      <c r="E26" s="376"/>
      <c r="M26" s="49"/>
      <c r="N26" s="49"/>
      <c r="O26" s="49"/>
      <c r="P26" s="49"/>
      <c r="AE26" s="364"/>
      <c r="AF26" s="365"/>
    </row>
    <row r="27" spans="1:32" ht="13.5" thickBot="1">
      <c r="A27" s="37">
        <v>9</v>
      </c>
      <c r="C27" s="104" t="s">
        <v>167</v>
      </c>
      <c r="D27" s="104"/>
      <c r="E27" s="376">
        <f>ROUND(E23-E25,5)</f>
        <v>0.62014000000000002</v>
      </c>
      <c r="J27" s="114">
        <f>J23-J25</f>
        <v>7455</v>
      </c>
      <c r="M27" s="49"/>
      <c r="N27" s="361"/>
      <c r="O27" s="49"/>
      <c r="P27" s="49"/>
      <c r="AE27" s="364"/>
      <c r="AF27" s="365"/>
    </row>
    <row r="28" spans="1:32" ht="13.5" thickTop="1">
      <c r="C28" s="104"/>
      <c r="D28" s="104"/>
      <c r="M28" s="49"/>
      <c r="N28" s="49"/>
      <c r="O28" s="49"/>
      <c r="P28" s="49"/>
      <c r="AE28" s="364"/>
      <c r="AF28" s="365"/>
    </row>
    <row r="29" spans="1:32">
      <c r="C29" s="104"/>
      <c r="D29" s="104"/>
      <c r="J29" s="108">
        <f>J27/E27</f>
        <v>12021.479020866256</v>
      </c>
      <c r="K29" s="36" t="s">
        <v>458</v>
      </c>
      <c r="M29" s="49"/>
      <c r="N29" s="49"/>
      <c r="O29" s="49"/>
      <c r="P29" s="49"/>
      <c r="AE29" s="364"/>
      <c r="AF29" s="365"/>
    </row>
    <row r="30" spans="1:32">
      <c r="C30" s="104"/>
      <c r="D30" s="104"/>
      <c r="F30" s="121"/>
      <c r="J30" s="56">
        <f>J29-'RR SUMMARY'!F24</f>
        <v>0.47902086625617812</v>
      </c>
      <c r="K30" s="36" t="s">
        <v>84</v>
      </c>
      <c r="M30" s="49"/>
      <c r="N30" s="49"/>
      <c r="O30" s="49"/>
      <c r="P30" s="49"/>
      <c r="AE30" s="364"/>
      <c r="AF30" s="365"/>
    </row>
    <row r="31" spans="1:32">
      <c r="C31" s="104"/>
      <c r="D31" s="104"/>
      <c r="M31" s="49"/>
      <c r="N31" s="49"/>
      <c r="O31" s="49"/>
      <c r="P31" s="49"/>
      <c r="AE31" s="364"/>
      <c r="AF31" s="365"/>
    </row>
    <row r="32" spans="1:32">
      <c r="C32" s="104"/>
      <c r="D32" s="104"/>
      <c r="M32" s="49"/>
      <c r="N32" s="49"/>
      <c r="O32" s="49"/>
      <c r="P32" s="49"/>
      <c r="AE32" s="364"/>
      <c r="AF32" s="365"/>
    </row>
    <row r="33" spans="3:32">
      <c r="C33" s="104"/>
      <c r="D33" s="104"/>
      <c r="M33" s="49"/>
      <c r="N33" s="49"/>
      <c r="O33" s="49"/>
      <c r="P33" s="49"/>
      <c r="AE33" s="364"/>
      <c r="AF33" s="365"/>
    </row>
    <row r="34" spans="3:32">
      <c r="C34" s="104"/>
      <c r="D34" s="104"/>
      <c r="M34" s="49"/>
      <c r="N34" s="49"/>
      <c r="O34" s="49"/>
      <c r="P34" s="49"/>
      <c r="AE34" s="364"/>
      <c r="AF34" s="365"/>
    </row>
    <row r="35" spans="3:32">
      <c r="C35" s="104"/>
      <c r="D35" s="104"/>
      <c r="AE35" s="364"/>
      <c r="AF35" s="365"/>
    </row>
    <row r="36" spans="3:32">
      <c r="C36" s="104"/>
      <c r="D36" s="104"/>
      <c r="AE36" s="364"/>
      <c r="AF36" s="365"/>
    </row>
    <row r="37" spans="3:32">
      <c r="C37" s="104"/>
      <c r="D37" s="104"/>
      <c r="AE37" s="364"/>
      <c r="AF37" s="365"/>
    </row>
    <row r="38" spans="3:32">
      <c r="C38" s="109"/>
      <c r="D38" s="104"/>
      <c r="AE38" s="364"/>
      <c r="AF38" s="365"/>
    </row>
    <row r="39" spans="3:32">
      <c r="C39" s="104"/>
      <c r="D39" s="104"/>
      <c r="AE39" s="364"/>
      <c r="AF39" s="365"/>
    </row>
    <row r="40" spans="3:32">
      <c r="C40" s="104"/>
      <c r="D40" s="104"/>
      <c r="AE40" s="364"/>
      <c r="AF40" s="365"/>
    </row>
    <row r="41" spans="3:32">
      <c r="C41" s="104"/>
      <c r="D41" s="104"/>
      <c r="AE41" s="364"/>
      <c r="AF41" s="365"/>
    </row>
    <row r="42" spans="3:32">
      <c r="C42" s="104"/>
      <c r="D42" s="104"/>
      <c r="AE42" s="364"/>
      <c r="AF42" s="365"/>
    </row>
    <row r="43" spans="3:32">
      <c r="C43" s="104"/>
      <c r="D43" s="104"/>
      <c r="AE43" s="364"/>
      <c r="AF43" s="365"/>
    </row>
    <row r="44" spans="3:32">
      <c r="C44" s="104"/>
      <c r="AE44" s="364"/>
      <c r="AF44" s="365"/>
    </row>
    <row r="45" spans="3:32">
      <c r="C45" s="104"/>
      <c r="AE45" s="364"/>
      <c r="AF45" s="365"/>
    </row>
    <row r="46" spans="3:32">
      <c r="C46" s="104"/>
      <c r="D46" s="104"/>
      <c r="AE46" s="364"/>
      <c r="AF46" s="365"/>
    </row>
    <row r="47" spans="3:32">
      <c r="C47" s="104"/>
      <c r="D47" s="104"/>
      <c r="AE47" s="364"/>
      <c r="AF47" s="365"/>
    </row>
    <row r="48" spans="3:32">
      <c r="C48" s="104"/>
      <c r="D48" s="104"/>
      <c r="AE48" s="364"/>
      <c r="AF48" s="365"/>
    </row>
    <row r="49" spans="3:32">
      <c r="C49" s="104"/>
      <c r="D49" s="104"/>
      <c r="AE49" s="364"/>
      <c r="AF49" s="365"/>
    </row>
    <row r="50" spans="3:32">
      <c r="C50" s="104"/>
      <c r="D50" s="104"/>
      <c r="AE50" s="364"/>
      <c r="AF50" s="365"/>
    </row>
    <row r="51" spans="3:32">
      <c r="C51" s="104"/>
      <c r="D51" s="104"/>
      <c r="AE51" s="364"/>
      <c r="AF51" s="365"/>
    </row>
    <row r="52" spans="3:32">
      <c r="C52" s="104"/>
      <c r="D52" s="104"/>
      <c r="AE52" s="364"/>
      <c r="AF52" s="365"/>
    </row>
    <row r="53" spans="3:32">
      <c r="D53" s="104"/>
      <c r="AE53" s="364"/>
      <c r="AF53" s="365"/>
    </row>
    <row r="54" spans="3:32">
      <c r="C54" s="104"/>
      <c r="D54" s="104"/>
      <c r="AE54" s="364"/>
      <c r="AF54" s="365"/>
    </row>
    <row r="55" spans="3:32">
      <c r="C55" s="104"/>
      <c r="D55" s="104"/>
      <c r="AE55" s="364"/>
      <c r="AF55" s="365"/>
    </row>
    <row r="56" spans="3:32">
      <c r="AE56" s="364"/>
      <c r="AF56" s="365"/>
    </row>
    <row r="57" spans="3:32">
      <c r="AE57" s="364"/>
      <c r="AF57" s="365"/>
    </row>
    <row r="58" spans="3:32">
      <c r="AE58" s="364"/>
      <c r="AF58" s="365"/>
    </row>
    <row r="59" spans="3:32">
      <c r="AE59" s="364"/>
      <c r="AF59" s="365"/>
    </row>
    <row r="60" spans="3:32">
      <c r="AE60" s="364"/>
      <c r="AF60" s="365"/>
    </row>
    <row r="61" spans="3:32">
      <c r="AE61" s="364"/>
      <c r="AF61" s="365"/>
    </row>
    <row r="62" spans="3:32">
      <c r="AE62" s="364"/>
      <c r="AF62" s="365"/>
    </row>
    <row r="63" spans="3:32">
      <c r="AE63" s="364"/>
      <c r="AF63" s="365"/>
    </row>
    <row r="64" spans="3:32">
      <c r="AE64" s="364"/>
      <c r="AF64" s="365"/>
    </row>
    <row r="65" spans="31:32">
      <c r="AE65" s="364"/>
      <c r="AF65" s="365"/>
    </row>
    <row r="66" spans="31:32">
      <c r="AE66" s="364"/>
      <c r="AF66" s="365"/>
    </row>
    <row r="67" spans="31:32">
      <c r="AE67" s="364"/>
      <c r="AF67" s="365"/>
    </row>
    <row r="68" spans="31:32">
      <c r="AE68" s="364"/>
      <c r="AF68" s="365"/>
    </row>
    <row r="69" spans="31:32">
      <c r="AE69" s="364"/>
      <c r="AF69" s="365"/>
    </row>
    <row r="70" spans="31:32">
      <c r="AE70" s="364"/>
      <c r="AF70" s="365"/>
    </row>
    <row r="71" spans="31:32">
      <c r="AE71" s="364"/>
      <c r="AF71" s="365"/>
    </row>
    <row r="72" spans="31:32">
      <c r="AE72" s="364"/>
      <c r="AF72" s="365"/>
    </row>
    <row r="73" spans="31:32">
      <c r="AE73" s="364"/>
      <c r="AF73" s="365"/>
    </row>
    <row r="74" spans="31:32">
      <c r="AE74" s="364"/>
      <c r="AF74" s="365"/>
    </row>
    <row r="75" spans="31:32">
      <c r="AE75" s="364"/>
      <c r="AF75" s="365"/>
    </row>
    <row r="76" spans="31:32">
      <c r="AE76" s="364"/>
      <c r="AF76" s="365"/>
    </row>
    <row r="77" spans="31:32">
      <c r="AE77" s="364"/>
      <c r="AF77" s="365"/>
    </row>
    <row r="78" spans="31:32">
      <c r="AE78" s="364"/>
      <c r="AF78" s="365"/>
    </row>
    <row r="79" spans="31:32">
      <c r="AE79" s="364"/>
      <c r="AF79" s="365"/>
    </row>
    <row r="80" spans="31:32">
      <c r="AE80" s="364"/>
      <c r="AF80" s="365"/>
    </row>
    <row r="81" spans="31:36">
      <c r="AE81" s="370" t="s">
        <v>459</v>
      </c>
      <c r="AF81" s="371">
        <f>AF82+AE82</f>
        <v>0</v>
      </c>
    </row>
    <row r="82" spans="31:36" ht="13.5" thickBot="1">
      <c r="AE82" s="366"/>
      <c r="AF82" s="367"/>
      <c r="AJ82" s="36">
        <f>AJ88</f>
        <v>0</v>
      </c>
    </row>
  </sheetData>
  <mergeCells count="2">
    <mergeCell ref="Q1:W1"/>
    <mergeCell ref="Q2:W2"/>
  </mergeCells>
  <phoneticPr fontId="0" type="noConversion"/>
  <pageMargins left="0.75" right="0.5" top="0.72" bottom="0.84" header="0.5" footer="0.5"/>
  <pageSetup scale="105" orientation="portrait" r:id="rId1"/>
  <headerFooter alignWithMargins="0">
    <oddHeader xml:space="preserve">&amp;RExhibit No. ___(JSS-3)
</oddHeader>
    <oddFooter>&amp;RPage &amp;P of &amp;N</oddFooter>
  </headerFooter>
</worksheet>
</file>

<file path=xl/worksheets/sheet4.xml><?xml version="1.0" encoding="utf-8"?>
<worksheet xmlns="http://schemas.openxmlformats.org/spreadsheetml/2006/main" xmlns:r="http://schemas.openxmlformats.org/officeDocument/2006/relationships">
  <sheetPr codeName="Sheet1"/>
  <dimension ref="A1:AT174"/>
  <sheetViews>
    <sheetView tabSelected="1" view="pageBreakPreview" zoomScale="130" zoomScaleNormal="100" zoomScaleSheetLayoutView="130" workbookViewId="0">
      <pane xSplit="5" ySplit="12" topLeftCell="AH13" activePane="bottomRight" state="frozen"/>
      <selection activeCell="E47" sqref="E47"/>
      <selection pane="topRight" activeCell="E47" sqref="E47"/>
      <selection pane="bottomLeft" activeCell="E47" sqref="E47"/>
      <selection pane="bottomRight" activeCell="E47" sqref="E47"/>
    </sheetView>
  </sheetViews>
  <sheetFormatPr defaultColWidth="10.7109375" defaultRowHeight="12"/>
  <cols>
    <col min="1" max="1" width="5.7109375" style="155" customWidth="1"/>
    <col min="2" max="3" width="1.7109375" style="1" customWidth="1"/>
    <col min="4" max="4" width="34.140625" style="1" customWidth="1"/>
    <col min="5" max="5" width="15.5703125" style="61" customWidth="1"/>
    <col min="6" max="17" width="12.85546875" style="61" customWidth="1"/>
    <col min="18" max="18" width="16.42578125" style="61" customWidth="1"/>
    <col min="19" max="22" width="14.7109375" style="61" customWidth="1"/>
    <col min="23" max="23" width="14.7109375" style="396" hidden="1" customWidth="1"/>
    <col min="24" max="24" width="17.140625" style="396" customWidth="1"/>
    <col min="25" max="25" width="12.42578125" style="61" customWidth="1"/>
    <col min="26" max="26" width="12.140625" style="61" customWidth="1"/>
    <col min="27" max="27" width="13.5703125" style="61" customWidth="1"/>
    <col min="28" max="29" width="10.5703125" style="61" customWidth="1"/>
    <col min="30" max="31" width="13.5703125" style="61" customWidth="1"/>
    <col min="32" max="32" width="13.140625" style="397" customWidth="1"/>
    <col min="33" max="33" width="14.140625" style="396" customWidth="1"/>
    <col min="34" max="34" width="13.28515625" style="397" customWidth="1"/>
    <col min="35" max="35" width="13" style="397" customWidth="1"/>
    <col min="36" max="36" width="16.85546875" style="397" customWidth="1"/>
    <col min="37" max="37" width="13.5703125" style="61" customWidth="1"/>
    <col min="38" max="38" width="16.85546875" style="512" customWidth="1"/>
    <col min="39" max="39" width="16" style="396" customWidth="1"/>
    <col min="40" max="40" width="18.7109375" style="512" customWidth="1"/>
    <col min="41" max="41" width="19" style="396" hidden="1" customWidth="1"/>
    <col min="42" max="42" width="19" style="396" customWidth="1"/>
    <col min="43" max="43" width="27.85546875" style="453" customWidth="1"/>
    <col min="44" max="44" width="20" style="526" customWidth="1"/>
    <col min="45" max="46" width="13" style="526" customWidth="1"/>
    <col min="47" max="16384" width="10.7109375" style="1"/>
  </cols>
  <sheetData>
    <row r="1" spans="1:46">
      <c r="F1" s="218" t="s">
        <v>222</v>
      </c>
      <c r="G1" s="218" t="s">
        <v>223</v>
      </c>
      <c r="H1" s="218"/>
      <c r="I1" s="218"/>
      <c r="J1" s="218"/>
      <c r="K1" s="218"/>
      <c r="L1" s="218"/>
      <c r="M1" s="218"/>
      <c r="N1" s="218"/>
      <c r="O1" s="218"/>
      <c r="P1" s="218"/>
      <c r="Q1" s="218"/>
    </row>
    <row r="2" spans="1:46" ht="12.75" customHeight="1">
      <c r="A2" s="398" t="str">
        <f>'ROO INPUT'!A3:C3</f>
        <v>AVISTA UTILITIES</v>
      </c>
      <c r="E2" s="604"/>
      <c r="F2" s="1"/>
      <c r="G2" s="1"/>
      <c r="H2" s="1"/>
      <c r="I2" s="1"/>
      <c r="J2" s="1"/>
      <c r="K2" s="1"/>
      <c r="L2" s="1"/>
      <c r="M2" s="1"/>
      <c r="N2" s="1"/>
      <c r="O2" s="1"/>
      <c r="P2" s="1"/>
      <c r="Q2" s="1"/>
      <c r="R2" s="547"/>
      <c r="S2" s="547"/>
      <c r="T2" s="547"/>
      <c r="U2" s="547"/>
      <c r="V2" s="547"/>
      <c r="W2" s="547"/>
      <c r="Y2" s="547"/>
      <c r="Z2" s="547"/>
      <c r="AA2" s="547"/>
      <c r="AB2" s="547" t="s">
        <v>192</v>
      </c>
      <c r="AC2" s="547"/>
      <c r="AD2" s="547"/>
      <c r="AE2" s="547"/>
      <c r="AJ2" s="399"/>
      <c r="AK2" s="547"/>
      <c r="AL2" s="515"/>
    </row>
    <row r="3" spans="1:46" ht="12.75" customHeight="1">
      <c r="A3" s="398" t="s">
        <v>494</v>
      </c>
      <c r="R3" s="547"/>
      <c r="S3" s="547"/>
      <c r="T3" s="547"/>
      <c r="U3" s="547"/>
      <c r="V3" s="547"/>
      <c r="W3" s="547"/>
      <c r="Y3" s="547"/>
      <c r="Z3" s="547"/>
      <c r="AA3" s="547"/>
      <c r="AB3" s="547"/>
      <c r="AC3" s="547"/>
      <c r="AD3" s="547"/>
      <c r="AE3" s="547"/>
      <c r="AK3" s="547"/>
      <c r="AL3" s="397"/>
      <c r="AO3" s="634"/>
      <c r="AP3" s="453"/>
    </row>
    <row r="4" spans="1:46" ht="12.75" customHeight="1">
      <c r="A4" s="397" t="s">
        <v>496</v>
      </c>
      <c r="E4" s="605"/>
      <c r="F4" s="396"/>
      <c r="G4" s="396"/>
      <c r="H4" s="396"/>
      <c r="I4" s="396"/>
      <c r="J4" s="396"/>
      <c r="K4" s="396"/>
      <c r="L4" s="396"/>
      <c r="M4" s="396"/>
      <c r="N4" s="396"/>
      <c r="O4" s="396"/>
      <c r="P4" s="396"/>
      <c r="Q4" s="396"/>
      <c r="R4" s="547"/>
      <c r="S4" s="547"/>
      <c r="T4" s="547"/>
      <c r="U4" s="547"/>
      <c r="V4" s="547"/>
      <c r="W4" s="547"/>
      <c r="Y4" s="547"/>
      <c r="Z4" s="547"/>
      <c r="AA4" s="547"/>
      <c r="AB4" s="547"/>
      <c r="AC4" s="547"/>
      <c r="AD4" s="547"/>
      <c r="AE4" s="547"/>
      <c r="AK4" s="547"/>
    </row>
    <row r="5" spans="1:46" s="402" customFormat="1" ht="12" customHeight="1">
      <c r="A5" s="398" t="str">
        <f>'ROO INPUT'!A5:C5</f>
        <v>TWELVE MONTHS ENDED SEPTEMBER 30, 2014</v>
      </c>
      <c r="B5" s="155"/>
      <c r="C5" s="155"/>
      <c r="D5" s="155"/>
      <c r="E5" s="155"/>
      <c r="F5" s="400"/>
      <c r="G5" s="400"/>
      <c r="H5" s="400"/>
      <c r="I5" s="400"/>
      <c r="J5" s="400"/>
      <c r="K5" s="400"/>
      <c r="L5" s="400"/>
      <c r="M5" s="400"/>
      <c r="N5" s="400"/>
      <c r="O5" s="400"/>
      <c r="P5" s="400"/>
      <c r="Q5" s="400"/>
      <c r="R5" s="606"/>
      <c r="S5" s="606"/>
      <c r="T5" s="606"/>
      <c r="U5" s="606"/>
      <c r="V5" s="606"/>
      <c r="W5" s="400"/>
      <c r="X5" s="400"/>
      <c r="Y5" s="606"/>
      <c r="Z5" s="606"/>
      <c r="AA5" s="606"/>
      <c r="AB5" s="606"/>
      <c r="AC5" s="606"/>
      <c r="AD5" s="606"/>
      <c r="AE5" s="606"/>
      <c r="AF5" s="400"/>
      <c r="AG5" s="400"/>
      <c r="AH5" s="400"/>
      <c r="AI5" s="400"/>
      <c r="AJ5" s="400"/>
      <c r="AK5" s="606"/>
      <c r="AL5" s="513"/>
      <c r="AM5" s="400"/>
      <c r="AN5" s="515"/>
      <c r="AO5" s="400"/>
      <c r="AP5" s="401"/>
      <c r="AQ5" s="399"/>
      <c r="AR5" s="403"/>
      <c r="AS5" s="403"/>
      <c r="AT5" s="403"/>
    </row>
    <row r="6" spans="1:46" ht="12.75" customHeight="1">
      <c r="A6" s="398" t="str">
        <f>'ROO INPUT'!A6:C6</f>
        <v xml:space="preserve">(000'S OF DOLLARS)   </v>
      </c>
      <c r="AF6" s="511"/>
      <c r="AG6" s="399"/>
      <c r="AH6" s="511"/>
      <c r="AI6" s="511"/>
      <c r="AJ6" s="598"/>
      <c r="AL6" s="598" t="s">
        <v>517</v>
      </c>
      <c r="AM6" s="511"/>
      <c r="AN6" s="514"/>
      <c r="AO6" s="453"/>
      <c r="AP6" s="453"/>
      <c r="AQ6" s="533"/>
      <c r="AR6" s="403"/>
      <c r="AS6" s="403"/>
      <c r="AT6" s="403"/>
    </row>
    <row r="7" spans="1:46" s="405" customFormat="1" ht="12" customHeight="1">
      <c r="A7" s="404"/>
      <c r="E7" s="401"/>
      <c r="F7" s="401"/>
      <c r="G7" s="401"/>
      <c r="H7" s="401"/>
      <c r="I7" s="401"/>
      <c r="J7" s="401"/>
      <c r="K7" s="401"/>
      <c r="L7" s="401"/>
      <c r="M7" s="401"/>
      <c r="N7" s="401"/>
      <c r="O7" s="401"/>
      <c r="P7" s="401"/>
      <c r="Q7" s="401"/>
      <c r="R7" s="607"/>
      <c r="S7" s="607"/>
      <c r="T7" s="607"/>
      <c r="U7" s="607"/>
      <c r="V7" s="607"/>
      <c r="W7" s="401"/>
      <c r="X7" s="401"/>
      <c r="Y7" s="607"/>
      <c r="Z7" s="607"/>
      <c r="AA7" s="607"/>
      <c r="AB7" s="607"/>
      <c r="AC7" s="607"/>
      <c r="AD7" s="607"/>
      <c r="AE7" s="607"/>
      <c r="AF7" s="607"/>
      <c r="AG7" s="399"/>
      <c r="AH7" s="401"/>
      <c r="AI7" s="401"/>
      <c r="AJ7" s="598" t="s">
        <v>502</v>
      </c>
      <c r="AK7" s="607"/>
      <c r="AL7" s="598" t="s">
        <v>21</v>
      </c>
      <c r="AM7" s="406"/>
      <c r="AN7" s="518"/>
      <c r="AO7" s="519"/>
      <c r="AP7" s="519"/>
      <c r="AQ7" s="541"/>
      <c r="AR7" s="403"/>
      <c r="AS7" s="403"/>
      <c r="AT7" s="403"/>
    </row>
    <row r="8" spans="1:46" s="405" customFormat="1" ht="12" customHeight="1">
      <c r="A8" s="407"/>
      <c r="B8" s="408"/>
      <c r="C8" s="409"/>
      <c r="D8" s="410"/>
      <c r="E8" s="411" t="s">
        <v>0</v>
      </c>
      <c r="F8" s="412" t="s">
        <v>1</v>
      </c>
      <c r="G8" s="412" t="s">
        <v>256</v>
      </c>
      <c r="H8" s="412" t="s">
        <v>469</v>
      </c>
      <c r="I8" s="412" t="s">
        <v>2</v>
      </c>
      <c r="J8" s="412" t="s">
        <v>5</v>
      </c>
      <c r="K8" s="412" t="s">
        <v>114</v>
      </c>
      <c r="L8" s="412" t="s">
        <v>3</v>
      </c>
      <c r="M8" s="412" t="s">
        <v>4</v>
      </c>
      <c r="N8" s="412" t="s">
        <v>454</v>
      </c>
      <c r="O8" s="412" t="s">
        <v>6</v>
      </c>
      <c r="P8" s="412" t="s">
        <v>5</v>
      </c>
      <c r="Q8" s="412" t="s">
        <v>134</v>
      </c>
      <c r="R8" s="412" t="s">
        <v>505</v>
      </c>
      <c r="S8" s="608" t="s">
        <v>507</v>
      </c>
      <c r="T8" s="608" t="s">
        <v>171</v>
      </c>
      <c r="U8" s="608" t="s">
        <v>176</v>
      </c>
      <c r="V8" s="608" t="s">
        <v>5</v>
      </c>
      <c r="W8" s="411" t="s">
        <v>471</v>
      </c>
      <c r="X8" s="381" t="s">
        <v>482</v>
      </c>
      <c r="Y8" s="412" t="s">
        <v>16</v>
      </c>
      <c r="Z8" s="412" t="s">
        <v>16</v>
      </c>
      <c r="AA8" s="412" t="s">
        <v>16</v>
      </c>
      <c r="AB8" s="412" t="s">
        <v>16</v>
      </c>
      <c r="AC8" s="412" t="s">
        <v>16</v>
      </c>
      <c r="AD8" s="412" t="s">
        <v>479</v>
      </c>
      <c r="AE8" s="412" t="s">
        <v>16</v>
      </c>
      <c r="AF8" s="412" t="s">
        <v>464</v>
      </c>
      <c r="AG8" s="375" t="s">
        <v>479</v>
      </c>
      <c r="AH8" s="386" t="s">
        <v>464</v>
      </c>
      <c r="AI8" s="386" t="s">
        <v>464</v>
      </c>
      <c r="AJ8" s="412" t="s">
        <v>518</v>
      </c>
      <c r="AK8" s="412" t="s">
        <v>451</v>
      </c>
      <c r="AL8" s="412" t="s">
        <v>479</v>
      </c>
      <c r="AM8" s="500" t="s">
        <v>16</v>
      </c>
      <c r="AN8" s="375" t="s">
        <v>501</v>
      </c>
      <c r="AO8" s="500" t="s">
        <v>485</v>
      </c>
      <c r="AP8" s="500" t="s">
        <v>534</v>
      </c>
      <c r="AQ8" s="541"/>
      <c r="AR8" s="527"/>
      <c r="AS8" s="541"/>
      <c r="AT8" s="541"/>
    </row>
    <row r="9" spans="1:46" s="405" customFormat="1">
      <c r="A9" s="413" t="s">
        <v>7</v>
      </c>
      <c r="B9" s="414"/>
      <c r="C9" s="415"/>
      <c r="D9" s="416"/>
      <c r="E9" s="417" t="s">
        <v>8</v>
      </c>
      <c r="F9" s="418" t="s">
        <v>9</v>
      </c>
      <c r="G9" s="418" t="s">
        <v>13</v>
      </c>
      <c r="H9" s="418" t="s">
        <v>137</v>
      </c>
      <c r="I9" s="418" t="s">
        <v>10</v>
      </c>
      <c r="J9" s="418" t="s">
        <v>11</v>
      </c>
      <c r="K9" s="418" t="s">
        <v>12</v>
      </c>
      <c r="L9" s="418" t="s">
        <v>12</v>
      </c>
      <c r="M9" s="418" t="s">
        <v>13</v>
      </c>
      <c r="N9" s="418" t="s">
        <v>455</v>
      </c>
      <c r="O9" s="418" t="s">
        <v>15</v>
      </c>
      <c r="P9" s="418" t="s">
        <v>135</v>
      </c>
      <c r="Q9" s="418" t="s">
        <v>472</v>
      </c>
      <c r="R9" s="418" t="s">
        <v>506</v>
      </c>
      <c r="S9" s="609" t="s">
        <v>508</v>
      </c>
      <c r="T9" s="609" t="s">
        <v>176</v>
      </c>
      <c r="U9" s="609" t="s">
        <v>191</v>
      </c>
      <c r="V9" s="609" t="s">
        <v>14</v>
      </c>
      <c r="W9" s="419"/>
      <c r="X9" s="559" t="s">
        <v>228</v>
      </c>
      <c r="Y9" s="418" t="s">
        <v>130</v>
      </c>
      <c r="Z9" s="418" t="s">
        <v>130</v>
      </c>
      <c r="AA9" s="418" t="s">
        <v>173</v>
      </c>
      <c r="AB9" s="418" t="s">
        <v>175</v>
      </c>
      <c r="AC9" s="418" t="s">
        <v>11</v>
      </c>
      <c r="AD9" s="418" t="s">
        <v>480</v>
      </c>
      <c r="AE9" s="418" t="s">
        <v>504</v>
      </c>
      <c r="AF9" s="418" t="s">
        <v>448</v>
      </c>
      <c r="AG9" s="499" t="s">
        <v>483</v>
      </c>
      <c r="AH9" s="418" t="s">
        <v>448</v>
      </c>
      <c r="AI9" s="491" t="s">
        <v>448</v>
      </c>
      <c r="AJ9" s="418" t="s">
        <v>532</v>
      </c>
      <c r="AK9" s="418" t="s">
        <v>452</v>
      </c>
      <c r="AL9" s="418" t="s">
        <v>189</v>
      </c>
      <c r="AM9" s="501" t="s">
        <v>499</v>
      </c>
      <c r="AN9" s="418" t="s">
        <v>479</v>
      </c>
      <c r="AO9" s="501" t="s">
        <v>491</v>
      </c>
      <c r="AP9" s="501" t="s">
        <v>522</v>
      </c>
      <c r="AQ9" s="541"/>
      <c r="AR9" s="527"/>
      <c r="AS9" s="541"/>
      <c r="AT9" s="541"/>
    </row>
    <row r="10" spans="1:46" s="405" customFormat="1" ht="12.75" thickBot="1">
      <c r="A10" s="420" t="s">
        <v>17</v>
      </c>
      <c r="B10" s="421"/>
      <c r="C10" s="422"/>
      <c r="D10" s="423" t="s">
        <v>18</v>
      </c>
      <c r="E10" s="424" t="s">
        <v>19</v>
      </c>
      <c r="F10" s="425" t="s">
        <v>20</v>
      </c>
      <c r="G10" s="425" t="s">
        <v>257</v>
      </c>
      <c r="H10" s="425"/>
      <c r="I10" s="425" t="s">
        <v>22</v>
      </c>
      <c r="J10" s="425" t="s">
        <v>23</v>
      </c>
      <c r="K10" s="425"/>
      <c r="L10" s="425"/>
      <c r="M10" s="425" t="s">
        <v>24</v>
      </c>
      <c r="N10" s="425" t="s">
        <v>12</v>
      </c>
      <c r="O10" s="425" t="s">
        <v>26</v>
      </c>
      <c r="P10" s="425" t="s">
        <v>22</v>
      </c>
      <c r="Q10" s="425"/>
      <c r="R10" s="425" t="s">
        <v>115</v>
      </c>
      <c r="S10" s="610" t="s">
        <v>509</v>
      </c>
      <c r="T10" s="610" t="s">
        <v>118</v>
      </c>
      <c r="U10" s="610" t="s">
        <v>21</v>
      </c>
      <c r="V10" s="610" t="s">
        <v>25</v>
      </c>
      <c r="W10" s="426"/>
      <c r="X10" s="427"/>
      <c r="Y10" s="425" t="s">
        <v>131</v>
      </c>
      <c r="Z10" s="425" t="s">
        <v>132</v>
      </c>
      <c r="AA10" s="425" t="s">
        <v>174</v>
      </c>
      <c r="AB10" s="425"/>
      <c r="AC10" s="425" t="s">
        <v>23</v>
      </c>
      <c r="AD10" s="425" t="s">
        <v>481</v>
      </c>
      <c r="AE10" s="425" t="s">
        <v>487</v>
      </c>
      <c r="AF10" s="425" t="s">
        <v>513</v>
      </c>
      <c r="AG10" s="424"/>
      <c r="AH10" s="428" t="s">
        <v>514</v>
      </c>
      <c r="AI10" s="492" t="s">
        <v>515</v>
      </c>
      <c r="AJ10" s="425" t="s">
        <v>519</v>
      </c>
      <c r="AK10" s="425"/>
      <c r="AL10" s="425" t="s">
        <v>190</v>
      </c>
      <c r="AM10" s="502" t="s">
        <v>27</v>
      </c>
      <c r="AN10" s="428" t="s">
        <v>502</v>
      </c>
      <c r="AO10" s="482" t="s">
        <v>490</v>
      </c>
      <c r="AP10" s="482" t="s">
        <v>490</v>
      </c>
      <c r="AQ10" s="541"/>
      <c r="AR10" s="403"/>
      <c r="AS10" s="403"/>
      <c r="AT10" s="403"/>
    </row>
    <row r="11" spans="1:46" s="405" customFormat="1">
      <c r="A11" s="404"/>
      <c r="B11" s="429" t="s">
        <v>196</v>
      </c>
      <c r="E11" s="611">
        <v>1</v>
      </c>
      <c r="F11" s="611">
        <f>E11+0.01</f>
        <v>1.01</v>
      </c>
      <c r="G11" s="611">
        <f t="shared" ref="G11" si="0">F11+0.01</f>
        <v>1.02</v>
      </c>
      <c r="H11" s="611">
        <f>G11+0.01</f>
        <v>1.03</v>
      </c>
      <c r="I11" s="611">
        <v>2.0099999999999998</v>
      </c>
      <c r="J11" s="611">
        <f>I11+0.01</f>
        <v>2.0199999999999996</v>
      </c>
      <c r="K11" s="611">
        <f t="shared" ref="K11:S11" si="1">J11+0.01</f>
        <v>2.0299999999999994</v>
      </c>
      <c r="L11" s="611">
        <f t="shared" si="1"/>
        <v>2.0399999999999991</v>
      </c>
      <c r="M11" s="611">
        <f t="shared" si="1"/>
        <v>2.0499999999999989</v>
      </c>
      <c r="N11" s="611">
        <f t="shared" si="1"/>
        <v>2.0599999999999987</v>
      </c>
      <c r="O11" s="611">
        <f t="shared" si="1"/>
        <v>2.0699999999999985</v>
      </c>
      <c r="P11" s="611">
        <f t="shared" si="1"/>
        <v>2.0799999999999983</v>
      </c>
      <c r="Q11" s="611">
        <f t="shared" si="1"/>
        <v>2.0899999999999981</v>
      </c>
      <c r="R11" s="430">
        <f t="shared" si="1"/>
        <v>2.0999999999999979</v>
      </c>
      <c r="S11" s="430">
        <f t="shared" si="1"/>
        <v>2.1099999999999977</v>
      </c>
      <c r="T11" s="430">
        <f t="shared" ref="T11" si="2">S11+0.01</f>
        <v>2.1199999999999974</v>
      </c>
      <c r="U11" s="430">
        <f t="shared" ref="U11" si="3">T11+0.01</f>
        <v>2.1299999999999972</v>
      </c>
      <c r="V11" s="430">
        <f t="shared" ref="V11" si="4">U11+0.01</f>
        <v>2.139999999999997</v>
      </c>
      <c r="W11" s="430" t="e">
        <f>#REF!+0.01</f>
        <v>#REF!</v>
      </c>
      <c r="X11" s="401"/>
      <c r="Y11" s="430">
        <v>3</v>
      </c>
      <c r="Z11" s="430">
        <f>Y11+0.01</f>
        <v>3.01</v>
      </c>
      <c r="AA11" s="430">
        <f t="shared" ref="AA11:AD11" si="5">Z11+0.01</f>
        <v>3.0199999999999996</v>
      </c>
      <c r="AB11" s="430">
        <f t="shared" si="5"/>
        <v>3.0299999999999994</v>
      </c>
      <c r="AC11" s="430">
        <f t="shared" si="5"/>
        <v>3.0399999999999991</v>
      </c>
      <c r="AD11" s="430">
        <f t="shared" si="5"/>
        <v>3.0499999999999989</v>
      </c>
      <c r="AE11" s="430">
        <f>AD11+0.01</f>
        <v>3.0599999999999987</v>
      </c>
      <c r="AF11" s="430">
        <f>AE11+0.01</f>
        <v>3.0699999999999985</v>
      </c>
      <c r="AG11" s="417"/>
      <c r="AH11" s="430">
        <f>4.01</f>
        <v>4.01</v>
      </c>
      <c r="AI11" s="430">
        <f>AH11+0.01</f>
        <v>4.0199999999999996</v>
      </c>
      <c r="AJ11" s="430">
        <f t="shared" ref="AJ11" si="6">AI11+0.01</f>
        <v>4.0299999999999994</v>
      </c>
      <c r="AK11" s="430">
        <f>AJ11+0.01</f>
        <v>4.0399999999999991</v>
      </c>
      <c r="AL11" s="430">
        <f>AK11+0.01</f>
        <v>4.0499999999999989</v>
      </c>
      <c r="AM11" s="501" t="s">
        <v>500</v>
      </c>
      <c r="AN11" s="622">
        <f>AL11+0.01</f>
        <v>4.0599999999999987</v>
      </c>
      <c r="AO11" s="501" t="s">
        <v>503</v>
      </c>
      <c r="AP11" s="532" t="s">
        <v>523</v>
      </c>
      <c r="AQ11" s="540"/>
      <c r="AR11" s="403"/>
      <c r="AS11" s="403"/>
      <c r="AT11" s="403"/>
    </row>
    <row r="12" spans="1:46" s="405" customFormat="1">
      <c r="A12" s="404"/>
      <c r="B12" s="429" t="s">
        <v>197</v>
      </c>
      <c r="E12" s="401" t="s">
        <v>198</v>
      </c>
      <c r="F12" s="401" t="s">
        <v>199</v>
      </c>
      <c r="G12" s="401" t="s">
        <v>200</v>
      </c>
      <c r="H12" s="401" t="s">
        <v>470</v>
      </c>
      <c r="I12" s="401" t="s">
        <v>202</v>
      </c>
      <c r="J12" s="401" t="s">
        <v>467</v>
      </c>
      <c r="K12" s="401" t="s">
        <v>203</v>
      </c>
      <c r="L12" s="401" t="s">
        <v>204</v>
      </c>
      <c r="M12" s="401" t="s">
        <v>205</v>
      </c>
      <c r="N12" s="401" t="s">
        <v>206</v>
      </c>
      <c r="O12" s="401" t="s">
        <v>208</v>
      </c>
      <c r="P12" s="401" t="s">
        <v>447</v>
      </c>
      <c r="Q12" s="401" t="s">
        <v>207</v>
      </c>
      <c r="R12" s="401" t="s">
        <v>201</v>
      </c>
      <c r="S12" s="401" t="s">
        <v>510</v>
      </c>
      <c r="T12" s="401" t="s">
        <v>209</v>
      </c>
      <c r="U12" s="399" t="s">
        <v>210</v>
      </c>
      <c r="V12" s="399" t="s">
        <v>211</v>
      </c>
      <c r="W12" s="401" t="s">
        <v>471</v>
      </c>
      <c r="X12" s="401" t="s">
        <v>449</v>
      </c>
      <c r="Y12" s="399" t="s">
        <v>212</v>
      </c>
      <c r="Z12" s="401" t="s">
        <v>213</v>
      </c>
      <c r="AA12" s="401" t="s">
        <v>214</v>
      </c>
      <c r="AB12" s="401" t="s">
        <v>215</v>
      </c>
      <c r="AC12" s="401" t="s">
        <v>468</v>
      </c>
      <c r="AD12" s="401" t="s">
        <v>484</v>
      </c>
      <c r="AE12" s="401" t="s">
        <v>516</v>
      </c>
      <c r="AF12" s="403" t="s">
        <v>465</v>
      </c>
      <c r="AG12" s="417" t="s">
        <v>450</v>
      </c>
      <c r="AH12" s="403" t="s">
        <v>466</v>
      </c>
      <c r="AI12" s="403" t="s">
        <v>530</v>
      </c>
      <c r="AJ12" s="399" t="s">
        <v>520</v>
      </c>
      <c r="AK12" s="401" t="s">
        <v>453</v>
      </c>
      <c r="AL12" s="399" t="s">
        <v>521</v>
      </c>
      <c r="AM12" s="501"/>
      <c r="AN12" s="418" t="s">
        <v>525</v>
      </c>
      <c r="AO12" s="501"/>
      <c r="AP12" s="501"/>
      <c r="AQ12" s="403"/>
      <c r="AR12" s="403"/>
      <c r="AS12" s="403"/>
      <c r="AT12" s="403"/>
    </row>
    <row r="13" spans="1:46">
      <c r="U13" s="397"/>
      <c r="V13" s="397"/>
      <c r="W13" s="61"/>
      <c r="Y13" s="397"/>
      <c r="AF13" s="431"/>
      <c r="AG13" s="493"/>
      <c r="AH13" s="431"/>
      <c r="AI13" s="431"/>
      <c r="AL13" s="397"/>
      <c r="AM13" s="503"/>
      <c r="AN13" s="623"/>
      <c r="AO13" s="503"/>
      <c r="AP13" s="483"/>
    </row>
    <row r="14" spans="1:46">
      <c r="B14" s="1" t="s">
        <v>34</v>
      </c>
      <c r="U14" s="397"/>
      <c r="V14" s="397"/>
      <c r="W14" s="61"/>
      <c r="Y14" s="397"/>
      <c r="AF14" s="431"/>
      <c r="AG14" s="493"/>
      <c r="AH14" s="431"/>
      <c r="AI14" s="431"/>
      <c r="AL14" s="397"/>
      <c r="AM14" s="503"/>
      <c r="AN14" s="623"/>
      <c r="AO14" s="503"/>
      <c r="AP14" s="483"/>
    </row>
    <row r="15" spans="1:46" s="3" customFormat="1">
      <c r="A15" s="155">
        <v>1</v>
      </c>
      <c r="B15" s="3" t="s">
        <v>35</v>
      </c>
      <c r="E15" s="612">
        <f>'ROO INPUT'!$F15</f>
        <v>166628</v>
      </c>
      <c r="F15" s="602">
        <v>0</v>
      </c>
      <c r="G15" s="602">
        <v>0</v>
      </c>
      <c r="H15" s="602">
        <v>0</v>
      </c>
      <c r="I15" s="602">
        <v>-6055</v>
      </c>
      <c r="J15" s="602">
        <v>0</v>
      </c>
      <c r="K15" s="602">
        <v>0</v>
      </c>
      <c r="L15" s="602">
        <v>0</v>
      </c>
      <c r="M15" s="602">
        <v>0</v>
      </c>
      <c r="N15" s="602">
        <v>0</v>
      </c>
      <c r="O15" s="602">
        <v>0</v>
      </c>
      <c r="P15" s="602">
        <v>0</v>
      </c>
      <c r="Q15" s="602">
        <v>0</v>
      </c>
      <c r="R15" s="602">
        <v>-2140</v>
      </c>
      <c r="S15" s="602">
        <v>-6068</v>
      </c>
      <c r="T15" s="602">
        <v>0</v>
      </c>
      <c r="U15" s="602">
        <v>0</v>
      </c>
      <c r="V15" s="602">
        <v>0</v>
      </c>
      <c r="W15" s="602">
        <v>0</v>
      </c>
      <c r="X15" s="432">
        <f>SUM(E15:W15)</f>
        <v>152365</v>
      </c>
      <c r="Y15" s="602">
        <v>0</v>
      </c>
      <c r="Z15" s="602">
        <v>0</v>
      </c>
      <c r="AA15" s="602">
        <v>0</v>
      </c>
      <c r="AB15" s="602">
        <v>0</v>
      </c>
      <c r="AC15" s="602">
        <v>0</v>
      </c>
      <c r="AD15" s="602">
        <v>0</v>
      </c>
      <c r="AE15" s="602">
        <v>14366</v>
      </c>
      <c r="AF15" s="433">
        <v>0</v>
      </c>
      <c r="AG15" s="494">
        <f>SUM(X15:AF15)</f>
        <v>166731</v>
      </c>
      <c r="AH15" s="433">
        <v>0</v>
      </c>
      <c r="AI15" s="433">
        <v>0</v>
      </c>
      <c r="AJ15" s="602">
        <v>0</v>
      </c>
      <c r="AK15" s="602">
        <v>0</v>
      </c>
      <c r="AL15" s="602">
        <v>0</v>
      </c>
      <c r="AM15" s="504">
        <f>SUM(AG15:AL15)</f>
        <v>166731</v>
      </c>
      <c r="AN15" s="624">
        <v>0</v>
      </c>
      <c r="AO15" s="504">
        <f>SUM(AM15:AN15)</f>
        <v>166731</v>
      </c>
      <c r="AP15" s="484">
        <f>SUM(AO15:AO15)</f>
        <v>166731</v>
      </c>
      <c r="AQ15" s="538"/>
      <c r="AR15" s="528"/>
      <c r="AS15" s="528"/>
      <c r="AT15" s="528"/>
    </row>
    <row r="16" spans="1:46">
      <c r="A16" s="155">
        <v>2</v>
      </c>
      <c r="B16" s="4" t="s">
        <v>36</v>
      </c>
      <c r="D16" s="4"/>
      <c r="E16" s="294">
        <f>'ROO INPUT'!$F16</f>
        <v>4112</v>
      </c>
      <c r="F16" s="603">
        <v>0</v>
      </c>
      <c r="G16" s="603">
        <v>0</v>
      </c>
      <c r="H16" s="603">
        <v>0</v>
      </c>
      <c r="I16" s="603">
        <v>-139</v>
      </c>
      <c r="J16" s="603">
        <v>0</v>
      </c>
      <c r="K16" s="603">
        <v>0</v>
      </c>
      <c r="L16" s="603">
        <v>0</v>
      </c>
      <c r="M16" s="603">
        <v>0</v>
      </c>
      <c r="N16" s="603">
        <v>0</v>
      </c>
      <c r="O16" s="603">
        <v>0</v>
      </c>
      <c r="P16" s="603">
        <v>0</v>
      </c>
      <c r="Q16" s="603">
        <v>0</v>
      </c>
      <c r="R16" s="603"/>
      <c r="S16" s="603">
        <v>0</v>
      </c>
      <c r="T16" s="603">
        <v>0</v>
      </c>
      <c r="U16" s="603">
        <v>0</v>
      </c>
      <c r="V16" s="603">
        <v>0</v>
      </c>
      <c r="W16" s="603">
        <v>0</v>
      </c>
      <c r="X16" s="434">
        <f>SUM(E16:W16)</f>
        <v>3973</v>
      </c>
      <c r="Y16" s="603">
        <v>0</v>
      </c>
      <c r="Z16" s="603">
        <v>0</v>
      </c>
      <c r="AA16" s="603">
        <v>0</v>
      </c>
      <c r="AB16" s="603">
        <v>0</v>
      </c>
      <c r="AC16" s="603">
        <v>0</v>
      </c>
      <c r="AD16" s="603">
        <v>0</v>
      </c>
      <c r="AE16" s="603">
        <v>210</v>
      </c>
      <c r="AF16" s="435">
        <v>0</v>
      </c>
      <c r="AG16" s="495">
        <f>SUM(X16:AF16)</f>
        <v>4183</v>
      </c>
      <c r="AH16" s="435">
        <v>0</v>
      </c>
      <c r="AI16" s="435">
        <v>0</v>
      </c>
      <c r="AJ16" s="603">
        <v>0</v>
      </c>
      <c r="AK16" s="603">
        <v>0</v>
      </c>
      <c r="AL16" s="603">
        <v>0</v>
      </c>
      <c r="AM16" s="505">
        <f>SUM(AG16:AL16)</f>
        <v>4183</v>
      </c>
      <c r="AN16" s="625">
        <v>0</v>
      </c>
      <c r="AO16" s="505">
        <f>SUM(AM16:AN16)</f>
        <v>4183</v>
      </c>
      <c r="AP16" s="485">
        <f>SUM(AO16:AO16)</f>
        <v>4183</v>
      </c>
      <c r="AQ16" s="451"/>
      <c r="AR16" s="523"/>
      <c r="AS16" s="523"/>
      <c r="AT16" s="523"/>
    </row>
    <row r="17" spans="1:46">
      <c r="A17" s="155">
        <v>3</v>
      </c>
      <c r="B17" s="4" t="s">
        <v>37</v>
      </c>
      <c r="D17" s="4"/>
      <c r="E17" s="296">
        <f>'ROO INPUT'!$F17</f>
        <v>83502</v>
      </c>
      <c r="F17" s="436">
        <v>0</v>
      </c>
      <c r="G17" s="436">
        <v>0</v>
      </c>
      <c r="H17" s="436">
        <v>0</v>
      </c>
      <c r="I17" s="436">
        <v>0</v>
      </c>
      <c r="J17" s="436">
        <v>0</v>
      </c>
      <c r="K17" s="436">
        <v>0</v>
      </c>
      <c r="L17" s="436">
        <v>0</v>
      </c>
      <c r="M17" s="436">
        <v>0</v>
      </c>
      <c r="N17" s="436">
        <v>0</v>
      </c>
      <c r="O17" s="436">
        <v>0</v>
      </c>
      <c r="P17" s="436">
        <v>0</v>
      </c>
      <c r="Q17" s="436">
        <v>0</v>
      </c>
      <c r="R17" s="436"/>
      <c r="S17" s="436">
        <v>-83225</v>
      </c>
      <c r="T17" s="436">
        <v>0</v>
      </c>
      <c r="U17" s="436">
        <v>0</v>
      </c>
      <c r="V17" s="436">
        <v>0</v>
      </c>
      <c r="W17" s="436">
        <v>0</v>
      </c>
      <c r="X17" s="437">
        <f>SUM(E17:W17)</f>
        <v>277</v>
      </c>
      <c r="Y17" s="436">
        <v>0</v>
      </c>
      <c r="Z17" s="436">
        <v>0</v>
      </c>
      <c r="AA17" s="436">
        <v>0</v>
      </c>
      <c r="AB17" s="436">
        <v>0</v>
      </c>
      <c r="AC17" s="436">
        <v>0</v>
      </c>
      <c r="AD17" s="436">
        <v>0</v>
      </c>
      <c r="AE17" s="436">
        <v>0</v>
      </c>
      <c r="AF17" s="436">
        <v>0</v>
      </c>
      <c r="AG17" s="496">
        <f>SUM(X17:AF17)</f>
        <v>277</v>
      </c>
      <c r="AH17" s="436">
        <v>0</v>
      </c>
      <c r="AI17" s="436">
        <v>0</v>
      </c>
      <c r="AJ17" s="436">
        <v>0</v>
      </c>
      <c r="AK17" s="436">
        <v>0</v>
      </c>
      <c r="AL17" s="436">
        <v>0</v>
      </c>
      <c r="AM17" s="506">
        <f>SUM(AG17:AL17)</f>
        <v>277</v>
      </c>
      <c r="AN17" s="626">
        <v>0</v>
      </c>
      <c r="AO17" s="506">
        <f>SUM(AM17:AN17)</f>
        <v>277</v>
      </c>
      <c r="AP17" s="486">
        <f>SUM(AO17:AO17)</f>
        <v>277</v>
      </c>
      <c r="AQ17" s="523"/>
      <c r="AR17" s="523"/>
      <c r="AS17" s="523"/>
      <c r="AT17" s="523"/>
    </row>
    <row r="18" spans="1:46">
      <c r="A18" s="155">
        <v>4</v>
      </c>
      <c r="B18" s="1" t="s">
        <v>38</v>
      </c>
      <c r="C18" s="4"/>
      <c r="D18" s="4"/>
      <c r="E18" s="294">
        <f>SUM(E15:E17)</f>
        <v>254242</v>
      </c>
      <c r="F18" s="294">
        <f t="shared" ref="F18:N18" si="7">SUM(F15:F17)</f>
        <v>0</v>
      </c>
      <c r="G18" s="294">
        <f t="shared" si="7"/>
        <v>0</v>
      </c>
      <c r="H18" s="294">
        <f t="shared" si="7"/>
        <v>0</v>
      </c>
      <c r="I18" s="294">
        <f t="shared" si="7"/>
        <v>-6194</v>
      </c>
      <c r="J18" s="294">
        <f>SUM(J15:J17)</f>
        <v>0</v>
      </c>
      <c r="K18" s="294">
        <f t="shared" si="7"/>
        <v>0</v>
      </c>
      <c r="L18" s="294">
        <f t="shared" si="7"/>
        <v>0</v>
      </c>
      <c r="M18" s="294">
        <f t="shared" si="7"/>
        <v>0</v>
      </c>
      <c r="N18" s="294">
        <f t="shared" si="7"/>
        <v>0</v>
      </c>
      <c r="O18" s="294">
        <f t="shared" ref="O18:P18" si="8">SUM(O15:O17)</f>
        <v>0</v>
      </c>
      <c r="P18" s="294">
        <f t="shared" si="8"/>
        <v>0</v>
      </c>
      <c r="Q18" s="294">
        <f t="shared" ref="Q18" si="9">SUM(Q15:Q17)</f>
        <v>0</v>
      </c>
      <c r="R18" s="294">
        <f>SUM(R15:R17)</f>
        <v>-2140</v>
      </c>
      <c r="S18" s="294">
        <f>SUM(S15:S17)</f>
        <v>-89293</v>
      </c>
      <c r="T18" s="294">
        <f t="shared" ref="T18" si="10">SUM(T15:T17)</f>
        <v>0</v>
      </c>
      <c r="U18" s="294">
        <f t="shared" ref="U18" si="11">SUM(U15:U17)</f>
        <v>0</v>
      </c>
      <c r="V18" s="294">
        <f t="shared" ref="V18" si="12">SUM(V15:V17)</f>
        <v>0</v>
      </c>
      <c r="W18" s="294">
        <f>SUM(W15:W17)</f>
        <v>0</v>
      </c>
      <c r="X18" s="434">
        <f>SUM(X15:X17)</f>
        <v>156615</v>
      </c>
      <c r="Y18" s="294">
        <f>SUM(Y15:Y17)</f>
        <v>0</v>
      </c>
      <c r="Z18" s="294">
        <f t="shared" ref="Z18:AB18" si="13">SUM(Z15:Z17)</f>
        <v>0</v>
      </c>
      <c r="AA18" s="294">
        <f t="shared" si="13"/>
        <v>0</v>
      </c>
      <c r="AB18" s="294">
        <f t="shared" si="13"/>
        <v>0</v>
      </c>
      <c r="AC18" s="294">
        <f t="shared" ref="AC18:AG18" si="14">SUM(AC15:AC17)</f>
        <v>0</v>
      </c>
      <c r="AD18" s="294">
        <f t="shared" si="14"/>
        <v>0</v>
      </c>
      <c r="AE18" s="294">
        <f>SUM(AE15:AE17)</f>
        <v>14576</v>
      </c>
      <c r="AF18" s="438">
        <f>SUM(AF15:AF17)</f>
        <v>0</v>
      </c>
      <c r="AG18" s="495">
        <f t="shared" si="14"/>
        <v>171191</v>
      </c>
      <c r="AH18" s="303">
        <f t="shared" ref="AH18:AM18" si="15">SUM(AH15:AH17)</f>
        <v>0</v>
      </c>
      <c r="AI18" s="303">
        <f>SUM(AI15:AI17)</f>
        <v>0</v>
      </c>
      <c r="AJ18" s="351">
        <f>SUM(AJ15:AJ17)</f>
        <v>0</v>
      </c>
      <c r="AK18" s="294">
        <f>SUM(AK15:AK17)</f>
        <v>0</v>
      </c>
      <c r="AL18" s="351">
        <f t="shared" ref="AL18" si="16">SUM(AL15:AL17)</f>
        <v>0</v>
      </c>
      <c r="AM18" s="505">
        <f t="shared" si="15"/>
        <v>171191</v>
      </c>
      <c r="AN18" s="627">
        <f t="shared" ref="AN18" si="17">SUM(AN15:AN17)</f>
        <v>0</v>
      </c>
      <c r="AO18" s="505">
        <f t="shared" ref="AO18:AP18" si="18">SUM(AO15:AO17)</f>
        <v>171191</v>
      </c>
      <c r="AP18" s="485">
        <f t="shared" si="18"/>
        <v>171191</v>
      </c>
      <c r="AQ18" s="451"/>
      <c r="AR18" s="523"/>
      <c r="AS18" s="523"/>
      <c r="AT18" s="523"/>
    </row>
    <row r="19" spans="1:46">
      <c r="C19" s="4"/>
      <c r="D19" s="4"/>
      <c r="E19" s="294"/>
      <c r="F19" s="603"/>
      <c r="G19" s="603"/>
      <c r="H19" s="603"/>
      <c r="I19" s="603"/>
      <c r="J19" s="603"/>
      <c r="K19" s="603"/>
      <c r="L19" s="603"/>
      <c r="M19" s="603"/>
      <c r="N19" s="603"/>
      <c r="O19" s="603"/>
      <c r="P19" s="603"/>
      <c r="Q19" s="603"/>
      <c r="R19" s="603"/>
      <c r="S19" s="603"/>
      <c r="T19" s="603"/>
      <c r="U19" s="603"/>
      <c r="V19" s="603"/>
      <c r="W19" s="603"/>
      <c r="X19" s="434"/>
      <c r="Y19" s="603"/>
      <c r="Z19" s="603"/>
      <c r="AA19" s="603"/>
      <c r="AB19" s="603"/>
      <c r="AC19" s="603"/>
      <c r="AD19" s="603"/>
      <c r="AE19" s="603"/>
      <c r="AF19" s="435"/>
      <c r="AG19" s="495"/>
      <c r="AH19" s="435"/>
      <c r="AI19" s="435"/>
      <c r="AJ19" s="603"/>
      <c r="AK19" s="603"/>
      <c r="AL19" s="603"/>
      <c r="AM19" s="505"/>
      <c r="AN19" s="625"/>
      <c r="AO19" s="505"/>
      <c r="AP19" s="485"/>
      <c r="AQ19" s="451"/>
      <c r="AR19" s="523"/>
      <c r="AS19" s="523"/>
      <c r="AT19" s="523"/>
    </row>
    <row r="20" spans="1:46">
      <c r="B20" s="1" t="s">
        <v>39</v>
      </c>
      <c r="C20" s="4"/>
      <c r="D20" s="4"/>
      <c r="E20" s="294"/>
      <c r="F20" s="603"/>
      <c r="G20" s="603"/>
      <c r="H20" s="603"/>
      <c r="I20" s="603"/>
      <c r="J20" s="603"/>
      <c r="K20" s="603"/>
      <c r="L20" s="603"/>
      <c r="M20" s="603"/>
      <c r="N20" s="603"/>
      <c r="O20" s="603"/>
      <c r="P20" s="603"/>
      <c r="Q20" s="603"/>
      <c r="R20" s="603"/>
      <c r="S20" s="603"/>
      <c r="T20" s="603"/>
      <c r="U20" s="603"/>
      <c r="V20" s="603"/>
      <c r="W20" s="603"/>
      <c r="X20" s="434"/>
      <c r="Y20" s="603"/>
      <c r="Z20" s="603"/>
      <c r="AA20" s="603"/>
      <c r="AB20" s="603"/>
      <c r="AC20" s="603"/>
      <c r="AD20" s="603"/>
      <c r="AE20" s="603"/>
      <c r="AF20" s="435"/>
      <c r="AG20" s="495"/>
      <c r="AH20" s="435"/>
      <c r="AI20" s="435"/>
      <c r="AJ20" s="603"/>
      <c r="AK20" s="603"/>
      <c r="AL20" s="603"/>
      <c r="AM20" s="505"/>
      <c r="AN20" s="625"/>
      <c r="AO20" s="505"/>
      <c r="AP20" s="485"/>
      <c r="AQ20" s="451"/>
      <c r="AR20" s="523"/>
      <c r="AS20" s="523"/>
      <c r="AT20" s="523"/>
    </row>
    <row r="21" spans="1:46">
      <c r="B21" s="4" t="s">
        <v>220</v>
      </c>
      <c r="D21" s="4"/>
      <c r="E21" s="294"/>
      <c r="F21" s="603"/>
      <c r="G21" s="603"/>
      <c r="H21" s="603"/>
      <c r="I21" s="603"/>
      <c r="J21" s="603"/>
      <c r="K21" s="603"/>
      <c r="L21" s="603"/>
      <c r="M21" s="603"/>
      <c r="N21" s="603"/>
      <c r="O21" s="603"/>
      <c r="P21" s="603"/>
      <c r="Q21" s="603"/>
      <c r="R21" s="603"/>
      <c r="S21" s="603"/>
      <c r="T21" s="603"/>
      <c r="U21" s="603"/>
      <c r="V21" s="603"/>
      <c r="W21" s="603"/>
      <c r="X21" s="434"/>
      <c r="Y21" s="603"/>
      <c r="Z21" s="603"/>
      <c r="AA21" s="603"/>
      <c r="AB21" s="603"/>
      <c r="AC21" s="603"/>
      <c r="AD21" s="603"/>
      <c r="AE21" s="603"/>
      <c r="AF21" s="435"/>
      <c r="AG21" s="495"/>
      <c r="AH21" s="435"/>
      <c r="AI21" s="435"/>
      <c r="AJ21" s="603"/>
      <c r="AK21" s="603"/>
      <c r="AL21" s="603"/>
      <c r="AM21" s="505"/>
      <c r="AN21" s="625"/>
      <c r="AO21" s="505"/>
      <c r="AP21" s="485"/>
      <c r="AQ21" s="451"/>
      <c r="AR21" s="523"/>
      <c r="AS21" s="523"/>
      <c r="AT21" s="523"/>
    </row>
    <row r="22" spans="1:46">
      <c r="A22" s="155">
        <v>5</v>
      </c>
      <c r="C22" s="4" t="s">
        <v>40</v>
      </c>
      <c r="D22" s="4"/>
      <c r="E22" s="294">
        <f>'ROO INPUT'!$F22</f>
        <v>173262</v>
      </c>
      <c r="F22" s="603">
        <v>0</v>
      </c>
      <c r="G22" s="603">
        <v>0</v>
      </c>
      <c r="H22" s="603">
        <v>0</v>
      </c>
      <c r="I22" s="603">
        <v>0</v>
      </c>
      <c r="J22" s="603">
        <v>0</v>
      </c>
      <c r="K22" s="603">
        <v>0</v>
      </c>
      <c r="L22" s="603">
        <v>0</v>
      </c>
      <c r="M22" s="603">
        <v>0</v>
      </c>
      <c r="N22" s="603">
        <v>0</v>
      </c>
      <c r="O22" s="603">
        <v>0</v>
      </c>
      <c r="P22" s="603">
        <v>0</v>
      </c>
      <c r="Q22" s="603">
        <v>0</v>
      </c>
      <c r="R22" s="603">
        <v>-1278</v>
      </c>
      <c r="S22" s="603">
        <v>-89511</v>
      </c>
      <c r="T22" s="603">
        <v>0</v>
      </c>
      <c r="U22" s="603">
        <v>0</v>
      </c>
      <c r="V22" s="603">
        <v>0</v>
      </c>
      <c r="W22" s="603">
        <v>0</v>
      </c>
      <c r="X22" s="434">
        <f>SUM(E22:W22)</f>
        <v>82473</v>
      </c>
      <c r="Y22" s="603">
        <v>0</v>
      </c>
      <c r="Z22" s="603">
        <v>0</v>
      </c>
      <c r="AA22" s="603">
        <v>0</v>
      </c>
      <c r="AB22" s="603">
        <v>0</v>
      </c>
      <c r="AC22" s="603">
        <v>0</v>
      </c>
      <c r="AD22" s="603">
        <v>0</v>
      </c>
      <c r="AE22" s="603">
        <v>5394</v>
      </c>
      <c r="AF22" s="435">
        <v>0</v>
      </c>
      <c r="AG22" s="495">
        <f>SUM(X22:AF22)</f>
        <v>87867</v>
      </c>
      <c r="AH22" s="435">
        <v>0</v>
      </c>
      <c r="AI22" s="435">
        <v>0</v>
      </c>
      <c r="AJ22" s="603">
        <v>0</v>
      </c>
      <c r="AK22" s="603">
        <v>0</v>
      </c>
      <c r="AL22" s="603">
        <v>0</v>
      </c>
      <c r="AM22" s="505">
        <f>SUM(AG22:AL22)</f>
        <v>87867</v>
      </c>
      <c r="AN22" s="625">
        <v>0</v>
      </c>
      <c r="AO22" s="505">
        <f>SUM(AM22:AN22)</f>
        <v>87867</v>
      </c>
      <c r="AP22" s="485">
        <f>SUM(AO22:AO22)</f>
        <v>87867</v>
      </c>
      <c r="AQ22" s="451"/>
      <c r="AR22" s="523"/>
      <c r="AS22" s="523"/>
      <c r="AT22" s="523"/>
    </row>
    <row r="23" spans="1:46">
      <c r="A23" s="155">
        <v>6</v>
      </c>
      <c r="C23" s="4" t="s">
        <v>41</v>
      </c>
      <c r="D23" s="4"/>
      <c r="E23" s="294">
        <f>'ROO INPUT'!$F23</f>
        <v>839</v>
      </c>
      <c r="F23" s="603">
        <v>0</v>
      </c>
      <c r="G23" s="603">
        <v>0</v>
      </c>
      <c r="H23" s="603">
        <v>0</v>
      </c>
      <c r="I23" s="603">
        <v>0</v>
      </c>
      <c r="J23" s="603">
        <v>0</v>
      </c>
      <c r="K23" s="603">
        <v>0</v>
      </c>
      <c r="L23" s="603">
        <v>0</v>
      </c>
      <c r="M23" s="603">
        <v>0</v>
      </c>
      <c r="N23" s="603">
        <v>0</v>
      </c>
      <c r="O23" s="603">
        <v>0</v>
      </c>
      <c r="P23" s="603">
        <v>0</v>
      </c>
      <c r="Q23" s="603">
        <v>0</v>
      </c>
      <c r="R23" s="603">
        <v>0</v>
      </c>
      <c r="S23" s="603">
        <v>0</v>
      </c>
      <c r="T23" s="603">
        <v>0</v>
      </c>
      <c r="U23" s="603">
        <v>0</v>
      </c>
      <c r="V23" s="603">
        <v>0</v>
      </c>
      <c r="W23" s="603">
        <v>0</v>
      </c>
      <c r="X23" s="434">
        <f>SUM(E23:W23)</f>
        <v>839</v>
      </c>
      <c r="Y23" s="603">
        <v>27</v>
      </c>
      <c r="Z23" s="603">
        <v>-23.038</v>
      </c>
      <c r="AA23" s="603">
        <v>25</v>
      </c>
      <c r="AB23" s="603">
        <v>0</v>
      </c>
      <c r="AC23" s="603">
        <v>0</v>
      </c>
      <c r="AD23" s="603">
        <v>0</v>
      </c>
      <c r="AE23" s="603">
        <v>-1</v>
      </c>
      <c r="AF23" s="435">
        <v>0</v>
      </c>
      <c r="AG23" s="495">
        <f>SUM(X23:AF23)</f>
        <v>866.96199999999999</v>
      </c>
      <c r="AH23" s="435">
        <v>0</v>
      </c>
      <c r="AI23" s="435">
        <v>0</v>
      </c>
      <c r="AJ23" s="603">
        <v>0</v>
      </c>
      <c r="AK23" s="603">
        <v>0</v>
      </c>
      <c r="AL23" s="603">
        <v>0</v>
      </c>
      <c r="AM23" s="505">
        <f>SUM(AG23:AL23)</f>
        <v>866.96199999999999</v>
      </c>
      <c r="AN23" s="625">
        <v>0</v>
      </c>
      <c r="AO23" s="505">
        <f>SUM(AM23:AN23)</f>
        <v>866.96199999999999</v>
      </c>
      <c r="AP23" s="485">
        <f>SUM(AO23:AO23)</f>
        <v>866.96199999999999</v>
      </c>
      <c r="AQ23" s="451"/>
      <c r="AR23" s="523"/>
      <c r="AS23" s="523"/>
      <c r="AT23" s="523"/>
    </row>
    <row r="24" spans="1:46">
      <c r="A24" s="155">
        <v>7</v>
      </c>
      <c r="C24" s="4" t="s">
        <v>42</v>
      </c>
      <c r="D24" s="4"/>
      <c r="E24" s="296">
        <f>'ROO INPUT'!$F24</f>
        <v>-5990</v>
      </c>
      <c r="F24" s="436">
        <v>0</v>
      </c>
      <c r="G24" s="436">
        <v>0</v>
      </c>
      <c r="H24" s="436">
        <v>0</v>
      </c>
      <c r="I24" s="436">
        <v>0</v>
      </c>
      <c r="J24" s="436">
        <v>0</v>
      </c>
      <c r="K24" s="436">
        <v>0</v>
      </c>
      <c r="L24" s="436">
        <v>0</v>
      </c>
      <c r="M24" s="436">
        <v>0</v>
      </c>
      <c r="N24" s="436">
        <v>0</v>
      </c>
      <c r="O24" s="436">
        <v>0</v>
      </c>
      <c r="P24" s="436">
        <v>0</v>
      </c>
      <c r="Q24" s="436">
        <v>0</v>
      </c>
      <c r="R24" s="436">
        <v>0</v>
      </c>
      <c r="S24" s="436">
        <v>5990</v>
      </c>
      <c r="T24" s="436">
        <v>0</v>
      </c>
      <c r="U24" s="436">
        <v>0</v>
      </c>
      <c r="V24" s="436">
        <v>0</v>
      </c>
      <c r="W24" s="436">
        <v>0</v>
      </c>
      <c r="X24" s="437">
        <f>SUM(E24:W24)</f>
        <v>0</v>
      </c>
      <c r="Y24" s="436">
        <v>0</v>
      </c>
      <c r="Z24" s="436">
        <v>0</v>
      </c>
      <c r="AA24" s="436">
        <v>0</v>
      </c>
      <c r="AB24" s="436">
        <v>0</v>
      </c>
      <c r="AC24" s="436">
        <v>0</v>
      </c>
      <c r="AD24" s="436">
        <v>0</v>
      </c>
      <c r="AE24" s="436">
        <v>0</v>
      </c>
      <c r="AF24" s="436">
        <v>0</v>
      </c>
      <c r="AG24" s="496">
        <f>SUM(X24:AF24)</f>
        <v>0</v>
      </c>
      <c r="AH24" s="436">
        <v>0</v>
      </c>
      <c r="AI24" s="436">
        <v>0</v>
      </c>
      <c r="AJ24" s="436">
        <v>0</v>
      </c>
      <c r="AK24" s="436">
        <v>0</v>
      </c>
      <c r="AL24" s="436">
        <v>0</v>
      </c>
      <c r="AM24" s="506">
        <f>SUM(AG24:AL24)</f>
        <v>0</v>
      </c>
      <c r="AN24" s="626">
        <v>0</v>
      </c>
      <c r="AO24" s="506">
        <f>SUM(AM24:AN24)</f>
        <v>0</v>
      </c>
      <c r="AP24" s="486">
        <f>SUM(AO24:AO24)</f>
        <v>0</v>
      </c>
      <c r="AQ24" s="523"/>
      <c r="AR24" s="523"/>
      <c r="AS24" s="523"/>
      <c r="AT24" s="523"/>
    </row>
    <row r="25" spans="1:46">
      <c r="A25" s="155">
        <v>8</v>
      </c>
      <c r="B25" s="4" t="s">
        <v>43</v>
      </c>
      <c r="C25" s="4"/>
      <c r="E25" s="351">
        <f>SUM(E22:E24)</f>
        <v>168111</v>
      </c>
      <c r="F25" s="351">
        <f t="shared" ref="F25:U25" si="19">SUM(F22:F24)</f>
        <v>0</v>
      </c>
      <c r="G25" s="351">
        <f t="shared" si="19"/>
        <v>0</v>
      </c>
      <c r="H25" s="351">
        <f t="shared" si="19"/>
        <v>0</v>
      </c>
      <c r="I25" s="351">
        <f t="shared" si="19"/>
        <v>0</v>
      </c>
      <c r="J25" s="351">
        <f>SUM(J22:J24)</f>
        <v>0</v>
      </c>
      <c r="K25" s="351">
        <f t="shared" si="19"/>
        <v>0</v>
      </c>
      <c r="L25" s="351">
        <f t="shared" si="19"/>
        <v>0</v>
      </c>
      <c r="M25" s="351">
        <f t="shared" si="19"/>
        <v>0</v>
      </c>
      <c r="N25" s="351">
        <f t="shared" si="19"/>
        <v>0</v>
      </c>
      <c r="O25" s="351">
        <f t="shared" ref="O25:P25" si="20">SUM(O22:O24)</f>
        <v>0</v>
      </c>
      <c r="P25" s="351">
        <f t="shared" si="20"/>
        <v>0</v>
      </c>
      <c r="Q25" s="351">
        <f>SUM(Q22:Q24)</f>
        <v>0</v>
      </c>
      <c r="R25" s="351">
        <f>SUM(R22:R24)</f>
        <v>-1278</v>
      </c>
      <c r="S25" s="351">
        <f>SUM(S22:S24)</f>
        <v>-83521</v>
      </c>
      <c r="T25" s="351">
        <f t="shared" ref="T25" si="21">SUM(T22:T24)</f>
        <v>0</v>
      </c>
      <c r="U25" s="351">
        <f t="shared" si="19"/>
        <v>0</v>
      </c>
      <c r="V25" s="351">
        <f>SUM(V22:V24)</f>
        <v>0</v>
      </c>
      <c r="W25" s="351">
        <f>SUM(W22:W24)</f>
        <v>0</v>
      </c>
      <c r="X25" s="434">
        <f>SUM(X22:X24)</f>
        <v>83312</v>
      </c>
      <c r="Y25" s="351">
        <f t="shared" ref="Y25:AB25" si="22">SUM(Y22:Y24)</f>
        <v>27</v>
      </c>
      <c r="Z25" s="351">
        <f t="shared" si="22"/>
        <v>-23.038</v>
      </c>
      <c r="AA25" s="351">
        <f>SUM(AA22:AA24)</f>
        <v>25</v>
      </c>
      <c r="AB25" s="351">
        <f t="shared" si="22"/>
        <v>0</v>
      </c>
      <c r="AC25" s="351">
        <f t="shared" ref="AC25:AG25" si="23">SUM(AC22:AC24)</f>
        <v>0</v>
      </c>
      <c r="AD25" s="351">
        <f t="shared" si="23"/>
        <v>0</v>
      </c>
      <c r="AE25" s="351">
        <f>SUM(AE22:AE24)</f>
        <v>5393</v>
      </c>
      <c r="AF25" s="438">
        <f>SUM(AF22:AF24)</f>
        <v>0</v>
      </c>
      <c r="AG25" s="495">
        <f t="shared" si="23"/>
        <v>88733.962</v>
      </c>
      <c r="AH25" s="303">
        <f t="shared" ref="AH25:AM25" si="24">SUM(AH22:AH24)</f>
        <v>0</v>
      </c>
      <c r="AI25" s="303">
        <f>SUM(AI22:AI24)</f>
        <v>0</v>
      </c>
      <c r="AJ25" s="351">
        <f>SUM(AJ22:AJ24)</f>
        <v>0</v>
      </c>
      <c r="AK25" s="351">
        <f>SUM(AK22:AK24)</f>
        <v>0</v>
      </c>
      <c r="AL25" s="351">
        <f t="shared" ref="AL25" si="25">SUM(AL22:AL24)</f>
        <v>0</v>
      </c>
      <c r="AM25" s="505">
        <f t="shared" si="24"/>
        <v>88733.962</v>
      </c>
      <c r="AN25" s="627">
        <f t="shared" ref="AN25" si="26">SUM(AN22:AN24)</f>
        <v>0</v>
      </c>
      <c r="AO25" s="505">
        <f t="shared" ref="AO25:AP25" si="27">SUM(AO22:AO24)</f>
        <v>88733.962</v>
      </c>
      <c r="AP25" s="485">
        <f t="shared" si="27"/>
        <v>88733.962</v>
      </c>
      <c r="AQ25" s="451"/>
      <c r="AR25" s="523"/>
      <c r="AS25" s="523"/>
      <c r="AT25" s="523"/>
    </row>
    <row r="26" spans="1:46">
      <c r="B26" s="4"/>
      <c r="C26" s="4"/>
      <c r="E26" s="294"/>
      <c r="F26" s="294"/>
      <c r="G26" s="294"/>
      <c r="H26" s="294"/>
      <c r="I26" s="294"/>
      <c r="J26" s="294"/>
      <c r="K26" s="294"/>
      <c r="L26" s="294"/>
      <c r="M26" s="294"/>
      <c r="N26" s="294"/>
      <c r="O26" s="294"/>
      <c r="P26" s="294"/>
      <c r="Q26" s="294"/>
      <c r="R26" s="294"/>
      <c r="S26" s="294"/>
      <c r="T26" s="294"/>
      <c r="U26" s="294"/>
      <c r="V26" s="294"/>
      <c r="W26" s="294"/>
      <c r="X26" s="434"/>
      <c r="Y26" s="294"/>
      <c r="Z26" s="294"/>
      <c r="AA26" s="294"/>
      <c r="AB26" s="294"/>
      <c r="AC26" s="294"/>
      <c r="AD26" s="294"/>
      <c r="AE26" s="294"/>
      <c r="AF26" s="438"/>
      <c r="AG26" s="495"/>
      <c r="AH26" s="438"/>
      <c r="AI26" s="438"/>
      <c r="AJ26" s="351"/>
      <c r="AK26" s="294"/>
      <c r="AL26" s="351"/>
      <c r="AM26" s="505"/>
      <c r="AN26" s="627"/>
      <c r="AO26" s="505"/>
      <c r="AP26" s="485"/>
      <c r="AQ26" s="451"/>
      <c r="AR26" s="523"/>
      <c r="AS26" s="523"/>
      <c r="AT26" s="523"/>
    </row>
    <row r="27" spans="1:46">
      <c r="B27" s="4" t="s">
        <v>44</v>
      </c>
      <c r="D27" s="4"/>
      <c r="E27" s="294"/>
      <c r="F27" s="603"/>
      <c r="G27" s="603"/>
      <c r="H27" s="603"/>
      <c r="I27" s="603"/>
      <c r="J27" s="603"/>
      <c r="K27" s="603"/>
      <c r="L27" s="603"/>
      <c r="M27" s="603"/>
      <c r="N27" s="603"/>
      <c r="O27" s="603"/>
      <c r="P27" s="603"/>
      <c r="Q27" s="603"/>
      <c r="R27" s="603"/>
      <c r="S27" s="603"/>
      <c r="T27" s="603"/>
      <c r="U27" s="603"/>
      <c r="V27" s="603"/>
      <c r="W27" s="603"/>
      <c r="X27" s="434"/>
      <c r="Y27" s="603"/>
      <c r="Z27" s="603"/>
      <c r="AA27" s="603"/>
      <c r="AB27" s="603"/>
      <c r="AC27" s="603"/>
      <c r="AD27" s="603"/>
      <c r="AE27" s="603"/>
      <c r="AF27" s="435"/>
      <c r="AG27" s="495"/>
      <c r="AH27" s="435"/>
      <c r="AI27" s="435"/>
      <c r="AJ27" s="603"/>
      <c r="AK27" s="603"/>
      <c r="AL27" s="603"/>
      <c r="AM27" s="505"/>
      <c r="AN27" s="625"/>
      <c r="AO27" s="505"/>
      <c r="AP27" s="485"/>
      <c r="AQ27" s="451"/>
      <c r="AR27" s="523"/>
      <c r="AS27" s="523"/>
      <c r="AT27" s="523"/>
    </row>
    <row r="28" spans="1:46">
      <c r="A28" s="155">
        <v>9</v>
      </c>
      <c r="C28" s="4" t="s">
        <v>45</v>
      </c>
      <c r="D28" s="4"/>
      <c r="E28" s="294">
        <f>'ROO INPUT'!$F28</f>
        <v>858</v>
      </c>
      <c r="F28" s="603">
        <v>0</v>
      </c>
      <c r="G28" s="603">
        <v>0</v>
      </c>
      <c r="H28" s="603">
        <v>0</v>
      </c>
      <c r="I28" s="603">
        <v>0</v>
      </c>
      <c r="J28" s="603">
        <v>0</v>
      </c>
      <c r="K28" s="603">
        <v>0</v>
      </c>
      <c r="L28" s="603">
        <v>0</v>
      </c>
      <c r="M28" s="603">
        <v>0</v>
      </c>
      <c r="N28" s="603">
        <v>0</v>
      </c>
      <c r="O28" s="603">
        <v>0</v>
      </c>
      <c r="P28" s="603">
        <v>0</v>
      </c>
      <c r="Q28" s="603">
        <v>0</v>
      </c>
      <c r="R28" s="603">
        <v>0</v>
      </c>
      <c r="S28" s="603">
        <v>0</v>
      </c>
      <c r="T28" s="603">
        <v>0</v>
      </c>
      <c r="U28" s="603">
        <v>0</v>
      </c>
      <c r="V28" s="603">
        <v>0</v>
      </c>
      <c r="W28" s="603">
        <v>0</v>
      </c>
      <c r="X28" s="434">
        <f>SUM(E28:W28)</f>
        <v>858</v>
      </c>
      <c r="Y28" s="603">
        <f>405/1000</f>
        <v>0.40500000000000003</v>
      </c>
      <c r="Z28" s="603">
        <v>0</v>
      </c>
      <c r="AA28" s="603">
        <v>-0.20699999999999999</v>
      </c>
      <c r="AB28" s="603">
        <v>0</v>
      </c>
      <c r="AC28" s="603">
        <v>0</v>
      </c>
      <c r="AD28" s="603">
        <v>0</v>
      </c>
      <c r="AE28" s="603">
        <v>0</v>
      </c>
      <c r="AF28" s="435">
        <v>0</v>
      </c>
      <c r="AG28" s="495">
        <f>SUM(X28:AF28)</f>
        <v>858.19799999999998</v>
      </c>
      <c r="AH28" s="435">
        <v>0</v>
      </c>
      <c r="AI28" s="435">
        <v>0</v>
      </c>
      <c r="AJ28" s="603">
        <v>0</v>
      </c>
      <c r="AK28" s="603">
        <v>0</v>
      </c>
      <c r="AL28" s="603">
        <v>0</v>
      </c>
      <c r="AM28" s="505">
        <f>SUM(AG28:AL28)</f>
        <v>858.19799999999998</v>
      </c>
      <c r="AN28" s="625">
        <v>0</v>
      </c>
      <c r="AO28" s="505">
        <f>SUM(AM28:AN28)</f>
        <v>858.19799999999998</v>
      </c>
      <c r="AP28" s="485">
        <f>SUM(AO28:AO28)</f>
        <v>858.19799999999998</v>
      </c>
      <c r="AQ28" s="451"/>
      <c r="AR28" s="523"/>
      <c r="AS28" s="523"/>
      <c r="AT28" s="523"/>
    </row>
    <row r="29" spans="1:46">
      <c r="A29" s="155">
        <v>10</v>
      </c>
      <c r="C29" s="4" t="s">
        <v>216</v>
      </c>
      <c r="D29" s="4"/>
      <c r="E29" s="294">
        <f>'ROO INPUT'!$F29</f>
        <v>392</v>
      </c>
      <c r="F29" s="603">
        <v>0</v>
      </c>
      <c r="G29" s="603">
        <v>0</v>
      </c>
      <c r="H29" s="603">
        <v>0</v>
      </c>
      <c r="I29" s="603">
        <v>0</v>
      </c>
      <c r="J29" s="603">
        <v>0</v>
      </c>
      <c r="K29" s="603">
        <v>0</v>
      </c>
      <c r="L29" s="603">
        <v>0</v>
      </c>
      <c r="M29" s="603">
        <v>0</v>
      </c>
      <c r="N29" s="603">
        <v>0</v>
      </c>
      <c r="O29" s="603">
        <v>0</v>
      </c>
      <c r="P29" s="603">
        <v>0</v>
      </c>
      <c r="Q29" s="603">
        <v>0</v>
      </c>
      <c r="R29" s="603">
        <v>0</v>
      </c>
      <c r="S29" s="603">
        <v>0</v>
      </c>
      <c r="T29" s="603">
        <v>0</v>
      </c>
      <c r="U29" s="603">
        <v>0</v>
      </c>
      <c r="V29" s="603">
        <v>0</v>
      </c>
      <c r="W29" s="603">
        <v>0</v>
      </c>
      <c r="X29" s="434">
        <f>SUM(E29:W29)</f>
        <v>392</v>
      </c>
      <c r="Y29" s="603">
        <v>0</v>
      </c>
      <c r="Z29" s="603">
        <v>0</v>
      </c>
      <c r="AA29" s="603">
        <v>0</v>
      </c>
      <c r="AB29" s="603">
        <v>0</v>
      </c>
      <c r="AC29" s="603">
        <v>0</v>
      </c>
      <c r="AD29" s="603">
        <v>0</v>
      </c>
      <c r="AE29" s="603">
        <v>0</v>
      </c>
      <c r="AF29" s="435">
        <v>14</v>
      </c>
      <c r="AG29" s="495">
        <f>SUM(X29:AF29)</f>
        <v>406</v>
      </c>
      <c r="AH29" s="435">
        <v>12</v>
      </c>
      <c r="AI29" s="435">
        <v>5</v>
      </c>
      <c r="AJ29" s="603">
        <v>0</v>
      </c>
      <c r="AK29" s="603">
        <v>0</v>
      </c>
      <c r="AL29" s="603">
        <v>0</v>
      </c>
      <c r="AM29" s="505">
        <f>SUM(AG29:AL29)</f>
        <v>423</v>
      </c>
      <c r="AN29" s="625">
        <v>0</v>
      </c>
      <c r="AO29" s="505">
        <f>SUM(AM29:AN29)</f>
        <v>423</v>
      </c>
      <c r="AP29" s="485">
        <f>SUM(AO29:AO29)</f>
        <v>423</v>
      </c>
      <c r="AQ29" s="451"/>
      <c r="AR29" s="523"/>
      <c r="AS29" s="523"/>
      <c r="AT29" s="523"/>
    </row>
    <row r="30" spans="1:46">
      <c r="A30" s="155">
        <v>11</v>
      </c>
      <c r="C30" s="4" t="s">
        <v>22</v>
      </c>
      <c r="D30" s="4"/>
      <c r="E30" s="296">
        <f>'ROO INPUT'!$F30</f>
        <v>216</v>
      </c>
      <c r="F30" s="436">
        <v>0</v>
      </c>
      <c r="G30" s="436">
        <v>0</v>
      </c>
      <c r="H30" s="436">
        <v>0</v>
      </c>
      <c r="I30" s="436">
        <v>0</v>
      </c>
      <c r="J30" s="436">
        <v>7</v>
      </c>
      <c r="K30" s="436">
        <v>0</v>
      </c>
      <c r="L30" s="436">
        <v>0</v>
      </c>
      <c r="M30" s="436">
        <v>0</v>
      </c>
      <c r="N30" s="436">
        <v>0</v>
      </c>
      <c r="O30" s="436">
        <v>0</v>
      </c>
      <c r="P30" s="436">
        <v>0</v>
      </c>
      <c r="Q30" s="436">
        <v>0</v>
      </c>
      <c r="R30" s="436">
        <v>0</v>
      </c>
      <c r="S30" s="436">
        <v>0</v>
      </c>
      <c r="T30" s="436">
        <v>0</v>
      </c>
      <c r="U30" s="436">
        <v>0</v>
      </c>
      <c r="V30" s="436">
        <v>0</v>
      </c>
      <c r="W30" s="436">
        <v>0</v>
      </c>
      <c r="X30" s="437">
        <f>SUM(E30:W30)</f>
        <v>223</v>
      </c>
      <c r="Y30" s="436">
        <v>0</v>
      </c>
      <c r="Z30" s="436">
        <v>0</v>
      </c>
      <c r="AA30" s="436">
        <v>0</v>
      </c>
      <c r="AB30" s="436">
        <v>0</v>
      </c>
      <c r="AC30" s="436">
        <v>46</v>
      </c>
      <c r="AD30" s="436">
        <v>0</v>
      </c>
      <c r="AE30" s="436">
        <v>0</v>
      </c>
      <c r="AF30" s="436">
        <v>0</v>
      </c>
      <c r="AG30" s="496">
        <f>SUM(X30:AF30)</f>
        <v>269</v>
      </c>
      <c r="AH30" s="436">
        <v>0</v>
      </c>
      <c r="AI30" s="436">
        <v>0</v>
      </c>
      <c r="AJ30" s="436">
        <v>0</v>
      </c>
      <c r="AK30" s="436">
        <v>0</v>
      </c>
      <c r="AL30" s="436">
        <v>0</v>
      </c>
      <c r="AM30" s="506">
        <f>SUM(AG30:AL30)</f>
        <v>269</v>
      </c>
      <c r="AN30" s="626">
        <v>0</v>
      </c>
      <c r="AO30" s="506">
        <f>SUM(AM30:AN30)</f>
        <v>269</v>
      </c>
      <c r="AP30" s="486">
        <f>SUM(AO30:AO30)</f>
        <v>269</v>
      </c>
      <c r="AQ30" s="523"/>
      <c r="AR30" s="523"/>
      <c r="AS30" s="523"/>
      <c r="AT30" s="523"/>
    </row>
    <row r="31" spans="1:46">
      <c r="A31" s="155">
        <v>12</v>
      </c>
      <c r="B31" s="4" t="s">
        <v>47</v>
      </c>
      <c r="C31" s="4"/>
      <c r="E31" s="294">
        <f t="shared" ref="E31:AB31" si="28">SUM(E28:E30)</f>
        <v>1466</v>
      </c>
      <c r="F31" s="294">
        <f t="shared" si="28"/>
        <v>0</v>
      </c>
      <c r="G31" s="294">
        <f t="shared" si="28"/>
        <v>0</v>
      </c>
      <c r="H31" s="294">
        <f t="shared" si="28"/>
        <v>0</v>
      </c>
      <c r="I31" s="294">
        <f t="shared" si="28"/>
        <v>0</v>
      </c>
      <c r="J31" s="294">
        <f>SUM(J28:J30)</f>
        <v>7</v>
      </c>
      <c r="K31" s="294">
        <f t="shared" si="28"/>
        <v>0</v>
      </c>
      <c r="L31" s="294">
        <f t="shared" si="28"/>
        <v>0</v>
      </c>
      <c r="M31" s="294">
        <f t="shared" si="28"/>
        <v>0</v>
      </c>
      <c r="N31" s="294">
        <f t="shared" si="28"/>
        <v>0</v>
      </c>
      <c r="O31" s="294">
        <f t="shared" ref="O31:P31" si="29">SUM(O28:O30)</f>
        <v>0</v>
      </c>
      <c r="P31" s="294">
        <f t="shared" si="29"/>
        <v>0</v>
      </c>
      <c r="Q31" s="294">
        <f>SUM(Q28:Q30)</f>
        <v>0</v>
      </c>
      <c r="R31" s="294">
        <f>SUM(R28:R30)</f>
        <v>0</v>
      </c>
      <c r="S31" s="294">
        <f>SUM(S28:S30)</f>
        <v>0</v>
      </c>
      <c r="T31" s="294">
        <f t="shared" ref="T31" si="30">SUM(T28:T30)</f>
        <v>0</v>
      </c>
      <c r="U31" s="294">
        <f t="shared" si="28"/>
        <v>0</v>
      </c>
      <c r="V31" s="294">
        <f>SUM(V28:V30)</f>
        <v>0</v>
      </c>
      <c r="W31" s="294">
        <f>SUM(W28:W30)</f>
        <v>0</v>
      </c>
      <c r="X31" s="434">
        <f t="shared" si="28"/>
        <v>1473</v>
      </c>
      <c r="Y31" s="294">
        <f t="shared" si="28"/>
        <v>0.40500000000000003</v>
      </c>
      <c r="Z31" s="294">
        <f t="shared" si="28"/>
        <v>0</v>
      </c>
      <c r="AA31" s="294">
        <f t="shared" si="28"/>
        <v>-0.20699999999999999</v>
      </c>
      <c r="AB31" s="294">
        <f t="shared" si="28"/>
        <v>0</v>
      </c>
      <c r="AC31" s="294">
        <f t="shared" ref="AC31:AG31" si="31">SUM(AC28:AC30)</f>
        <v>46</v>
      </c>
      <c r="AD31" s="294">
        <f t="shared" si="31"/>
        <v>0</v>
      </c>
      <c r="AE31" s="294">
        <f>SUM(AE28:AE30)</f>
        <v>0</v>
      </c>
      <c r="AF31" s="438">
        <f>SUM(AF28:AF30)</f>
        <v>14</v>
      </c>
      <c r="AG31" s="495">
        <f t="shared" si="31"/>
        <v>1533.1979999999999</v>
      </c>
      <c r="AH31" s="438">
        <f t="shared" ref="AH31:AM31" si="32">SUM(AH28:AH30)</f>
        <v>12</v>
      </c>
      <c r="AI31" s="438">
        <f>SUM(AI28:AI30)</f>
        <v>5</v>
      </c>
      <c r="AJ31" s="351">
        <f>SUM(AJ28:AJ30)</f>
        <v>0</v>
      </c>
      <c r="AK31" s="294">
        <f>SUM(AK28:AK30)</f>
        <v>0</v>
      </c>
      <c r="AL31" s="351">
        <f t="shared" ref="AL31" si="33">SUM(AL28:AL30)</f>
        <v>0</v>
      </c>
      <c r="AM31" s="505">
        <f t="shared" si="32"/>
        <v>1550.1979999999999</v>
      </c>
      <c r="AN31" s="627">
        <f t="shared" ref="AN31" si="34">SUM(AN28:AN30)</f>
        <v>0</v>
      </c>
      <c r="AO31" s="505">
        <f t="shared" ref="AO31:AP31" si="35">SUM(AO28:AO30)</f>
        <v>1550.1979999999999</v>
      </c>
      <c r="AP31" s="485">
        <f t="shared" si="35"/>
        <v>1550.1979999999999</v>
      </c>
      <c r="AQ31" s="451"/>
      <c r="AR31" s="523"/>
      <c r="AS31" s="523"/>
      <c r="AT31" s="523"/>
    </row>
    <row r="32" spans="1:46">
      <c r="B32" s="4"/>
      <c r="C32" s="4"/>
      <c r="E32" s="294"/>
      <c r="F32" s="294"/>
      <c r="G32" s="294"/>
      <c r="H32" s="294"/>
      <c r="I32" s="294"/>
      <c r="J32" s="294"/>
      <c r="K32" s="294"/>
      <c r="L32" s="294"/>
      <c r="M32" s="294"/>
      <c r="N32" s="294"/>
      <c r="O32" s="294"/>
      <c r="P32" s="294"/>
      <c r="Q32" s="294"/>
      <c r="R32" s="294"/>
      <c r="S32" s="294"/>
      <c r="T32" s="294"/>
      <c r="U32" s="294"/>
      <c r="V32" s="294"/>
      <c r="W32" s="294"/>
      <c r="X32" s="434"/>
      <c r="Y32" s="294"/>
      <c r="Z32" s="294"/>
      <c r="AA32" s="294"/>
      <c r="AB32" s="294"/>
      <c r="AC32" s="294"/>
      <c r="AD32" s="294"/>
      <c r="AE32" s="294"/>
      <c r="AF32" s="438"/>
      <c r="AG32" s="495"/>
      <c r="AH32" s="438"/>
      <c r="AI32" s="438"/>
      <c r="AJ32" s="351"/>
      <c r="AK32" s="294"/>
      <c r="AL32" s="351"/>
      <c r="AM32" s="505"/>
      <c r="AN32" s="627"/>
      <c r="AO32" s="505"/>
      <c r="AP32" s="485"/>
      <c r="AQ32" s="451"/>
      <c r="AR32" s="523"/>
      <c r="AS32" s="523"/>
      <c r="AT32" s="523"/>
    </row>
    <row r="33" spans="1:46">
      <c r="B33" s="4" t="s">
        <v>48</v>
      </c>
      <c r="D33" s="4"/>
      <c r="E33" s="294"/>
      <c r="F33" s="603"/>
      <c r="G33" s="603"/>
      <c r="H33" s="603"/>
      <c r="I33" s="603"/>
      <c r="J33" s="603"/>
      <c r="K33" s="603"/>
      <c r="L33" s="603"/>
      <c r="M33" s="603"/>
      <c r="N33" s="603"/>
      <c r="O33" s="603"/>
      <c r="P33" s="603"/>
      <c r="Q33" s="603"/>
      <c r="R33" s="603"/>
      <c r="S33" s="603"/>
      <c r="T33" s="603"/>
      <c r="U33" s="603"/>
      <c r="V33" s="603"/>
      <c r="W33" s="603"/>
      <c r="X33" s="434"/>
      <c r="Y33" s="603"/>
      <c r="Z33" s="603"/>
      <c r="AA33" s="603"/>
      <c r="AB33" s="603"/>
      <c r="AC33" s="603"/>
      <c r="AD33" s="603"/>
      <c r="AE33" s="603"/>
      <c r="AF33" s="435"/>
      <c r="AG33" s="495"/>
      <c r="AH33" s="435"/>
      <c r="AI33" s="435"/>
      <c r="AJ33" s="603"/>
      <c r="AK33" s="603"/>
      <c r="AL33" s="603"/>
      <c r="AM33" s="505"/>
      <c r="AN33" s="625"/>
      <c r="AO33" s="505"/>
      <c r="AP33" s="485"/>
      <c r="AQ33" s="451"/>
      <c r="AR33" s="523"/>
      <c r="AS33" s="523"/>
      <c r="AT33" s="523"/>
    </row>
    <row r="34" spans="1:46">
      <c r="A34" s="155">
        <v>13</v>
      </c>
      <c r="C34" s="4" t="s">
        <v>45</v>
      </c>
      <c r="D34" s="4"/>
      <c r="E34" s="294">
        <f>'ROO INPUT'!$F34</f>
        <v>10666</v>
      </c>
      <c r="F34" s="603">
        <v>0</v>
      </c>
      <c r="G34" s="603">
        <v>0</v>
      </c>
      <c r="H34" s="603">
        <v>0</v>
      </c>
      <c r="I34" s="603">
        <v>0</v>
      </c>
      <c r="J34" s="603">
        <v>0</v>
      </c>
      <c r="K34" s="603">
        <v>0</v>
      </c>
      <c r="L34" s="603">
        <v>0</v>
      </c>
      <c r="M34" s="603">
        <v>0</v>
      </c>
      <c r="N34" s="603">
        <v>0</v>
      </c>
      <c r="O34" s="603">
        <v>0</v>
      </c>
      <c r="P34" s="603">
        <v>0</v>
      </c>
      <c r="Q34" s="603">
        <v>0</v>
      </c>
      <c r="R34" s="603">
        <v>0</v>
      </c>
      <c r="S34" s="603">
        <v>0</v>
      </c>
      <c r="T34" s="603">
        <v>0</v>
      </c>
      <c r="U34" s="603">
        <v>0</v>
      </c>
      <c r="V34" s="603">
        <v>0</v>
      </c>
      <c r="W34" s="603">
        <v>0</v>
      </c>
      <c r="X34" s="434">
        <f>SUM(E34:W34)</f>
        <v>10666</v>
      </c>
      <c r="Y34" s="603">
        <v>343</v>
      </c>
      <c r="AA34" s="603">
        <v>318</v>
      </c>
      <c r="AB34" s="603">
        <v>0</v>
      </c>
      <c r="AC34" s="603">
        <v>0</v>
      </c>
      <c r="AD34" s="603">
        <v>0</v>
      </c>
      <c r="AE34" s="603">
        <v>0</v>
      </c>
      <c r="AF34" s="435">
        <v>0</v>
      </c>
      <c r="AG34" s="495">
        <f>SUM(X34:AF34)</f>
        <v>11327</v>
      </c>
      <c r="AH34" s="435">
        <v>0</v>
      </c>
      <c r="AI34" s="435">
        <v>0</v>
      </c>
      <c r="AJ34" s="603">
        <v>0</v>
      </c>
      <c r="AK34" s="603">
        <v>-42</v>
      </c>
      <c r="AL34" s="603">
        <v>707</v>
      </c>
      <c r="AM34" s="505">
        <f>SUM(AG34:AL34)</f>
        <v>11992</v>
      </c>
      <c r="AN34" s="625">
        <v>0</v>
      </c>
      <c r="AO34" s="505">
        <f>SUM(AM34:AN34)</f>
        <v>11992</v>
      </c>
      <c r="AP34" s="485">
        <f>SUM(AO34:AO34)</f>
        <v>11992</v>
      </c>
      <c r="AQ34" s="451"/>
      <c r="AR34" s="523"/>
      <c r="AS34" s="523"/>
      <c r="AT34" s="523"/>
    </row>
    <row r="35" spans="1:46" ht="15.75" customHeight="1">
      <c r="A35" s="155">
        <v>14</v>
      </c>
      <c r="C35" s="4" t="s">
        <v>216</v>
      </c>
      <c r="D35" s="4"/>
      <c r="E35" s="351">
        <f>'ROO INPUT'!$F35</f>
        <v>8386</v>
      </c>
      <c r="F35" s="603">
        <v>0</v>
      </c>
      <c r="G35" s="603">
        <v>0</v>
      </c>
      <c r="H35" s="603">
        <v>0</v>
      </c>
      <c r="I35" s="603">
        <v>0</v>
      </c>
      <c r="J35" s="603">
        <v>0</v>
      </c>
      <c r="K35" s="603">
        <v>0</v>
      </c>
      <c r="L35" s="603">
        <v>0</v>
      </c>
      <c r="M35" s="603">
        <v>0</v>
      </c>
      <c r="N35" s="603">
        <v>0</v>
      </c>
      <c r="O35" s="603">
        <v>0</v>
      </c>
      <c r="P35" s="603">
        <v>0</v>
      </c>
      <c r="Q35" s="603">
        <v>-5</v>
      </c>
      <c r="R35" s="603">
        <v>0</v>
      </c>
      <c r="S35" s="603">
        <v>0</v>
      </c>
      <c r="T35" s="603">
        <v>0</v>
      </c>
      <c r="U35" s="603">
        <v>0</v>
      </c>
      <c r="V35" s="603">
        <v>0</v>
      </c>
      <c r="W35" s="603">
        <v>0</v>
      </c>
      <c r="X35" s="434">
        <f>SUM(E35:W35)</f>
        <v>8381</v>
      </c>
      <c r="Y35" s="603">
        <v>0</v>
      </c>
      <c r="Z35" s="603">
        <v>0</v>
      </c>
      <c r="AA35" s="603">
        <v>0</v>
      </c>
      <c r="AB35" s="603">
        <v>0</v>
      </c>
      <c r="AC35" s="603">
        <v>0</v>
      </c>
      <c r="AD35" s="603">
        <v>0</v>
      </c>
      <c r="AE35" s="603">
        <v>0</v>
      </c>
      <c r="AF35" s="435">
        <v>399</v>
      </c>
      <c r="AG35" s="495">
        <f>SUM(X35:AF35)</f>
        <v>8780</v>
      </c>
      <c r="AH35" s="435">
        <v>461</v>
      </c>
      <c r="AI35" s="435">
        <v>333</v>
      </c>
      <c r="AJ35" s="603">
        <v>0</v>
      </c>
      <c r="AK35" s="603">
        <v>0</v>
      </c>
      <c r="AL35" s="603">
        <v>0</v>
      </c>
      <c r="AM35" s="505">
        <f>SUM(AG35:AL35)</f>
        <v>9574</v>
      </c>
      <c r="AN35" s="625">
        <v>0</v>
      </c>
      <c r="AO35" s="505">
        <f>SUM(AM35:AN35)</f>
        <v>9574</v>
      </c>
      <c r="AP35" s="485">
        <f>SUM(AO35:AO35)</f>
        <v>9574</v>
      </c>
      <c r="AQ35" s="451"/>
      <c r="AR35" s="523"/>
      <c r="AS35" s="523"/>
      <c r="AT35" s="523"/>
    </row>
    <row r="36" spans="1:46">
      <c r="A36" s="155">
        <v>15</v>
      </c>
      <c r="C36" s="4" t="s">
        <v>22</v>
      </c>
      <c r="D36" s="4"/>
      <c r="E36" s="296">
        <f>'ROO INPUT'!$F36</f>
        <v>14954</v>
      </c>
      <c r="F36" s="436">
        <v>0</v>
      </c>
      <c r="G36" s="436">
        <v>0</v>
      </c>
      <c r="H36" s="436">
        <v>0</v>
      </c>
      <c r="I36" s="436">
        <v>-6183</v>
      </c>
      <c r="J36" s="436">
        <v>73</v>
      </c>
      <c r="K36" s="436">
        <v>0</v>
      </c>
      <c r="L36" s="436">
        <v>0</v>
      </c>
      <c r="M36" s="436">
        <v>0</v>
      </c>
      <c r="N36" s="436">
        <v>0</v>
      </c>
      <c r="O36" s="436">
        <v>0</v>
      </c>
      <c r="P36" s="436">
        <v>328</v>
      </c>
      <c r="Q36" s="436">
        <v>0</v>
      </c>
      <c r="R36" s="436">
        <f>ROUND((R$15+R$16)*CF!$E$19,0)</f>
        <v>-82</v>
      </c>
      <c r="S36" s="436">
        <f>ROUND((S$15+S$16)*CF!$E$19,0)</f>
        <v>-232</v>
      </c>
      <c r="T36" s="436">
        <v>0</v>
      </c>
      <c r="U36" s="436">
        <v>0</v>
      </c>
      <c r="V36" s="436">
        <v>0</v>
      </c>
      <c r="W36" s="436">
        <v>0</v>
      </c>
      <c r="X36" s="437">
        <f>SUM(E36:W36)</f>
        <v>8858</v>
      </c>
      <c r="Y36" s="436">
        <v>0</v>
      </c>
      <c r="Z36" s="436">
        <v>0</v>
      </c>
      <c r="AA36" s="436">
        <v>0</v>
      </c>
      <c r="AB36" s="436">
        <v>0</v>
      </c>
      <c r="AC36" s="436">
        <v>461</v>
      </c>
      <c r="AD36" s="436">
        <v>0</v>
      </c>
      <c r="AE36" s="436">
        <f>ROUND((AE$15+AE$16)*CF!$E$19,0)</f>
        <v>558</v>
      </c>
      <c r="AF36" s="436">
        <v>0</v>
      </c>
      <c r="AG36" s="496">
        <f>SUM(X36:AF36)</f>
        <v>9877</v>
      </c>
      <c r="AH36" s="436">
        <v>0</v>
      </c>
      <c r="AI36" s="436">
        <v>0</v>
      </c>
      <c r="AJ36" s="436">
        <v>0</v>
      </c>
      <c r="AK36" s="436">
        <v>0</v>
      </c>
      <c r="AL36" s="436">
        <v>0</v>
      </c>
      <c r="AM36" s="506">
        <f>SUM(AG36:AL36)</f>
        <v>9877</v>
      </c>
      <c r="AN36" s="626">
        <v>0</v>
      </c>
      <c r="AO36" s="506">
        <f>SUM(AM36:AN36)</f>
        <v>9877</v>
      </c>
      <c r="AP36" s="486">
        <f>SUM(AO36:AO36)</f>
        <v>9877</v>
      </c>
      <c r="AQ36" s="523"/>
      <c r="AR36" s="523"/>
      <c r="AS36" s="523"/>
      <c r="AT36" s="523"/>
    </row>
    <row r="37" spans="1:46" ht="12.95" customHeight="1">
      <c r="A37" s="155">
        <v>16</v>
      </c>
      <c r="B37" s="4" t="s">
        <v>49</v>
      </c>
      <c r="C37" s="4"/>
      <c r="E37" s="294">
        <f t="shared" ref="E37:N37" si="36">SUM(E34:E36)</f>
        <v>34006</v>
      </c>
      <c r="F37" s="294">
        <f t="shared" si="36"/>
        <v>0</v>
      </c>
      <c r="G37" s="294">
        <f t="shared" si="36"/>
        <v>0</v>
      </c>
      <c r="H37" s="294">
        <f t="shared" si="36"/>
        <v>0</v>
      </c>
      <c r="I37" s="294">
        <f t="shared" si="36"/>
        <v>-6183</v>
      </c>
      <c r="J37" s="294">
        <f>SUM(J34:J36)</f>
        <v>73</v>
      </c>
      <c r="K37" s="294">
        <f t="shared" si="36"/>
        <v>0</v>
      </c>
      <c r="L37" s="294">
        <f t="shared" si="36"/>
        <v>0</v>
      </c>
      <c r="M37" s="294">
        <f t="shared" si="36"/>
        <v>0</v>
      </c>
      <c r="N37" s="294">
        <f t="shared" si="36"/>
        <v>0</v>
      </c>
      <c r="O37" s="294">
        <f t="shared" ref="O37:P37" si="37">SUM(O34:O36)</f>
        <v>0</v>
      </c>
      <c r="P37" s="294">
        <f t="shared" si="37"/>
        <v>328</v>
      </c>
      <c r="Q37" s="294">
        <f>SUM(Q34:Q36)</f>
        <v>-5</v>
      </c>
      <c r="R37" s="294">
        <f>SUM(R34:R36)</f>
        <v>-82</v>
      </c>
      <c r="S37" s="294">
        <f>SUM(S34:S36)</f>
        <v>-232</v>
      </c>
      <c r="T37" s="294">
        <f>SUM(T34:T36)</f>
        <v>0</v>
      </c>
      <c r="U37" s="294">
        <f>SUM(U34:U36)</f>
        <v>0</v>
      </c>
      <c r="V37" s="294">
        <f t="shared" ref="V37" si="38">SUM(V34:V36)</f>
        <v>0</v>
      </c>
      <c r="W37" s="294">
        <f>SUM(W34:W36)</f>
        <v>0</v>
      </c>
      <c r="X37" s="434">
        <f>SUM(X34:X36)</f>
        <v>27905</v>
      </c>
      <c r="Y37" s="294">
        <f>SUM(Y34:Y36)</f>
        <v>343</v>
      </c>
      <c r="Z37" s="294">
        <f>SUM(Z34:Z36)</f>
        <v>0</v>
      </c>
      <c r="AA37" s="294">
        <f t="shared" ref="AA37:AG37" si="39">SUM(AA34:AA36)</f>
        <v>318</v>
      </c>
      <c r="AB37" s="294">
        <f t="shared" si="39"/>
        <v>0</v>
      </c>
      <c r="AC37" s="294">
        <f t="shared" si="39"/>
        <v>461</v>
      </c>
      <c r="AD37" s="294">
        <f>SUM(AD34:AD36)</f>
        <v>0</v>
      </c>
      <c r="AE37" s="294">
        <f>SUM(AE34:AE36)</f>
        <v>558</v>
      </c>
      <c r="AF37" s="438">
        <f>SUM(AF34:AF36)</f>
        <v>399</v>
      </c>
      <c r="AG37" s="495">
        <f t="shared" si="39"/>
        <v>29984</v>
      </c>
      <c r="AH37" s="438">
        <f t="shared" ref="AH37:AM37" si="40">SUM(AH34:AH36)</f>
        <v>461</v>
      </c>
      <c r="AI37" s="438">
        <f>SUM(AI34:AI36)</f>
        <v>333</v>
      </c>
      <c r="AJ37" s="351">
        <f>SUM(AJ34:AJ36)</f>
        <v>0</v>
      </c>
      <c r="AK37" s="294">
        <f>SUM(AK34:AK36)</f>
        <v>-42</v>
      </c>
      <c r="AL37" s="351">
        <f t="shared" ref="AL37" si="41">SUM(AL34:AL36)</f>
        <v>707</v>
      </c>
      <c r="AM37" s="505">
        <f t="shared" si="40"/>
        <v>31443</v>
      </c>
      <c r="AN37" s="627">
        <f t="shared" ref="AN37" si="42">SUM(AN34:AN36)</f>
        <v>0</v>
      </c>
      <c r="AO37" s="505">
        <f t="shared" ref="AO37:AP37" si="43">SUM(AO34:AO36)</f>
        <v>31443</v>
      </c>
      <c r="AP37" s="485">
        <f t="shared" si="43"/>
        <v>31443</v>
      </c>
      <c r="AQ37" s="451"/>
      <c r="AR37" s="523"/>
      <c r="AS37" s="523"/>
      <c r="AT37" s="523"/>
    </row>
    <row r="38" spans="1:46" ht="12.95" customHeight="1">
      <c r="C38" s="4"/>
      <c r="D38" s="4"/>
      <c r="E38" s="294"/>
      <c r="F38" s="294"/>
      <c r="G38" s="294"/>
      <c r="H38" s="294"/>
      <c r="I38" s="294"/>
      <c r="J38" s="294"/>
      <c r="K38" s="294"/>
      <c r="L38" s="294"/>
      <c r="M38" s="294"/>
      <c r="N38" s="294"/>
      <c r="O38" s="294"/>
      <c r="P38" s="294"/>
      <c r="Q38" s="294"/>
      <c r="R38" s="294"/>
      <c r="S38" s="294"/>
      <c r="T38" s="294"/>
      <c r="U38" s="294"/>
      <c r="V38" s="294"/>
      <c r="W38" s="294"/>
      <c r="X38" s="434"/>
      <c r="Y38" s="294"/>
      <c r="Z38" s="294"/>
      <c r="AA38" s="294"/>
      <c r="AB38" s="294"/>
      <c r="AC38" s="294"/>
      <c r="AD38" s="294"/>
      <c r="AE38" s="294"/>
      <c r="AF38" s="438"/>
      <c r="AG38" s="495"/>
      <c r="AH38" s="438"/>
      <c r="AI38" s="438"/>
      <c r="AJ38" s="351"/>
      <c r="AK38" s="294"/>
      <c r="AL38" s="351"/>
      <c r="AM38" s="505"/>
      <c r="AN38" s="627"/>
      <c r="AO38" s="505"/>
      <c r="AP38" s="485"/>
      <c r="AQ38" s="451"/>
      <c r="AR38" s="523"/>
      <c r="AS38" s="523"/>
      <c r="AT38" s="523"/>
    </row>
    <row r="39" spans="1:46" ht="12.95" customHeight="1">
      <c r="A39" s="155">
        <v>17</v>
      </c>
      <c r="B39" s="1" t="s">
        <v>50</v>
      </c>
      <c r="C39" s="4"/>
      <c r="D39" s="4"/>
      <c r="E39" s="294">
        <f>'ROO INPUT'!$F39</f>
        <v>6550</v>
      </c>
      <c r="F39" s="435">
        <v>0</v>
      </c>
      <c r="G39" s="435">
        <v>0</v>
      </c>
      <c r="H39" s="435">
        <v>0</v>
      </c>
      <c r="I39" s="435">
        <v>0</v>
      </c>
      <c r="J39" s="435"/>
      <c r="K39" s="435">
        <v>-150</v>
      </c>
      <c r="L39" s="435">
        <v>0</v>
      </c>
      <c r="M39" s="435">
        <v>0</v>
      </c>
      <c r="N39" s="435">
        <v>0</v>
      </c>
      <c r="O39" s="435">
        <v>0</v>
      </c>
      <c r="P39" s="435">
        <v>0</v>
      </c>
      <c r="Q39" s="435">
        <v>0</v>
      </c>
      <c r="R39" s="603">
        <f>ROUND((R$15+R$16)*CF!$E$15,0)</f>
        <v>-12</v>
      </c>
      <c r="S39" s="603">
        <f>ROUND((S$15+S$16)*CF!$E$15,0)</f>
        <v>-34</v>
      </c>
      <c r="T39" s="603">
        <v>0</v>
      </c>
      <c r="U39" s="603">
        <v>0</v>
      </c>
      <c r="V39" s="603">
        <v>0</v>
      </c>
      <c r="W39" s="294">
        <v>0</v>
      </c>
      <c r="X39" s="434">
        <f>SUM(E39:W39)</f>
        <v>6354</v>
      </c>
      <c r="Y39" s="603">
        <v>186</v>
      </c>
      <c r="Z39" s="603">
        <v>0</v>
      </c>
      <c r="AA39" s="603">
        <v>172</v>
      </c>
      <c r="AB39" s="603">
        <v>0</v>
      </c>
      <c r="AC39" s="603"/>
      <c r="AD39" s="603"/>
      <c r="AE39" s="603">
        <f>ROUND((AE$15+AE$16)*CF!$E$15,0)</f>
        <v>82</v>
      </c>
      <c r="AF39" s="435">
        <v>0</v>
      </c>
      <c r="AG39" s="495">
        <f>SUM(X39:AF39)</f>
        <v>6794</v>
      </c>
      <c r="AH39" s="435">
        <v>0</v>
      </c>
      <c r="AI39" s="435">
        <v>0</v>
      </c>
      <c r="AJ39" s="435">
        <v>0</v>
      </c>
      <c r="AK39" s="603">
        <v>0</v>
      </c>
      <c r="AL39" s="435">
        <v>0</v>
      </c>
      <c r="AM39" s="505">
        <f>SUM(AG39:AL39)</f>
        <v>6794</v>
      </c>
      <c r="AN39" s="625">
        <v>0</v>
      </c>
      <c r="AO39" s="505">
        <f>SUM(AM39:AN39)</f>
        <v>6794</v>
      </c>
      <c r="AP39" s="485">
        <f>SUM(AO39:AO39)</f>
        <v>6794</v>
      </c>
      <c r="AQ39" s="451"/>
      <c r="AR39" s="523"/>
      <c r="AS39" s="523"/>
      <c r="AT39" s="523"/>
    </row>
    <row r="40" spans="1:46">
      <c r="A40" s="155">
        <v>18</v>
      </c>
      <c r="B40" s="1" t="s">
        <v>51</v>
      </c>
      <c r="C40" s="4"/>
      <c r="D40" s="4"/>
      <c r="E40" s="294">
        <f>'ROO INPUT'!$F40</f>
        <v>6427</v>
      </c>
      <c r="F40" s="603">
        <v>0</v>
      </c>
      <c r="G40" s="603">
        <v>1</v>
      </c>
      <c r="H40" s="603">
        <v>0</v>
      </c>
      <c r="I40" s="603">
        <v>0</v>
      </c>
      <c r="J40" s="603">
        <v>0</v>
      </c>
      <c r="K40" s="603">
        <v>0</v>
      </c>
      <c r="L40" s="603">
        <v>0</v>
      </c>
      <c r="M40" s="603">
        <v>0</v>
      </c>
      <c r="N40" s="603">
        <v>0</v>
      </c>
      <c r="O40" s="603">
        <v>0</v>
      </c>
      <c r="P40" s="603">
        <v>0</v>
      </c>
      <c r="Q40" s="603">
        <v>0</v>
      </c>
      <c r="R40" s="603">
        <v>0</v>
      </c>
      <c r="S40" s="603">
        <v>-5494</v>
      </c>
      <c r="T40" s="603">
        <v>-1</v>
      </c>
      <c r="U40" s="603">
        <v>0</v>
      </c>
      <c r="V40" s="603">
        <v>0</v>
      </c>
      <c r="W40" s="603">
        <v>0</v>
      </c>
      <c r="X40" s="434">
        <f>SUM(E40:W40)</f>
        <v>933</v>
      </c>
      <c r="Y40" s="603">
        <v>17</v>
      </c>
      <c r="Z40" s="603">
        <v>0</v>
      </c>
      <c r="AA40" s="603">
        <v>16</v>
      </c>
      <c r="AB40" s="603">
        <v>0</v>
      </c>
      <c r="AC40" s="603">
        <v>0</v>
      </c>
      <c r="AD40" s="603">
        <v>0</v>
      </c>
      <c r="AE40" s="603">
        <v>0</v>
      </c>
      <c r="AF40" s="435">
        <v>0</v>
      </c>
      <c r="AG40" s="495">
        <f>SUM(X40:AF40)</f>
        <v>966</v>
      </c>
      <c r="AH40" s="435">
        <v>0</v>
      </c>
      <c r="AI40" s="435">
        <v>0</v>
      </c>
      <c r="AJ40" s="603">
        <v>0</v>
      </c>
      <c r="AK40" s="603">
        <v>0</v>
      </c>
      <c r="AL40" s="603">
        <v>0</v>
      </c>
      <c r="AM40" s="505">
        <f>SUM(AG40:AL40)</f>
        <v>966</v>
      </c>
      <c r="AN40" s="625">
        <v>0</v>
      </c>
      <c r="AO40" s="505">
        <f>SUM(AM40:AN40)</f>
        <v>966</v>
      </c>
      <c r="AP40" s="485">
        <f>SUM(AO40:AO40)</f>
        <v>966</v>
      </c>
      <c r="AQ40" s="451"/>
      <c r="AR40" s="523"/>
      <c r="AS40" s="523"/>
      <c r="AT40" s="523"/>
    </row>
    <row r="41" spans="1:46">
      <c r="A41" s="155">
        <v>19</v>
      </c>
      <c r="B41" s="1" t="s">
        <v>52</v>
      </c>
      <c r="C41" s="4"/>
      <c r="D41" s="4"/>
      <c r="E41" s="294">
        <f>'ROO INPUT'!$F41</f>
        <v>0</v>
      </c>
      <c r="F41" s="603">
        <v>0</v>
      </c>
      <c r="G41" s="603">
        <v>0</v>
      </c>
      <c r="H41" s="603">
        <v>0</v>
      </c>
      <c r="I41" s="603">
        <v>0</v>
      </c>
      <c r="J41" s="603">
        <v>0</v>
      </c>
      <c r="K41" s="603">
        <v>0</v>
      </c>
      <c r="L41" s="603">
        <v>0</v>
      </c>
      <c r="M41" s="603">
        <v>0</v>
      </c>
      <c r="N41" s="603">
        <v>0</v>
      </c>
      <c r="O41" s="603">
        <v>0</v>
      </c>
      <c r="P41" s="603">
        <v>0</v>
      </c>
      <c r="Q41" s="603">
        <v>0</v>
      </c>
      <c r="R41" s="603">
        <v>0</v>
      </c>
      <c r="S41" s="603">
        <v>0</v>
      </c>
      <c r="T41" s="603">
        <v>0</v>
      </c>
      <c r="U41" s="603">
        <v>0</v>
      </c>
      <c r="V41" s="603">
        <v>0</v>
      </c>
      <c r="W41" s="603">
        <v>0</v>
      </c>
      <c r="X41" s="434">
        <f>SUM(E41:W41)</f>
        <v>0</v>
      </c>
      <c r="Y41" s="603">
        <f>130/1000</f>
        <v>0.13</v>
      </c>
      <c r="Z41" s="603">
        <v>0</v>
      </c>
      <c r="AA41" s="603">
        <v>1</v>
      </c>
      <c r="AB41" s="603">
        <v>0</v>
      </c>
      <c r="AC41" s="603">
        <v>0</v>
      </c>
      <c r="AD41" s="603">
        <v>0</v>
      </c>
      <c r="AE41" s="603">
        <v>0</v>
      </c>
      <c r="AF41" s="435">
        <v>0</v>
      </c>
      <c r="AG41" s="495">
        <f>SUM(X41:AF41)</f>
        <v>1.1299999999999999</v>
      </c>
      <c r="AH41" s="435">
        <v>0</v>
      </c>
      <c r="AI41" s="435">
        <v>0</v>
      </c>
      <c r="AJ41" s="603">
        <v>0</v>
      </c>
      <c r="AK41" s="603">
        <v>0</v>
      </c>
      <c r="AL41" s="603">
        <v>0</v>
      </c>
      <c r="AM41" s="505">
        <f>SUM(AG41:AL41)</f>
        <v>1.1299999999999999</v>
      </c>
      <c r="AN41" s="625">
        <v>0</v>
      </c>
      <c r="AO41" s="505">
        <f>SUM(AM41:AN41)</f>
        <v>1.1299999999999999</v>
      </c>
      <c r="AP41" s="485">
        <f>SUM(AO41:AO41)</f>
        <v>1.1299999999999999</v>
      </c>
      <c r="AQ41" s="451"/>
      <c r="AR41" s="523"/>
      <c r="AS41" s="523"/>
      <c r="AT41" s="523"/>
    </row>
    <row r="42" spans="1:46">
      <c r="C42" s="4"/>
      <c r="D42" s="4"/>
      <c r="E42" s="294"/>
      <c r="F42" s="603"/>
      <c r="G42" s="603"/>
      <c r="H42" s="603"/>
      <c r="I42" s="603"/>
      <c r="J42" s="603"/>
      <c r="K42" s="603"/>
      <c r="L42" s="603"/>
      <c r="M42" s="603"/>
      <c r="N42" s="603"/>
      <c r="O42" s="603"/>
      <c r="P42" s="603"/>
      <c r="Q42" s="603"/>
      <c r="R42" s="603"/>
      <c r="S42" s="603"/>
      <c r="T42" s="603"/>
      <c r="U42" s="603"/>
      <c r="V42" s="603"/>
      <c r="W42" s="603"/>
      <c r="X42" s="434"/>
      <c r="Y42" s="603"/>
      <c r="Z42" s="603"/>
      <c r="AA42" s="603"/>
      <c r="AB42" s="603"/>
      <c r="AC42" s="603"/>
      <c r="AD42" s="603"/>
      <c r="AE42" s="603"/>
      <c r="AF42" s="435"/>
      <c r="AG42" s="495"/>
      <c r="AH42" s="435"/>
      <c r="AI42" s="435"/>
      <c r="AJ42" s="603"/>
      <c r="AK42" s="603"/>
      <c r="AL42" s="603"/>
      <c r="AM42" s="505"/>
      <c r="AN42" s="625"/>
      <c r="AO42" s="505"/>
      <c r="AP42" s="485"/>
      <c r="AQ42" s="451"/>
      <c r="AR42" s="523"/>
      <c r="AS42" s="523"/>
      <c r="AT42" s="523"/>
    </row>
    <row r="43" spans="1:46">
      <c r="B43" s="1" t="s">
        <v>53</v>
      </c>
      <c r="C43" s="4"/>
      <c r="D43" s="4"/>
      <c r="E43" s="294"/>
      <c r="F43" s="603"/>
      <c r="G43" s="603"/>
      <c r="H43" s="603"/>
      <c r="I43" s="603"/>
      <c r="J43" s="603"/>
      <c r="K43" s="603"/>
      <c r="L43" s="603"/>
      <c r="M43" s="603"/>
      <c r="N43" s="603"/>
      <c r="O43" s="603"/>
      <c r="P43" s="603"/>
      <c r="Q43" s="603"/>
      <c r="R43" s="603"/>
      <c r="S43" s="603"/>
      <c r="T43" s="603"/>
      <c r="U43" s="603"/>
      <c r="V43" s="603"/>
      <c r="W43" s="603"/>
      <c r="X43" s="434">
        <f>SUM(E43:W43)</f>
        <v>0</v>
      </c>
      <c r="Y43" s="603"/>
      <c r="Z43" s="603"/>
      <c r="AA43" s="603"/>
      <c r="AB43" s="603"/>
      <c r="AC43" s="603"/>
      <c r="AD43" s="603"/>
      <c r="AE43" s="603"/>
      <c r="AF43" s="435"/>
      <c r="AG43" s="495"/>
      <c r="AH43" s="435"/>
      <c r="AI43" s="435"/>
      <c r="AJ43" s="603"/>
      <c r="AK43" s="603"/>
      <c r="AL43" s="603"/>
      <c r="AM43" s="505"/>
      <c r="AN43" s="625"/>
      <c r="AO43" s="505"/>
      <c r="AP43" s="485"/>
      <c r="AQ43" s="451"/>
      <c r="AR43" s="523"/>
      <c r="AS43" s="523"/>
      <c r="AT43" s="523"/>
    </row>
    <row r="44" spans="1:46">
      <c r="A44" s="155">
        <v>20</v>
      </c>
      <c r="C44" s="4" t="s">
        <v>45</v>
      </c>
      <c r="D44" s="4"/>
      <c r="E44" s="294">
        <f>'ROO INPUT'!$F44</f>
        <v>11883</v>
      </c>
      <c r="F44" s="603">
        <v>0</v>
      </c>
      <c r="G44" s="603">
        <v>0</v>
      </c>
      <c r="H44" s="603">
        <v>0</v>
      </c>
      <c r="I44" s="603">
        <v>0</v>
      </c>
      <c r="J44" s="603">
        <v>0</v>
      </c>
      <c r="K44" s="603">
        <v>0</v>
      </c>
      <c r="L44" s="603">
        <v>32</v>
      </c>
      <c r="M44" s="603">
        <v>280</v>
      </c>
      <c r="N44" s="603">
        <v>0</v>
      </c>
      <c r="O44" s="603">
        <v>-2</v>
      </c>
      <c r="P44" s="603">
        <v>0</v>
      </c>
      <c r="Q44" s="603">
        <v>0</v>
      </c>
      <c r="R44" s="603">
        <f>ROUND((R$15+R$16)*CF!$E$17,0)</f>
        <v>-4</v>
      </c>
      <c r="S44" s="603">
        <f>ROUND((S$15+S$16)*CF!$E$17,0)</f>
        <v>-12</v>
      </c>
      <c r="T44" s="603">
        <v>6</v>
      </c>
      <c r="U44" s="603">
        <v>-333</v>
      </c>
      <c r="V44" s="603">
        <v>0</v>
      </c>
      <c r="W44" s="603">
        <v>0</v>
      </c>
      <c r="X44" s="434">
        <f>SUM(E44:W44)</f>
        <v>11850</v>
      </c>
      <c r="Y44" s="603">
        <v>580</v>
      </c>
      <c r="Z44" s="603">
        <v>73</v>
      </c>
      <c r="AA44" s="603">
        <v>185</v>
      </c>
      <c r="AB44" s="603">
        <v>77</v>
      </c>
      <c r="AC44" s="603">
        <v>0</v>
      </c>
      <c r="AD44" s="603">
        <v>412</v>
      </c>
      <c r="AE44" s="603">
        <f>ROUND((AE$15+AE$16)*CF!$E$17,0)</f>
        <v>29</v>
      </c>
      <c r="AF44" s="435">
        <v>0</v>
      </c>
      <c r="AG44" s="495">
        <f>SUM(X44:AF44)</f>
        <v>13206</v>
      </c>
      <c r="AH44" s="435">
        <v>0</v>
      </c>
      <c r="AI44" s="435">
        <v>0</v>
      </c>
      <c r="AJ44" s="603">
        <v>0</v>
      </c>
      <c r="AK44" s="603">
        <v>-36</v>
      </c>
      <c r="AL44" s="603">
        <v>0</v>
      </c>
      <c r="AM44" s="505">
        <f>SUM(AG44:AL44)</f>
        <v>13170</v>
      </c>
      <c r="AN44" s="625">
        <v>552</v>
      </c>
      <c r="AO44" s="505">
        <f>SUM(AM44:AN44)</f>
        <v>13722</v>
      </c>
      <c r="AP44" s="485">
        <f>SUM(AO44:AO44)</f>
        <v>13722</v>
      </c>
      <c r="AQ44" s="451"/>
      <c r="AR44" s="523"/>
      <c r="AS44" s="523"/>
      <c r="AT44" s="523"/>
    </row>
    <row r="45" spans="1:46">
      <c r="A45" s="155">
        <v>21</v>
      </c>
      <c r="C45" s="4" t="s">
        <v>216</v>
      </c>
      <c r="D45" s="4"/>
      <c r="E45" s="294">
        <f>'ROO INPUT'!$F45</f>
        <v>4316</v>
      </c>
      <c r="F45" s="603">
        <v>0</v>
      </c>
      <c r="G45" s="603">
        <v>0</v>
      </c>
      <c r="H45" s="603">
        <v>0</v>
      </c>
      <c r="I45" s="603">
        <v>0</v>
      </c>
      <c r="J45" s="603">
        <v>0</v>
      </c>
      <c r="K45" s="603">
        <v>0</v>
      </c>
      <c r="L45" s="603">
        <v>0</v>
      </c>
      <c r="M45" s="603">
        <v>0</v>
      </c>
      <c r="N45" s="603">
        <v>0</v>
      </c>
      <c r="O45" s="603">
        <v>0</v>
      </c>
      <c r="P45" s="603">
        <v>0</v>
      </c>
      <c r="Q45" s="603">
        <v>0</v>
      </c>
      <c r="R45" s="603"/>
      <c r="S45" s="603"/>
      <c r="T45" s="603">
        <v>0</v>
      </c>
      <c r="U45" s="603"/>
      <c r="V45" s="603">
        <v>0</v>
      </c>
      <c r="W45" s="603">
        <v>0</v>
      </c>
      <c r="X45" s="434">
        <f>SUM(E45:W45)</f>
        <v>4316</v>
      </c>
      <c r="Y45" s="603">
        <v>0</v>
      </c>
      <c r="Z45" s="603">
        <v>0</v>
      </c>
      <c r="AA45" s="603">
        <v>0</v>
      </c>
      <c r="AB45" s="603">
        <v>0</v>
      </c>
      <c r="AC45" s="603">
        <v>0</v>
      </c>
      <c r="AD45" s="603">
        <v>0</v>
      </c>
      <c r="AE45" s="603">
        <v>0</v>
      </c>
      <c r="AF45" s="435">
        <f>162+546</f>
        <v>708</v>
      </c>
      <c r="AG45" s="495">
        <f>SUM(X45:AF45)</f>
        <v>5024</v>
      </c>
      <c r="AH45" s="435">
        <f>294+1751</f>
        <v>2045</v>
      </c>
      <c r="AI45" s="435">
        <f>189+381</f>
        <v>570</v>
      </c>
      <c r="AJ45" s="603">
        <v>0</v>
      </c>
      <c r="AK45" s="603">
        <v>0</v>
      </c>
      <c r="AL45" s="603">
        <v>0</v>
      </c>
      <c r="AM45" s="505">
        <f>SUM(AG45:AL45)</f>
        <v>7639</v>
      </c>
      <c r="AN45" s="625">
        <v>0</v>
      </c>
      <c r="AO45" s="505">
        <f>SUM(AM45:AN45)</f>
        <v>7639</v>
      </c>
      <c r="AP45" s="485">
        <f>SUM(AO45:AO45)</f>
        <v>7639</v>
      </c>
      <c r="AQ45" s="451"/>
      <c r="AR45" s="523"/>
      <c r="AS45" s="523"/>
      <c r="AT45" s="523"/>
    </row>
    <row r="46" spans="1:46">
      <c r="A46" s="155">
        <v>22</v>
      </c>
      <c r="C46" s="546" t="s">
        <v>434</v>
      </c>
      <c r="D46" s="4"/>
      <c r="E46" s="294">
        <f>'ROO INPUT'!$F46</f>
        <v>11</v>
      </c>
      <c r="F46" s="603"/>
      <c r="G46" s="603"/>
      <c r="H46" s="603"/>
      <c r="I46" s="603"/>
      <c r="J46" s="603"/>
      <c r="K46" s="603"/>
      <c r="L46" s="603"/>
      <c r="M46" s="603"/>
      <c r="N46" s="603"/>
      <c r="O46" s="603"/>
      <c r="P46" s="603"/>
      <c r="Q46" s="603"/>
      <c r="R46" s="603">
        <v>0</v>
      </c>
      <c r="S46" s="603">
        <v>0</v>
      </c>
      <c r="T46" s="603"/>
      <c r="U46" s="603"/>
      <c r="V46" s="603"/>
      <c r="W46" s="603"/>
      <c r="X46" s="434">
        <f>SUM(E46:W46)</f>
        <v>11</v>
      </c>
      <c r="Y46" s="603"/>
      <c r="Z46" s="603"/>
      <c r="AA46" s="603"/>
      <c r="AB46" s="603"/>
      <c r="AC46" s="603"/>
      <c r="AD46" s="603"/>
      <c r="AE46" s="603">
        <v>-11</v>
      </c>
      <c r="AF46" s="435"/>
      <c r="AG46" s="495">
        <f>SUM(X46:AF46)</f>
        <v>0</v>
      </c>
      <c r="AH46" s="435"/>
      <c r="AI46" s="435"/>
      <c r="AJ46" s="603">
        <v>1143</v>
      </c>
      <c r="AK46" s="603"/>
      <c r="AL46" s="603"/>
      <c r="AM46" s="505">
        <f>SUM(AG46:AL46)</f>
        <v>1143</v>
      </c>
      <c r="AN46" s="625"/>
      <c r="AO46" s="505">
        <f>SUM(AM46:AN46)</f>
        <v>1143</v>
      </c>
      <c r="AP46" s="485">
        <f>SUM(AO46:AO46)</f>
        <v>1143</v>
      </c>
      <c r="AQ46" s="451"/>
      <c r="AR46" s="523"/>
      <c r="AS46" s="523"/>
      <c r="AT46" s="523"/>
    </row>
    <row r="47" spans="1:46">
      <c r="A47" s="155">
        <v>23</v>
      </c>
      <c r="C47" s="4" t="s">
        <v>22</v>
      </c>
      <c r="D47" s="4"/>
      <c r="E47" s="296">
        <f>'ROO INPUT'!$F47</f>
        <v>0</v>
      </c>
      <c r="F47" s="436">
        <v>0</v>
      </c>
      <c r="G47" s="436">
        <v>0</v>
      </c>
      <c r="H47" s="436">
        <v>0</v>
      </c>
      <c r="I47" s="436">
        <v>0</v>
      </c>
      <c r="J47" s="436">
        <v>0</v>
      </c>
      <c r="K47" s="436">
        <v>0</v>
      </c>
      <c r="L47" s="436">
        <v>0</v>
      </c>
      <c r="M47" s="436">
        <v>0</v>
      </c>
      <c r="N47" s="436">
        <v>0</v>
      </c>
      <c r="O47" s="436">
        <v>0</v>
      </c>
      <c r="P47" s="436">
        <v>0</v>
      </c>
      <c r="Q47" s="436">
        <v>0</v>
      </c>
      <c r="R47" s="436">
        <v>0</v>
      </c>
      <c r="S47" s="436">
        <v>0</v>
      </c>
      <c r="T47" s="436">
        <v>0</v>
      </c>
      <c r="U47" s="436">
        <v>0</v>
      </c>
      <c r="V47" s="436">
        <v>0</v>
      </c>
      <c r="W47" s="436">
        <v>0</v>
      </c>
      <c r="X47" s="437">
        <f>SUM(E47:W47)</f>
        <v>0</v>
      </c>
      <c r="Y47" s="436">
        <v>0</v>
      </c>
      <c r="Z47" s="436">
        <v>0</v>
      </c>
      <c r="AA47" s="436">
        <v>0</v>
      </c>
      <c r="AB47" s="436">
        <v>0</v>
      </c>
      <c r="AC47" s="436">
        <v>0</v>
      </c>
      <c r="AD47" s="436">
        <v>0</v>
      </c>
      <c r="AE47" s="436">
        <v>0</v>
      </c>
      <c r="AF47" s="436">
        <v>0</v>
      </c>
      <c r="AG47" s="496">
        <f>SUM(X47:AF47)</f>
        <v>0</v>
      </c>
      <c r="AH47" s="436">
        <v>0</v>
      </c>
      <c r="AI47" s="436">
        <v>0</v>
      </c>
      <c r="AJ47" s="436">
        <v>0</v>
      </c>
      <c r="AK47" s="436">
        <v>0</v>
      </c>
      <c r="AL47" s="436">
        <v>0</v>
      </c>
      <c r="AM47" s="506">
        <f>SUM(AG47:AL47)</f>
        <v>0</v>
      </c>
      <c r="AN47" s="626">
        <v>0</v>
      </c>
      <c r="AO47" s="506">
        <f>SUM(AM47:AN47)</f>
        <v>0</v>
      </c>
      <c r="AP47" s="486">
        <f>SUM(AO47:AO47)</f>
        <v>0</v>
      </c>
      <c r="AQ47" s="523"/>
      <c r="AR47" s="523"/>
      <c r="AS47" s="523"/>
      <c r="AT47" s="523"/>
    </row>
    <row r="48" spans="1:46">
      <c r="A48" s="155">
        <v>24</v>
      </c>
      <c r="B48" s="4" t="s">
        <v>54</v>
      </c>
      <c r="C48" s="4"/>
      <c r="E48" s="296">
        <f>SUM(E44:E47)</f>
        <v>16210</v>
      </c>
      <c r="F48" s="296">
        <f t="shared" ref="F48:N48" si="44">SUM(F44:F47)</f>
        <v>0</v>
      </c>
      <c r="G48" s="296">
        <f t="shared" si="44"/>
        <v>0</v>
      </c>
      <c r="H48" s="296">
        <f t="shared" si="44"/>
        <v>0</v>
      </c>
      <c r="I48" s="296">
        <f t="shared" si="44"/>
        <v>0</v>
      </c>
      <c r="J48" s="296">
        <f>SUM(J44:J47)</f>
        <v>0</v>
      </c>
      <c r="K48" s="296">
        <f t="shared" si="44"/>
        <v>0</v>
      </c>
      <c r="L48" s="296">
        <f t="shared" si="44"/>
        <v>32</v>
      </c>
      <c r="M48" s="296">
        <f t="shared" si="44"/>
        <v>280</v>
      </c>
      <c r="N48" s="296">
        <f t="shared" si="44"/>
        <v>0</v>
      </c>
      <c r="O48" s="296">
        <f t="shared" ref="O48:P48" si="45">SUM(O44:O47)</f>
        <v>-2</v>
      </c>
      <c r="P48" s="296">
        <f t="shared" si="45"/>
        <v>0</v>
      </c>
      <c r="Q48" s="296">
        <f>SUM(Q44:Q47)</f>
        <v>0</v>
      </c>
      <c r="R48" s="296">
        <f>SUM(R44:R47)</f>
        <v>-4</v>
      </c>
      <c r="S48" s="296">
        <f>SUM(S44:S47)</f>
        <v>-12</v>
      </c>
      <c r="T48" s="296">
        <f>SUM(T44:T47)</f>
        <v>6</v>
      </c>
      <c r="U48" s="296">
        <f t="shared" ref="U48:X48" si="46">SUM(U44:U47)</f>
        <v>-333</v>
      </c>
      <c r="V48" s="296">
        <f>SUM(V44:V47)</f>
        <v>0</v>
      </c>
      <c r="W48" s="296">
        <f t="shared" si="46"/>
        <v>0</v>
      </c>
      <c r="X48" s="437">
        <f t="shared" si="46"/>
        <v>16177</v>
      </c>
      <c r="Y48" s="296">
        <f t="shared" ref="Y48:Z48" si="47">SUM(Y44:Y47)</f>
        <v>580</v>
      </c>
      <c r="Z48" s="296">
        <f t="shared" si="47"/>
        <v>73</v>
      </c>
      <c r="AA48" s="296">
        <f t="shared" ref="AA48:AB48" si="48">SUM(AA44:AA47)</f>
        <v>185</v>
      </c>
      <c r="AB48" s="296">
        <f t="shared" si="48"/>
        <v>77</v>
      </c>
      <c r="AC48" s="296">
        <f t="shared" ref="AC48:AG48" si="49">SUM(AC44:AC47)</f>
        <v>0</v>
      </c>
      <c r="AD48" s="296">
        <f t="shared" si="49"/>
        <v>412</v>
      </c>
      <c r="AE48" s="296">
        <f>SUM(AE44:AE47)</f>
        <v>18</v>
      </c>
      <c r="AF48" s="298">
        <f>SUM(AF44:AF47)</f>
        <v>708</v>
      </c>
      <c r="AG48" s="496">
        <f t="shared" si="49"/>
        <v>18230</v>
      </c>
      <c r="AH48" s="298">
        <f t="shared" ref="AH48:AM48" si="50">SUM(AH44:AH47)</f>
        <v>2045</v>
      </c>
      <c r="AI48" s="298">
        <f>SUM(AI44:AI47)</f>
        <v>570</v>
      </c>
      <c r="AJ48" s="298">
        <f>SUM(AJ44:AJ47)</f>
        <v>1143</v>
      </c>
      <c r="AK48" s="296">
        <f>SUM(AK44:AK47)</f>
        <v>-36</v>
      </c>
      <c r="AL48" s="298">
        <f t="shared" ref="AL48" si="51">SUM(AL44:AL47)</f>
        <v>0</v>
      </c>
      <c r="AM48" s="506">
        <f t="shared" si="50"/>
        <v>21952</v>
      </c>
      <c r="AN48" s="628">
        <f t="shared" ref="AN48" si="52">SUM(AN44:AN47)</f>
        <v>552</v>
      </c>
      <c r="AO48" s="506">
        <f t="shared" ref="AO48:AP48" si="53">SUM(AO44:AO47)</f>
        <v>22504</v>
      </c>
      <c r="AP48" s="486">
        <f t="shared" si="53"/>
        <v>22504</v>
      </c>
      <c r="AQ48" s="523"/>
      <c r="AR48" s="523"/>
      <c r="AS48" s="523"/>
      <c r="AT48" s="523"/>
    </row>
    <row r="49" spans="1:46" ht="19.5" customHeight="1">
      <c r="A49" s="155">
        <v>25</v>
      </c>
      <c r="B49" s="1" t="s">
        <v>55</v>
      </c>
      <c r="C49" s="4"/>
      <c r="D49" s="4"/>
      <c r="E49" s="296">
        <f t="shared" ref="E49:AB49" si="54">E21+E25+E31+E37+E39+E40+E41+E48</f>
        <v>232770</v>
      </c>
      <c r="F49" s="296">
        <f t="shared" si="54"/>
        <v>0</v>
      </c>
      <c r="G49" s="296">
        <f t="shared" si="54"/>
        <v>1</v>
      </c>
      <c r="H49" s="296">
        <f t="shared" si="54"/>
        <v>0</v>
      </c>
      <c r="I49" s="296">
        <f t="shared" si="54"/>
        <v>-6183</v>
      </c>
      <c r="J49" s="296">
        <f>J21+J25+J31+J37+J39+J40+J41+J48</f>
        <v>80</v>
      </c>
      <c r="K49" s="296">
        <f t="shared" si="54"/>
        <v>-150</v>
      </c>
      <c r="L49" s="296">
        <f t="shared" si="54"/>
        <v>32</v>
      </c>
      <c r="M49" s="296">
        <f t="shared" si="54"/>
        <v>280</v>
      </c>
      <c r="N49" s="296">
        <f t="shared" si="54"/>
        <v>0</v>
      </c>
      <c r="O49" s="296">
        <f t="shared" si="54"/>
        <v>-2</v>
      </c>
      <c r="P49" s="296">
        <f t="shared" si="54"/>
        <v>328</v>
      </c>
      <c r="Q49" s="296">
        <f>Q21+Q25+Q31+Q37+Q39+Q40+Q41+Q48</f>
        <v>-5</v>
      </c>
      <c r="R49" s="296">
        <f>R21+R25+R31+R37+R39+R40+R41+R48</f>
        <v>-1376</v>
      </c>
      <c r="S49" s="296">
        <f>S21+S25+S31+S37+S39+S40+S41+S48</f>
        <v>-89293</v>
      </c>
      <c r="T49" s="296">
        <f>T21+T25+T31+T37+T39+T40+T41+T48</f>
        <v>5</v>
      </c>
      <c r="U49" s="296">
        <f t="shared" si="54"/>
        <v>-333</v>
      </c>
      <c r="V49" s="296">
        <f>V21+V25+V31+V37+V39+V40+V41+V48</f>
        <v>0</v>
      </c>
      <c r="W49" s="296">
        <f>W21+W25+W31+W37+W39+W40+W41+W48</f>
        <v>0</v>
      </c>
      <c r="X49" s="437">
        <f t="shared" si="54"/>
        <v>136154</v>
      </c>
      <c r="Y49" s="296">
        <f t="shared" si="54"/>
        <v>1153.5349999999999</v>
      </c>
      <c r="Z49" s="296">
        <f t="shared" si="54"/>
        <v>49.962000000000003</v>
      </c>
      <c r="AA49" s="296">
        <f t="shared" si="54"/>
        <v>716.79300000000001</v>
      </c>
      <c r="AB49" s="296">
        <f t="shared" si="54"/>
        <v>77</v>
      </c>
      <c r="AC49" s="296">
        <f t="shared" ref="AC49:AG49" si="55">AC21+AC25+AC31+AC37+AC39+AC40+AC41+AC48</f>
        <v>507</v>
      </c>
      <c r="AD49" s="296">
        <f t="shared" si="55"/>
        <v>412</v>
      </c>
      <c r="AE49" s="296">
        <f>AE21+AE25+AE31+AE37+AE39+AE40+AE41+AE48</f>
        <v>6051</v>
      </c>
      <c r="AF49" s="298">
        <f>AF21+AF25+AF31+AF37+AF39+AF40+AF41+AF48</f>
        <v>1121</v>
      </c>
      <c r="AG49" s="496">
        <f t="shared" si="55"/>
        <v>146242.29</v>
      </c>
      <c r="AH49" s="296">
        <f t="shared" ref="AH49" si="56">AH21+AH25+AH31+AH37+AH39+AH40+AH41+AH48</f>
        <v>2518</v>
      </c>
      <c r="AI49" s="296">
        <f>AI21+AI25+AI31+AI37+AI39+AI40+AI41+AI48</f>
        <v>908</v>
      </c>
      <c r="AJ49" s="298">
        <f t="shared" ref="AJ49" si="57">AJ21+AJ25+AJ31+AJ37+AJ39+AJ40+AJ41+AJ48</f>
        <v>1143</v>
      </c>
      <c r="AK49" s="296">
        <f>AK21+AK25+AK31+AK37+AK39+AK40+AK41+AK48</f>
        <v>-78</v>
      </c>
      <c r="AL49" s="298">
        <f t="shared" ref="AL49" si="58">AL21+AL25+AL31+AL37+AL39+AL40+AL41+AL48</f>
        <v>707</v>
      </c>
      <c r="AM49" s="506">
        <f>AM25+AM31+AM37+AM39+AM40+AM41+AM48</f>
        <v>151440.29</v>
      </c>
      <c r="AN49" s="628">
        <f t="shared" ref="AN49" si="59">AN21+AN25+AN31+AN37+AN39+AN40+AN41+AN48</f>
        <v>552</v>
      </c>
      <c r="AO49" s="506">
        <f>AO25+AO31+AO37+AO39+AO40+AO41+AO48</f>
        <v>151992.29</v>
      </c>
      <c r="AP49" s="506">
        <f>AP25+AP31+AP37+AP39+AP40+AP41+AP48</f>
        <v>151992.29</v>
      </c>
      <c r="AQ49" s="523"/>
      <c r="AR49" s="523"/>
      <c r="AS49" s="523"/>
      <c r="AT49" s="523"/>
    </row>
    <row r="50" spans="1:46" ht="9" customHeight="1">
      <c r="C50" s="4"/>
      <c r="D50" s="4"/>
      <c r="E50" s="294"/>
      <c r="F50" s="294"/>
      <c r="G50" s="294"/>
      <c r="H50" s="294"/>
      <c r="I50" s="294"/>
      <c r="J50" s="294"/>
      <c r="K50" s="294"/>
      <c r="L50" s="294"/>
      <c r="M50" s="294"/>
      <c r="N50" s="294"/>
      <c r="O50" s="294"/>
      <c r="P50" s="294"/>
      <c r="Q50" s="294"/>
      <c r="R50" s="294"/>
      <c r="S50" s="294"/>
      <c r="T50" s="294"/>
      <c r="U50" s="294"/>
      <c r="V50" s="294"/>
      <c r="W50" s="294"/>
      <c r="X50" s="434"/>
      <c r="Y50" s="294"/>
      <c r="Z50" s="294"/>
      <c r="AA50" s="294"/>
      <c r="AB50" s="294"/>
      <c r="AC50" s="294"/>
      <c r="AD50" s="294"/>
      <c r="AE50" s="294"/>
      <c r="AF50" s="438"/>
      <c r="AG50" s="495"/>
      <c r="AH50" s="438"/>
      <c r="AI50" s="438"/>
      <c r="AJ50" s="351"/>
      <c r="AK50" s="294"/>
      <c r="AL50" s="351"/>
      <c r="AM50" s="505"/>
      <c r="AN50" s="627"/>
      <c r="AO50" s="505"/>
      <c r="AP50" s="485"/>
      <c r="AQ50" s="451"/>
      <c r="AR50" s="523"/>
      <c r="AS50" s="523"/>
      <c r="AT50" s="523"/>
    </row>
    <row r="51" spans="1:46" ht="12.95" customHeight="1">
      <c r="A51" s="155">
        <v>26</v>
      </c>
      <c r="B51" s="1" t="s">
        <v>56</v>
      </c>
      <c r="C51" s="4"/>
      <c r="D51" s="4"/>
      <c r="E51" s="294">
        <f t="shared" ref="E51:U51" si="60">E18-E49</f>
        <v>21472</v>
      </c>
      <c r="F51" s="294">
        <f t="shared" si="60"/>
        <v>0</v>
      </c>
      <c r="G51" s="294">
        <f t="shared" si="60"/>
        <v>-1</v>
      </c>
      <c r="H51" s="294">
        <f t="shared" si="60"/>
        <v>0</v>
      </c>
      <c r="I51" s="294">
        <f t="shared" si="60"/>
        <v>-11</v>
      </c>
      <c r="J51" s="294">
        <f>J18-J49</f>
        <v>-80</v>
      </c>
      <c r="K51" s="294">
        <f t="shared" si="60"/>
        <v>150</v>
      </c>
      <c r="L51" s="294">
        <f t="shared" si="60"/>
        <v>-32</v>
      </c>
      <c r="M51" s="294">
        <f t="shared" si="60"/>
        <v>-280</v>
      </c>
      <c r="N51" s="294">
        <f t="shared" si="60"/>
        <v>0</v>
      </c>
      <c r="O51" s="294">
        <f t="shared" si="60"/>
        <v>2</v>
      </c>
      <c r="P51" s="294">
        <f t="shared" si="60"/>
        <v>-328</v>
      </c>
      <c r="Q51" s="294">
        <f>Q18-Q49</f>
        <v>5</v>
      </c>
      <c r="R51" s="294">
        <f>R18-R49</f>
        <v>-764</v>
      </c>
      <c r="S51" s="294">
        <f>S18-S49</f>
        <v>0</v>
      </c>
      <c r="T51" s="294">
        <f>T18-T49</f>
        <v>-5</v>
      </c>
      <c r="U51" s="294">
        <f t="shared" si="60"/>
        <v>333</v>
      </c>
      <c r="V51" s="294">
        <f>V18-V49</f>
        <v>0</v>
      </c>
      <c r="W51" s="294">
        <f>W18-W49</f>
        <v>0</v>
      </c>
      <c r="X51" s="434">
        <f>SUM(E51:W51)</f>
        <v>20461</v>
      </c>
      <c r="Y51" s="294">
        <f t="shared" ref="Y51:AB51" si="61">Y18-Y49</f>
        <v>-1153.5349999999999</v>
      </c>
      <c r="Z51" s="294">
        <f t="shared" si="61"/>
        <v>-49.962000000000003</v>
      </c>
      <c r="AA51" s="294">
        <f t="shared" si="61"/>
        <v>-716.79300000000001</v>
      </c>
      <c r="AB51" s="294">
        <f t="shared" si="61"/>
        <v>-77</v>
      </c>
      <c r="AC51" s="294">
        <f t="shared" ref="AC51:AG51" si="62">AC18-AC49</f>
        <v>-507</v>
      </c>
      <c r="AD51" s="294">
        <f t="shared" si="62"/>
        <v>-412</v>
      </c>
      <c r="AE51" s="294">
        <f>AE18-AE49</f>
        <v>8525</v>
      </c>
      <c r="AF51" s="438">
        <f>AF18-AF49</f>
        <v>-1121</v>
      </c>
      <c r="AG51" s="495">
        <f t="shared" si="62"/>
        <v>24948.709999999992</v>
      </c>
      <c r="AH51" s="438">
        <f t="shared" ref="AH51:AM51" si="63">AH18-AH49</f>
        <v>-2518</v>
      </c>
      <c r="AI51" s="438">
        <f>AI18-AI49</f>
        <v>-908</v>
      </c>
      <c r="AJ51" s="351">
        <f>AJ18-AJ49</f>
        <v>-1143</v>
      </c>
      <c r="AK51" s="294">
        <f>AK18-AK49</f>
        <v>78</v>
      </c>
      <c r="AL51" s="351">
        <f t="shared" ref="AL51" si="64">AL18-AL49</f>
        <v>-707</v>
      </c>
      <c r="AM51" s="505">
        <f t="shared" si="63"/>
        <v>19750.709999999992</v>
      </c>
      <c r="AN51" s="627">
        <f t="shared" ref="AN51" si="65">AN18-AN49</f>
        <v>-552</v>
      </c>
      <c r="AO51" s="505">
        <f t="shared" ref="AO51:AP51" si="66">AO18-AO49</f>
        <v>19198.709999999992</v>
      </c>
      <c r="AP51" s="485">
        <f t="shared" si="66"/>
        <v>19198.709999999992</v>
      </c>
      <c r="AQ51" s="451"/>
      <c r="AR51" s="523"/>
      <c r="AS51" s="523"/>
      <c r="AT51" s="523"/>
    </row>
    <row r="52" spans="1:46" ht="12.95" customHeight="1">
      <c r="C52" s="4"/>
      <c r="D52" s="4"/>
      <c r="E52" s="294"/>
      <c r="F52" s="294"/>
      <c r="G52" s="294"/>
      <c r="H52" s="294"/>
      <c r="I52" s="294"/>
      <c r="J52" s="294"/>
      <c r="K52" s="294"/>
      <c r="L52" s="294"/>
      <c r="M52" s="294"/>
      <c r="N52" s="294"/>
      <c r="O52" s="294"/>
      <c r="P52" s="294"/>
      <c r="Q52" s="294"/>
      <c r="R52" s="294"/>
      <c r="S52" s="294"/>
      <c r="T52" s="294"/>
      <c r="U52" s="294"/>
      <c r="V52" s="294"/>
      <c r="W52" s="294"/>
      <c r="X52" s="434"/>
      <c r="Y52" s="294"/>
      <c r="Z52" s="294"/>
      <c r="AA52" s="294"/>
      <c r="AB52" s="294"/>
      <c r="AC52" s="294"/>
      <c r="AD52" s="294"/>
      <c r="AE52" s="294"/>
      <c r="AF52" s="438"/>
      <c r="AG52" s="495"/>
      <c r="AH52" s="438"/>
      <c r="AI52" s="438"/>
      <c r="AJ52" s="351"/>
      <c r="AK52" s="294"/>
      <c r="AL52" s="351"/>
      <c r="AM52" s="505"/>
      <c r="AN52" s="627"/>
      <c r="AO52" s="505"/>
      <c r="AP52" s="485"/>
      <c r="AQ52" s="451"/>
      <c r="AR52" s="523"/>
      <c r="AS52" s="523"/>
      <c r="AT52" s="523"/>
    </row>
    <row r="53" spans="1:46" ht="12.95" customHeight="1">
      <c r="B53" s="1" t="s">
        <v>57</v>
      </c>
      <c r="C53" s="4"/>
      <c r="D53" s="4"/>
      <c r="E53" s="294"/>
      <c r="F53" s="603"/>
      <c r="G53" s="603"/>
      <c r="H53" s="603"/>
      <c r="I53" s="603"/>
      <c r="J53" s="603"/>
      <c r="K53" s="603"/>
      <c r="L53" s="603"/>
      <c r="M53" s="603"/>
      <c r="N53" s="603"/>
      <c r="O53" s="603"/>
      <c r="P53" s="603"/>
      <c r="Q53" s="603"/>
      <c r="R53" s="603"/>
      <c r="S53" s="603"/>
      <c r="T53" s="603"/>
      <c r="U53" s="603"/>
      <c r="V53" s="603"/>
      <c r="W53" s="603"/>
      <c r="X53" s="434"/>
      <c r="Y53" s="603"/>
      <c r="Z53" s="603"/>
      <c r="AA53" s="603"/>
      <c r="AB53" s="603"/>
      <c r="AC53" s="603"/>
      <c r="AD53" s="603"/>
      <c r="AE53" s="603"/>
      <c r="AF53" s="435"/>
      <c r="AG53" s="495"/>
      <c r="AH53" s="435"/>
      <c r="AI53" s="435"/>
      <c r="AJ53" s="603"/>
      <c r="AK53" s="603"/>
      <c r="AL53" s="603"/>
      <c r="AM53" s="505"/>
      <c r="AN53" s="625"/>
      <c r="AO53" s="505"/>
      <c r="AP53" s="485"/>
      <c r="AQ53" s="451"/>
      <c r="AR53" s="523"/>
      <c r="AS53" s="523"/>
      <c r="AT53" s="523"/>
    </row>
    <row r="54" spans="1:46">
      <c r="A54" s="155">
        <v>27</v>
      </c>
      <c r="B54" s="4" t="s">
        <v>58</v>
      </c>
      <c r="D54" s="4"/>
      <c r="E54" s="294">
        <f>'ROO INPUT'!$F54</f>
        <v>4339</v>
      </c>
      <c r="F54" s="603">
        <f>F51*0.35</f>
        <v>0</v>
      </c>
      <c r="G54" s="603">
        <f>G51*0.35</f>
        <v>-0.35</v>
      </c>
      <c r="H54" s="603">
        <f t="shared" ref="H54" si="67">H51*0.35</f>
        <v>0</v>
      </c>
      <c r="I54" s="603">
        <f t="shared" ref="I54:M54" si="68">I51*0.35</f>
        <v>-3.8499999999999996</v>
      </c>
      <c r="J54" s="603">
        <f>J51*0.35</f>
        <v>-28</v>
      </c>
      <c r="K54" s="603">
        <f t="shared" si="68"/>
        <v>52.5</v>
      </c>
      <c r="L54" s="603">
        <f t="shared" si="68"/>
        <v>-11.2</v>
      </c>
      <c r="M54" s="603">
        <f t="shared" si="68"/>
        <v>-98</v>
      </c>
      <c r="N54" s="603">
        <v>74</v>
      </c>
      <c r="O54" s="603">
        <f>O51*0.35</f>
        <v>0.7</v>
      </c>
      <c r="P54" s="603">
        <f t="shared" ref="P54:U54" si="69">P51*0.35</f>
        <v>-114.8</v>
      </c>
      <c r="Q54" s="603">
        <f>Q51*0.35</f>
        <v>1.75</v>
      </c>
      <c r="R54" s="603">
        <f>R51*0.35</f>
        <v>-267.39999999999998</v>
      </c>
      <c r="S54" s="603">
        <f>S51*0.35</f>
        <v>0</v>
      </c>
      <c r="T54" s="603">
        <f>T51*0.35</f>
        <v>-1.75</v>
      </c>
      <c r="U54" s="603">
        <f t="shared" si="69"/>
        <v>116.55</v>
      </c>
      <c r="V54" s="603">
        <f>'DEBT CALC'!E57</f>
        <v>136</v>
      </c>
      <c r="W54" s="603">
        <f>W51*0.35</f>
        <v>0</v>
      </c>
      <c r="X54" s="434">
        <f>SUM(E54:W54)</f>
        <v>4195.1499999999996</v>
      </c>
      <c r="Y54" s="603">
        <f>Y51*0.35</f>
        <v>-403.7372499999999</v>
      </c>
      <c r="Z54" s="603">
        <f t="shared" ref="Z54:AB54" si="70">Z51*0.35</f>
        <v>-17.486699999999999</v>
      </c>
      <c r="AA54" s="603">
        <f t="shared" si="70"/>
        <v>-250.87754999999999</v>
      </c>
      <c r="AB54" s="603">
        <f t="shared" si="70"/>
        <v>-26.95</v>
      </c>
      <c r="AC54" s="603">
        <f>AC51*0.35</f>
        <v>-177.45</v>
      </c>
      <c r="AD54" s="603">
        <f>AD51*0.35</f>
        <v>-144.19999999999999</v>
      </c>
      <c r="AE54" s="603">
        <f>AE51*0.35</f>
        <v>2983.75</v>
      </c>
      <c r="AF54" s="435">
        <f>AF51*0.35</f>
        <v>-392.34999999999997</v>
      </c>
      <c r="AG54" s="495">
        <f>SUM(X54:AF54)</f>
        <v>5765.8485000000001</v>
      </c>
      <c r="AH54" s="435">
        <f>AH51*0.35</f>
        <v>-881.3</v>
      </c>
      <c r="AI54" s="435">
        <f>AI51*0.35</f>
        <v>-317.79999999999995</v>
      </c>
      <c r="AJ54" s="603">
        <f>AJ51*0.35</f>
        <v>-400.04999999999995</v>
      </c>
      <c r="AK54" s="603">
        <f>AK51*0.35</f>
        <v>27.299999999999997</v>
      </c>
      <c r="AL54" s="603">
        <f>AL51*0.35</f>
        <v>-247.45</v>
      </c>
      <c r="AM54" s="505">
        <f>SUM(AG54:AL54)</f>
        <v>3946.5484999999999</v>
      </c>
      <c r="AN54" s="625">
        <f t="shared" ref="AN54" si="71">AN51*0.35</f>
        <v>-193.2</v>
      </c>
      <c r="AO54" s="505">
        <f>SUM(AM54:AN54)</f>
        <v>3753.3485000000001</v>
      </c>
      <c r="AP54" s="485">
        <f>SUM(AO54:AO54)</f>
        <v>3753.3485000000001</v>
      </c>
      <c r="AQ54" s="451"/>
      <c r="AR54" s="523"/>
      <c r="AS54" s="523"/>
      <c r="AT54" s="523"/>
    </row>
    <row r="55" spans="1:46">
      <c r="A55" s="155">
        <v>28</v>
      </c>
      <c r="B55" s="4" t="s">
        <v>195</v>
      </c>
      <c r="D55" s="4"/>
      <c r="E55" s="294">
        <f>'ROO INPUT'!$F55</f>
        <v>0</v>
      </c>
      <c r="F55" s="603">
        <f>(F82*'RR SUMMARY'!$O$14)*-0.35</f>
        <v>28.758519999999997</v>
      </c>
      <c r="G55" s="603">
        <f>(G82*'RR SUMMARY'!$O$14)*-0.35</f>
        <v>0</v>
      </c>
      <c r="H55" s="603">
        <f>(H82*'RR SUMMARY'!$O$14)*-0.35</f>
        <v>-98.368934999999993</v>
      </c>
      <c r="I55" s="603">
        <f>(I82*'RR SUMMARY'!$O$14)*-0.35</f>
        <v>0</v>
      </c>
      <c r="J55" s="603">
        <f>(J82*'RR SUMMARY'!$O$14)*-0.35</f>
        <v>0</v>
      </c>
      <c r="K55" s="603">
        <f>(K82*'RR SUMMARY'!$O$14)*-0.35</f>
        <v>0</v>
      </c>
      <c r="L55" s="603">
        <f>(L82*'RR SUMMARY'!$O$14)*-0.35</f>
        <v>0</v>
      </c>
      <c r="M55" s="603">
        <f>(M82*'RR SUMMARY'!$O$14)*-0.35</f>
        <v>0</v>
      </c>
      <c r="N55" s="603"/>
      <c r="O55" s="603">
        <f>(O82*'RR SUMMARY'!$O$14)*-0.35</f>
        <v>0</v>
      </c>
      <c r="P55" s="603">
        <f>(P82*'RR SUMMARY'!$O$14)*-0.35</f>
        <v>0</v>
      </c>
      <c r="Q55" s="603">
        <f>(Q82*'RR SUMMARY'!$O$14)*-0.35</f>
        <v>0</v>
      </c>
      <c r="R55" s="603">
        <f>(R82*'RR SUMMARY'!$O$14)*-0.35</f>
        <v>0</v>
      </c>
      <c r="S55" s="603">
        <f>(S82*'RR SUMMARY'!$O$14)*-0.35</f>
        <v>0</v>
      </c>
      <c r="T55" s="603">
        <f>(T82*'RR SUMMARY'!$O$14)*-0.35</f>
        <v>0</v>
      </c>
      <c r="U55" s="603">
        <f>(U82*'RR SUMMARY'!$O$14)*-0.35</f>
        <v>0</v>
      </c>
      <c r="V55" s="603"/>
      <c r="W55" s="603">
        <f>(W82*'RR SUMMARY'!$O$14)*-0.35</f>
        <v>0</v>
      </c>
      <c r="X55" s="434">
        <f>SUM(E55:W55)</f>
        <v>-69.610414999999989</v>
      </c>
      <c r="Y55" s="603">
        <f>(Y82*'RR SUMMARY'!$O$14)*-0.35</f>
        <v>0</v>
      </c>
      <c r="Z55" s="603">
        <f>(Z82*'RR SUMMARY'!$O$14)*-0.35</f>
        <v>0</v>
      </c>
      <c r="AA55" s="603">
        <f>(AA82*'RR SUMMARY'!$O$14)*-0.35</f>
        <v>0</v>
      </c>
      <c r="AB55" s="603">
        <f>(AB82*'RR SUMMARY'!$O$14)*-0.35</f>
        <v>0</v>
      </c>
      <c r="AC55" s="603">
        <f>(AC82*'RR SUMMARY'!$O$14)*-0.35</f>
        <v>0</v>
      </c>
      <c r="AD55" s="603">
        <f>(AD82*'RR SUMMARY'!$O$14)*-0.35</f>
        <v>0</v>
      </c>
      <c r="AE55" s="603">
        <f>(AE82*'RR SUMMARY'!$O$14)*-0.35</f>
        <v>0</v>
      </c>
      <c r="AF55" s="435">
        <f>(AF82*'RR SUMMARY'!$O$14)*-0.35</f>
        <v>-28.075599999999994</v>
      </c>
      <c r="AG55" s="495">
        <f>SUM(X55:AF55)</f>
        <v>-97.686014999999983</v>
      </c>
      <c r="AH55" s="435">
        <f>(AH82*'RR SUMMARY'!$O$14)*-0.35</f>
        <v>-272.13413499999996</v>
      </c>
      <c r="AI55" s="435">
        <f>(AI82*'RR SUMMARY'!$O$14)*-0.35</f>
        <v>-54.121409999999997</v>
      </c>
      <c r="AJ55" s="603">
        <f>(AJ82*'RR SUMMARY'!$O$14)*-0.35</f>
        <v>0</v>
      </c>
      <c r="AK55" s="603">
        <f>(AK82*'RR SUMMARY'!$O$14)*-0.35</f>
        <v>0</v>
      </c>
      <c r="AL55" s="603">
        <f>(AL82*'RR SUMMARY'!$O$14)*-0.35</f>
        <v>0</v>
      </c>
      <c r="AM55" s="505">
        <f>SUM(AG55:AL55)</f>
        <v>-423.94155999999998</v>
      </c>
      <c r="AN55" s="625">
        <f>(AN82*'RR SUMMARY'!$O$14)*-0.35</f>
        <v>-75.073774999999998</v>
      </c>
      <c r="AO55" s="505">
        <f>SUM(AM55:AN55)</f>
        <v>-499.01533499999999</v>
      </c>
      <c r="AP55" s="485">
        <f>SUM(AO55:AO55)</f>
        <v>-499.01533499999999</v>
      </c>
      <c r="AQ55" s="451"/>
      <c r="AR55" s="523"/>
      <c r="AS55" s="523"/>
      <c r="AT55" s="523"/>
    </row>
    <row r="56" spans="1:46">
      <c r="A56" s="155">
        <v>29</v>
      </c>
      <c r="B56" s="4" t="s">
        <v>59</v>
      </c>
      <c r="D56" s="4"/>
      <c r="E56" s="294">
        <f>'ROO INPUT'!$F56</f>
        <v>2153</v>
      </c>
      <c r="F56" s="603">
        <v>0</v>
      </c>
      <c r="G56" s="603">
        <v>0</v>
      </c>
      <c r="H56" s="603">
        <v>0</v>
      </c>
      <c r="I56" s="603">
        <v>0</v>
      </c>
      <c r="J56" s="603">
        <v>0</v>
      </c>
      <c r="K56" s="603">
        <v>0</v>
      </c>
      <c r="L56" s="603">
        <v>0</v>
      </c>
      <c r="M56" s="603">
        <v>0</v>
      </c>
      <c r="N56" s="603">
        <v>-74</v>
      </c>
      <c r="O56" s="603">
        <v>0</v>
      </c>
      <c r="P56" s="603">
        <v>0</v>
      </c>
      <c r="Q56" s="603">
        <v>0</v>
      </c>
      <c r="R56" s="603">
        <v>0</v>
      </c>
      <c r="S56" s="603">
        <v>0</v>
      </c>
      <c r="T56" s="603">
        <v>0</v>
      </c>
      <c r="U56" s="603">
        <v>0</v>
      </c>
      <c r="V56" s="603">
        <v>0</v>
      </c>
      <c r="W56" s="603">
        <v>0</v>
      </c>
      <c r="X56" s="434">
        <f>SUM(E56:W56)</f>
        <v>2079</v>
      </c>
      <c r="Y56" s="603">
        <v>0</v>
      </c>
      <c r="Z56" s="603">
        <v>0</v>
      </c>
      <c r="AA56" s="603">
        <v>0</v>
      </c>
      <c r="AB56" s="603">
        <v>0</v>
      </c>
      <c r="AC56" s="603">
        <v>0</v>
      </c>
      <c r="AD56" s="603">
        <v>0</v>
      </c>
      <c r="AE56" s="603">
        <v>0</v>
      </c>
      <c r="AF56" s="435">
        <v>0</v>
      </c>
      <c r="AG56" s="495">
        <f>SUM(X56:AF56)</f>
        <v>2079</v>
      </c>
      <c r="AH56" s="435">
        <v>0</v>
      </c>
      <c r="AI56" s="435">
        <v>0</v>
      </c>
      <c r="AJ56" s="603">
        <v>0</v>
      </c>
      <c r="AK56" s="603">
        <v>0</v>
      </c>
      <c r="AL56" s="603">
        <v>0</v>
      </c>
      <c r="AM56" s="505">
        <f>SUM(AG56:AL56)</f>
        <v>2079</v>
      </c>
      <c r="AN56" s="625">
        <v>0</v>
      </c>
      <c r="AO56" s="505">
        <f>SUM(AM56:AN56)</f>
        <v>2079</v>
      </c>
      <c r="AP56" s="485">
        <f>SUM(AO56:AO56)</f>
        <v>2079</v>
      </c>
      <c r="AQ56" s="451"/>
      <c r="AR56" s="523"/>
      <c r="AS56" s="523"/>
      <c r="AT56" s="523"/>
    </row>
    <row r="57" spans="1:46">
      <c r="A57" s="155">
        <v>30</v>
      </c>
      <c r="B57" s="4" t="s">
        <v>60</v>
      </c>
      <c r="D57" s="4"/>
      <c r="E57" s="296">
        <f>'ROO INPUT'!$F57</f>
        <v>-22</v>
      </c>
      <c r="F57" s="436"/>
      <c r="G57" s="436"/>
      <c r="H57" s="436"/>
      <c r="I57" s="436">
        <v>0</v>
      </c>
      <c r="J57" s="436">
        <v>0</v>
      </c>
      <c r="K57" s="436">
        <v>0</v>
      </c>
      <c r="L57" s="436">
        <v>0</v>
      </c>
      <c r="M57" s="436">
        <v>0</v>
      </c>
      <c r="N57" s="436">
        <v>0</v>
      </c>
      <c r="O57" s="436">
        <v>0</v>
      </c>
      <c r="P57" s="436">
        <v>0</v>
      </c>
      <c r="Q57" s="436">
        <v>0</v>
      </c>
      <c r="R57" s="436">
        <v>0</v>
      </c>
      <c r="S57" s="436">
        <v>0</v>
      </c>
      <c r="T57" s="436">
        <v>0</v>
      </c>
      <c r="U57" s="436">
        <v>0</v>
      </c>
      <c r="V57" s="436">
        <v>0</v>
      </c>
      <c r="W57" s="436">
        <v>0</v>
      </c>
      <c r="X57" s="437">
        <f>SUM(E57:W57)</f>
        <v>-22</v>
      </c>
      <c r="Y57" s="436">
        <v>0</v>
      </c>
      <c r="Z57" s="436">
        <v>0</v>
      </c>
      <c r="AA57" s="436">
        <v>0</v>
      </c>
      <c r="AB57" s="436">
        <v>0</v>
      </c>
      <c r="AC57" s="436">
        <v>0</v>
      </c>
      <c r="AD57" s="436">
        <v>0</v>
      </c>
      <c r="AE57" s="436">
        <v>0</v>
      </c>
      <c r="AF57" s="436">
        <v>0</v>
      </c>
      <c r="AG57" s="496">
        <f>SUM(X57:AF57)</f>
        <v>-22</v>
      </c>
      <c r="AH57" s="436">
        <v>0</v>
      </c>
      <c r="AI57" s="436">
        <v>0</v>
      </c>
      <c r="AJ57" s="436">
        <v>0</v>
      </c>
      <c r="AK57" s="436">
        <v>0</v>
      </c>
      <c r="AL57" s="436">
        <v>0</v>
      </c>
      <c r="AM57" s="506">
        <f>SUM(AG57:AL57)</f>
        <v>-22</v>
      </c>
      <c r="AN57" s="626">
        <v>0</v>
      </c>
      <c r="AO57" s="506">
        <f>SUM(AM57:AN57)</f>
        <v>-22</v>
      </c>
      <c r="AP57" s="486">
        <f>SUM(AO57:AO57)</f>
        <v>-22</v>
      </c>
      <c r="AQ57" s="523"/>
      <c r="AR57" s="523"/>
      <c r="AS57" s="523"/>
      <c r="AT57" s="523"/>
    </row>
    <row r="58" spans="1:46">
      <c r="E58" s="294"/>
      <c r="F58" s="294"/>
      <c r="G58" s="294"/>
      <c r="H58" s="294"/>
      <c r="I58" s="294"/>
      <c r="J58" s="294"/>
      <c r="K58" s="294"/>
      <c r="L58" s="294"/>
      <c r="M58" s="294"/>
      <c r="N58" s="294"/>
      <c r="O58" s="294"/>
      <c r="P58" s="294"/>
      <c r="Q58" s="294"/>
      <c r="R58" s="294"/>
      <c r="S58" s="294"/>
      <c r="T58" s="294"/>
      <c r="U58" s="294"/>
      <c r="V58" s="294"/>
      <c r="W58" s="294"/>
      <c r="X58" s="434"/>
      <c r="Y58" s="294"/>
      <c r="Z58" s="294"/>
      <c r="AA58" s="294"/>
      <c r="AB58" s="294"/>
      <c r="AC58" s="294"/>
      <c r="AD58" s="294"/>
      <c r="AE58" s="294"/>
      <c r="AF58" s="438"/>
      <c r="AG58" s="495"/>
      <c r="AH58" s="438"/>
      <c r="AI58" s="438"/>
      <c r="AJ58" s="351"/>
      <c r="AK58" s="294"/>
      <c r="AL58" s="351"/>
      <c r="AM58" s="505"/>
      <c r="AN58" s="627"/>
      <c r="AO58" s="505"/>
      <c r="AP58" s="485"/>
      <c r="AQ58" s="451"/>
      <c r="AR58" s="523"/>
      <c r="AS58" s="523"/>
      <c r="AT58" s="523"/>
    </row>
    <row r="59" spans="1:46" s="3" customFormat="1" ht="12.75" thickBot="1">
      <c r="A59" s="155">
        <v>31</v>
      </c>
      <c r="B59" s="3" t="s">
        <v>61</v>
      </c>
      <c r="E59" s="613">
        <f>E51-SUM(E54:E57)</f>
        <v>15002</v>
      </c>
      <c r="F59" s="613">
        <f t="shared" ref="F59:O59" si="72">F51-SUM(F54:F57)</f>
        <v>-28.758519999999997</v>
      </c>
      <c r="G59" s="613">
        <f>G51-SUM(G54:G57)</f>
        <v>-0.65</v>
      </c>
      <c r="H59" s="613">
        <f t="shared" si="72"/>
        <v>98.368934999999993</v>
      </c>
      <c r="I59" s="613">
        <f t="shared" si="72"/>
        <v>-7.15</v>
      </c>
      <c r="J59" s="613">
        <f>J51-SUM(J54:J57)</f>
        <v>-52</v>
      </c>
      <c r="K59" s="613">
        <f t="shared" si="72"/>
        <v>97.5</v>
      </c>
      <c r="L59" s="613">
        <f t="shared" si="72"/>
        <v>-20.8</v>
      </c>
      <c r="M59" s="613">
        <f t="shared" si="72"/>
        <v>-182</v>
      </c>
      <c r="N59" s="613">
        <f t="shared" si="72"/>
        <v>0</v>
      </c>
      <c r="O59" s="613">
        <f t="shared" si="72"/>
        <v>1.3</v>
      </c>
      <c r="P59" s="613">
        <f t="shared" ref="P59:U59" si="73">P51-SUM(P54:P57)</f>
        <v>-213.2</v>
      </c>
      <c r="Q59" s="613">
        <f t="shared" si="73"/>
        <v>3.25</v>
      </c>
      <c r="R59" s="613">
        <f t="shared" si="73"/>
        <v>-496.6</v>
      </c>
      <c r="S59" s="613">
        <f t="shared" ref="S59" si="74">S51-SUM(S54:S57)</f>
        <v>0</v>
      </c>
      <c r="T59" s="613">
        <f>T51-SUM(T54:T57)</f>
        <v>-3.25</v>
      </c>
      <c r="U59" s="613">
        <f t="shared" si="73"/>
        <v>216.45</v>
      </c>
      <c r="V59" s="613">
        <f t="shared" ref="V59" si="75">V51-SUM(V54:V57)</f>
        <v>-136</v>
      </c>
      <c r="W59" s="613">
        <f>W51-SUM(W54:W57)</f>
        <v>0</v>
      </c>
      <c r="X59" s="441">
        <f>X51-SUM(X54:X57)+X58</f>
        <v>14278.460415000001</v>
      </c>
      <c r="Y59" s="613">
        <f t="shared" ref="Y59:Z59" si="76">Y51-SUM(Y54:Y57)</f>
        <v>-749.79774999999995</v>
      </c>
      <c r="Z59" s="613">
        <f t="shared" si="76"/>
        <v>-32.475300000000004</v>
      </c>
      <c r="AA59" s="613">
        <f t="shared" ref="AA59:AB59" si="77">AA51-SUM(AA54:AA57)</f>
        <v>-465.91545000000002</v>
      </c>
      <c r="AB59" s="613">
        <f t="shared" si="77"/>
        <v>-50.05</v>
      </c>
      <c r="AC59" s="613">
        <f>AC51-SUM(AC54:AC57)</f>
        <v>-329.55</v>
      </c>
      <c r="AD59" s="613">
        <f>AD51-SUM(AD54:AD57)</f>
        <v>-267.8</v>
      </c>
      <c r="AE59" s="613">
        <f t="shared" ref="AE59" si="78">AE51-SUM(AE54:AE57)</f>
        <v>5541.25</v>
      </c>
      <c r="AF59" s="440">
        <f>AF51-SUM(AF54:AF57)</f>
        <v>-700.57439999999997</v>
      </c>
      <c r="AG59" s="497">
        <f>AG51-SUM(AG54:AG57)+AG58</f>
        <v>17223.547514999991</v>
      </c>
      <c r="AH59" s="440">
        <f>AH51-SUM(AH54:AH57)</f>
        <v>-1364.565865</v>
      </c>
      <c r="AI59" s="440">
        <f>AI51-SUM(AI54:AI57)</f>
        <v>-536.07859000000008</v>
      </c>
      <c r="AJ59" s="440">
        <f>AJ51-SUM(AJ54:AJ57)</f>
        <v>-742.95</v>
      </c>
      <c r="AK59" s="613">
        <f>AK51-SUM(AK54:AK57)</f>
        <v>50.7</v>
      </c>
      <c r="AL59" s="440">
        <f>AL51-SUM(AL54:AL57)</f>
        <v>-459.55</v>
      </c>
      <c r="AM59" s="507">
        <f>AM51-SUM(AM54:AM57)+AM58</f>
        <v>14171.103059999992</v>
      </c>
      <c r="AN59" s="629">
        <f t="shared" ref="AN59" si="79">AN51-SUM(AN54:AN57)</f>
        <v>-283.726225</v>
      </c>
      <c r="AO59" s="507">
        <f>AO51-SUM(AO54:AO57)+AO58</f>
        <v>13887.376834999992</v>
      </c>
      <c r="AP59" s="487">
        <f>AP51-SUM(AP54:AP57)</f>
        <v>13887.376834999992</v>
      </c>
      <c r="AS59" s="665"/>
      <c r="AT59" s="665"/>
    </row>
    <row r="60" spans="1:46" ht="6" customHeight="1" thickTop="1">
      <c r="E60" s="294"/>
      <c r="F60" s="294"/>
      <c r="G60" s="294"/>
      <c r="H60" s="294"/>
      <c r="I60" s="294"/>
      <c r="J60" s="294"/>
      <c r="K60" s="294"/>
      <c r="L60" s="294"/>
      <c r="M60" s="294"/>
      <c r="N60" s="294"/>
      <c r="O60" s="294"/>
      <c r="P60" s="294"/>
      <c r="Q60" s="294"/>
      <c r="R60" s="294"/>
      <c r="S60" s="294"/>
      <c r="T60" s="294"/>
      <c r="U60" s="294"/>
      <c r="V60" s="294"/>
      <c r="W60" s="434"/>
      <c r="X60" s="434"/>
      <c r="Y60" s="294"/>
      <c r="Z60" s="294"/>
      <c r="AA60" s="294"/>
      <c r="AB60" s="294"/>
      <c r="AC60" s="294"/>
      <c r="AD60" s="294"/>
      <c r="AE60" s="294"/>
      <c r="AF60" s="438"/>
      <c r="AG60" s="495"/>
      <c r="AH60" s="438"/>
      <c r="AI60" s="438"/>
      <c r="AJ60" s="351"/>
      <c r="AK60" s="294"/>
      <c r="AL60" s="351"/>
      <c r="AM60" s="505"/>
      <c r="AN60" s="627"/>
      <c r="AO60" s="505"/>
      <c r="AP60" s="485"/>
      <c r="AS60" s="531"/>
      <c r="AT60" s="536"/>
    </row>
    <row r="61" spans="1:46">
      <c r="B61" s="1" t="s">
        <v>105</v>
      </c>
      <c r="E61" s="294"/>
      <c r="F61" s="294"/>
      <c r="G61" s="294"/>
      <c r="H61" s="294"/>
      <c r="I61" s="294"/>
      <c r="J61" s="294"/>
      <c r="K61" s="294"/>
      <c r="L61" s="294"/>
      <c r="M61" s="294"/>
      <c r="N61" s="294"/>
      <c r="O61" s="294"/>
      <c r="P61" s="294"/>
      <c r="Q61" s="294"/>
      <c r="R61" s="294"/>
      <c r="S61" s="294"/>
      <c r="T61" s="294"/>
      <c r="U61" s="294"/>
      <c r="V61" s="294"/>
      <c r="W61" s="434"/>
      <c r="X61" s="434"/>
      <c r="Y61" s="294"/>
      <c r="Z61" s="294"/>
      <c r="AA61" s="294"/>
      <c r="AB61" s="294"/>
      <c r="AC61" s="294"/>
      <c r="AD61" s="294"/>
      <c r="AE61" s="294"/>
      <c r="AF61" s="438"/>
      <c r="AG61" s="495"/>
      <c r="AH61" s="438"/>
      <c r="AI61" s="438"/>
      <c r="AJ61" s="351"/>
      <c r="AK61" s="294"/>
      <c r="AL61" s="351"/>
      <c r="AM61" s="505"/>
      <c r="AN61" s="627"/>
      <c r="AO61" s="505"/>
      <c r="AP61" s="485"/>
      <c r="AS61" s="539" t="s">
        <v>485</v>
      </c>
      <c r="AT61" s="539">
        <v>11280</v>
      </c>
    </row>
    <row r="62" spans="1:46">
      <c r="B62" s="1" t="s">
        <v>106</v>
      </c>
      <c r="E62" s="294"/>
      <c r="F62" s="603"/>
      <c r="G62" s="603"/>
      <c r="H62" s="603"/>
      <c r="I62" s="603"/>
      <c r="J62" s="603"/>
      <c r="K62" s="603"/>
      <c r="L62" s="603"/>
      <c r="M62" s="603"/>
      <c r="N62" s="603"/>
      <c r="O62" s="603"/>
      <c r="P62" s="603"/>
      <c r="Q62" s="603"/>
      <c r="R62" s="603"/>
      <c r="S62" s="603"/>
      <c r="T62" s="603"/>
      <c r="U62" s="603"/>
      <c r="V62" s="603"/>
      <c r="W62" s="614"/>
      <c r="X62" s="434"/>
      <c r="Y62" s="603"/>
      <c r="Z62" s="603"/>
      <c r="AA62" s="603"/>
      <c r="AB62" s="603"/>
      <c r="AC62" s="603"/>
      <c r="AD62" s="603"/>
      <c r="AE62" s="603"/>
      <c r="AF62" s="435"/>
      <c r="AG62" s="495"/>
      <c r="AH62" s="435"/>
      <c r="AI62" s="435"/>
      <c r="AJ62" s="603"/>
      <c r="AK62" s="603"/>
      <c r="AL62" s="603"/>
      <c r="AM62" s="505"/>
      <c r="AN62" s="625"/>
      <c r="AO62" s="505"/>
      <c r="AP62" s="485"/>
      <c r="AS62" s="539" t="s">
        <v>16</v>
      </c>
      <c r="AT62" s="599">
        <v>10701</v>
      </c>
    </row>
    <row r="63" spans="1:46">
      <c r="A63" s="155">
        <v>32</v>
      </c>
      <c r="B63" s="4"/>
      <c r="C63" s="4" t="s">
        <v>44</v>
      </c>
      <c r="D63" s="4"/>
      <c r="E63" s="612">
        <f>'ROO INPUT'!$F63</f>
        <v>24932</v>
      </c>
      <c r="F63" s="602">
        <v>0</v>
      </c>
      <c r="G63" s="602">
        <v>0</v>
      </c>
      <c r="H63" s="602">
        <v>0</v>
      </c>
      <c r="I63" s="602">
        <v>0</v>
      </c>
      <c r="J63" s="602">
        <v>0</v>
      </c>
      <c r="K63" s="602">
        <v>0</v>
      </c>
      <c r="L63" s="602">
        <v>0</v>
      </c>
      <c r="M63" s="602">
        <v>0</v>
      </c>
      <c r="N63" s="602">
        <v>0</v>
      </c>
      <c r="O63" s="602">
        <v>0</v>
      </c>
      <c r="P63" s="602">
        <v>0</v>
      </c>
      <c r="Q63" s="602">
        <v>0</v>
      </c>
      <c r="R63" s="602">
        <v>0</v>
      </c>
      <c r="S63" s="602">
        <v>0</v>
      </c>
      <c r="T63" s="602">
        <v>0</v>
      </c>
      <c r="U63" s="602">
        <v>0</v>
      </c>
      <c r="V63" s="602">
        <v>0</v>
      </c>
      <c r="W63" s="615">
        <v>0</v>
      </c>
      <c r="X63" s="432">
        <f>SUM(E63:W63)</f>
        <v>24932</v>
      </c>
      <c r="Y63" s="602">
        <v>0</v>
      </c>
      <c r="Z63" s="602">
        <v>0</v>
      </c>
      <c r="AA63" s="602">
        <v>0</v>
      </c>
      <c r="AB63" s="602">
        <v>0</v>
      </c>
      <c r="AC63" s="602">
        <v>0</v>
      </c>
      <c r="AD63" s="602">
        <v>0</v>
      </c>
      <c r="AE63" s="602">
        <v>0</v>
      </c>
      <c r="AF63" s="433">
        <v>287</v>
      </c>
      <c r="AG63" s="494">
        <f>SUM(X63:AF63)</f>
        <v>25219</v>
      </c>
      <c r="AH63" s="433">
        <v>769</v>
      </c>
      <c r="AI63" s="433">
        <v>333</v>
      </c>
      <c r="AJ63" s="602">
        <v>0</v>
      </c>
      <c r="AK63" s="602">
        <v>0</v>
      </c>
      <c r="AL63" s="602">
        <v>0</v>
      </c>
      <c r="AM63" s="504">
        <f>SUM(AG63:AL63)</f>
        <v>26321</v>
      </c>
      <c r="AN63" s="624"/>
      <c r="AO63" s="504">
        <f>SUM(AM63:AN63)</f>
        <v>26321</v>
      </c>
      <c r="AP63" s="484">
        <f>SUM(AO63:AO63)</f>
        <v>26321</v>
      </c>
      <c r="AS63" s="539"/>
      <c r="AT63" s="600">
        <f>AT61-AT62</f>
        <v>579</v>
      </c>
    </row>
    <row r="64" spans="1:46">
      <c r="A64" s="155">
        <v>33</v>
      </c>
      <c r="B64" s="4"/>
      <c r="C64" s="4" t="s">
        <v>63</v>
      </c>
      <c r="D64" s="4"/>
      <c r="E64" s="294">
        <f>'ROO INPUT'!$F64</f>
        <v>332439</v>
      </c>
      <c r="F64" s="603">
        <v>0</v>
      </c>
      <c r="G64" s="603">
        <v>0</v>
      </c>
      <c r="H64" s="603">
        <v>0</v>
      </c>
      <c r="I64" s="603">
        <v>0</v>
      </c>
      <c r="J64" s="603">
        <v>0</v>
      </c>
      <c r="K64" s="603">
        <v>0</v>
      </c>
      <c r="L64" s="603">
        <v>0</v>
      </c>
      <c r="M64" s="603">
        <v>0</v>
      </c>
      <c r="N64" s="603">
        <v>0</v>
      </c>
      <c r="O64" s="603">
        <v>0</v>
      </c>
      <c r="P64" s="603">
        <v>0</v>
      </c>
      <c r="Q64" s="603">
        <v>0</v>
      </c>
      <c r="R64" s="603">
        <v>0</v>
      </c>
      <c r="S64" s="603">
        <v>0</v>
      </c>
      <c r="T64" s="603">
        <v>0</v>
      </c>
      <c r="U64" s="603">
        <v>0</v>
      </c>
      <c r="V64" s="603">
        <v>0</v>
      </c>
      <c r="W64" s="614">
        <v>0</v>
      </c>
      <c r="X64" s="434">
        <f>SUM(E64:W64)</f>
        <v>332439</v>
      </c>
      <c r="Y64" s="603">
        <v>0</v>
      </c>
      <c r="Z64" s="603">
        <v>0</v>
      </c>
      <c r="AA64" s="603">
        <v>0</v>
      </c>
      <c r="AB64" s="603">
        <v>0</v>
      </c>
      <c r="AC64" s="603">
        <v>0</v>
      </c>
      <c r="AD64" s="603">
        <v>0</v>
      </c>
      <c r="AE64" s="603">
        <v>0</v>
      </c>
      <c r="AF64" s="435">
        <f>11785</f>
        <v>11785</v>
      </c>
      <c r="AG64" s="495">
        <f>SUM(X64:AF64)</f>
        <v>344224</v>
      </c>
      <c r="AH64" s="435">
        <v>18309</v>
      </c>
      <c r="AI64" s="435">
        <v>9469</v>
      </c>
      <c r="AJ64" s="603">
        <v>0</v>
      </c>
      <c r="AK64" s="603">
        <v>0</v>
      </c>
      <c r="AL64" s="603">
        <v>0</v>
      </c>
      <c r="AM64" s="505">
        <f>SUM(AG64:AL64)</f>
        <v>372002</v>
      </c>
      <c r="AN64" s="625"/>
      <c r="AO64" s="505">
        <f>SUM(AM64:AN64)</f>
        <v>372002</v>
      </c>
      <c r="AP64" s="485">
        <f>SUM(AO64:AO64)</f>
        <v>372002</v>
      </c>
      <c r="AS64" s="534"/>
      <c r="AT64" s="534">
        <v>0.65</v>
      </c>
    </row>
    <row r="65" spans="1:46">
      <c r="A65" s="155">
        <v>34</v>
      </c>
      <c r="B65" s="4"/>
      <c r="C65" s="4" t="s">
        <v>64</v>
      </c>
      <c r="D65" s="4"/>
      <c r="E65" s="296">
        <f>'ROO INPUT'!$F65</f>
        <v>58679</v>
      </c>
      <c r="F65" s="436">
        <v>0</v>
      </c>
      <c r="G65" s="436">
        <v>0</v>
      </c>
      <c r="H65" s="436">
        <v>0</v>
      </c>
      <c r="I65" s="436">
        <v>0</v>
      </c>
      <c r="J65" s="436">
        <v>0</v>
      </c>
      <c r="K65" s="436">
        <v>0</v>
      </c>
      <c r="L65" s="436">
        <v>0</v>
      </c>
      <c r="M65" s="436">
        <v>0</v>
      </c>
      <c r="N65" s="436">
        <v>0</v>
      </c>
      <c r="O65" s="436">
        <v>0</v>
      </c>
      <c r="P65" s="436">
        <v>0</v>
      </c>
      <c r="Q65" s="436">
        <v>0</v>
      </c>
      <c r="R65" s="436">
        <v>0</v>
      </c>
      <c r="S65" s="436">
        <v>0</v>
      </c>
      <c r="T65" s="436">
        <v>0</v>
      </c>
      <c r="U65" s="436">
        <v>0</v>
      </c>
      <c r="V65" s="436">
        <v>0</v>
      </c>
      <c r="W65" s="616">
        <v>0</v>
      </c>
      <c r="X65" s="437">
        <f>SUM(E65:W65)</f>
        <v>58679</v>
      </c>
      <c r="Y65" s="436">
        <v>0</v>
      </c>
      <c r="Z65" s="436">
        <v>0</v>
      </c>
      <c r="AA65" s="436">
        <v>0</v>
      </c>
      <c r="AB65" s="436">
        <v>0</v>
      </c>
      <c r="AC65" s="436">
        <v>0</v>
      </c>
      <c r="AD65" s="436">
        <v>0</v>
      </c>
      <c r="AE65" s="436">
        <v>0</v>
      </c>
      <c r="AF65" s="436">
        <f>2213+2164+1</f>
        <v>4378</v>
      </c>
      <c r="AG65" s="496">
        <f>SUM(X65:AF65)</f>
        <v>63057</v>
      </c>
      <c r="AH65" s="436">
        <f>6495+16361+1</f>
        <v>22857</v>
      </c>
      <c r="AI65" s="436">
        <f>2816+1712</f>
        <v>4528</v>
      </c>
      <c r="AJ65" s="436">
        <v>0</v>
      </c>
      <c r="AK65" s="436">
        <v>0</v>
      </c>
      <c r="AL65" s="436">
        <v>0</v>
      </c>
      <c r="AM65" s="506">
        <f>SUM(AG65:AL65)</f>
        <v>90442</v>
      </c>
      <c r="AN65" s="626"/>
      <c r="AO65" s="506">
        <f>SUM(AM65:AN65)</f>
        <v>90442</v>
      </c>
      <c r="AP65" s="486">
        <f>SUM(AO65:AO65)</f>
        <v>90442</v>
      </c>
      <c r="AS65" s="534"/>
      <c r="AT65" s="535">
        <f>E87</f>
        <v>0.62014000000000002</v>
      </c>
    </row>
    <row r="66" spans="1:46" ht="18" customHeight="1">
      <c r="A66" s="155">
        <v>35</v>
      </c>
      <c r="B66" s="4" t="s">
        <v>65</v>
      </c>
      <c r="C66" s="4"/>
      <c r="E66" s="294">
        <f>SUM(E63:E65)</f>
        <v>416050</v>
      </c>
      <c r="F66" s="294">
        <f t="shared" ref="F66:N66" si="80">SUM(F63:F65)</f>
        <v>0</v>
      </c>
      <c r="G66" s="294">
        <f t="shared" si="80"/>
        <v>0</v>
      </c>
      <c r="H66" s="294">
        <f t="shared" si="80"/>
        <v>0</v>
      </c>
      <c r="I66" s="294">
        <f t="shared" si="80"/>
        <v>0</v>
      </c>
      <c r="J66" s="294">
        <f>SUM(J63:J65)</f>
        <v>0</v>
      </c>
      <c r="K66" s="294">
        <f t="shared" si="80"/>
        <v>0</v>
      </c>
      <c r="L66" s="294">
        <f t="shared" si="80"/>
        <v>0</v>
      </c>
      <c r="M66" s="294">
        <f t="shared" si="80"/>
        <v>0</v>
      </c>
      <c r="N66" s="294">
        <f t="shared" si="80"/>
        <v>0</v>
      </c>
      <c r="O66" s="294">
        <f t="shared" ref="O66:X66" si="81">SUM(O63:O65)</f>
        <v>0</v>
      </c>
      <c r="P66" s="294">
        <f t="shared" si="81"/>
        <v>0</v>
      </c>
      <c r="Q66" s="294">
        <f>SUM(Q63:Q65)</f>
        <v>0</v>
      </c>
      <c r="R66" s="294">
        <f>SUM(R63:R65)</f>
        <v>0</v>
      </c>
      <c r="S66" s="294">
        <f>SUM(S63:S65)</f>
        <v>0</v>
      </c>
      <c r="T66" s="294">
        <f>SUM(T63:T65)</f>
        <v>0</v>
      </c>
      <c r="U66" s="294">
        <f>SUM(U63:U65)</f>
        <v>0</v>
      </c>
      <c r="V66" s="294">
        <f t="shared" ref="V66" si="82">SUM(V63:V65)</f>
        <v>0</v>
      </c>
      <c r="W66" s="294">
        <f>SUM(W63:W65)</f>
        <v>0</v>
      </c>
      <c r="X66" s="434">
        <f t="shared" si="81"/>
        <v>416050</v>
      </c>
      <c r="Y66" s="294">
        <f t="shared" ref="Y66:AB66" si="83">SUM(Y63:Y65)</f>
        <v>0</v>
      </c>
      <c r="Z66" s="294">
        <f t="shared" si="83"/>
        <v>0</v>
      </c>
      <c r="AA66" s="294">
        <f t="shared" si="83"/>
        <v>0</v>
      </c>
      <c r="AB66" s="294">
        <f t="shared" si="83"/>
        <v>0</v>
      </c>
      <c r="AC66" s="294">
        <f t="shared" ref="AC66:AG66" si="84">SUM(AC63:AC65)</f>
        <v>0</v>
      </c>
      <c r="AD66" s="294">
        <f t="shared" si="84"/>
        <v>0</v>
      </c>
      <c r="AE66" s="294">
        <f>SUM(AE63:AE65)</f>
        <v>0</v>
      </c>
      <c r="AF66" s="438">
        <f>SUM(AF63:AF65)</f>
        <v>16450</v>
      </c>
      <c r="AG66" s="495">
        <f t="shared" si="84"/>
        <v>432500</v>
      </c>
      <c r="AH66" s="438">
        <f t="shared" ref="AH66:AM66" si="85">SUM(AH63:AH65)</f>
        <v>41935</v>
      </c>
      <c r="AI66" s="438">
        <f>SUM(AI63:AI65)</f>
        <v>14330</v>
      </c>
      <c r="AJ66" s="351">
        <f>SUM(AJ63:AJ65)</f>
        <v>0</v>
      </c>
      <c r="AK66" s="294">
        <f>SUM(AK63:AK65)</f>
        <v>0</v>
      </c>
      <c r="AL66" s="351">
        <f t="shared" ref="AL66" si="86">SUM(AL63:AL65)</f>
        <v>0</v>
      </c>
      <c r="AM66" s="505">
        <f t="shared" si="85"/>
        <v>488765</v>
      </c>
      <c r="AN66" s="627">
        <f t="shared" ref="AN66" si="87">SUM(AN63:AN65)</f>
        <v>0</v>
      </c>
      <c r="AO66" s="505">
        <f t="shared" ref="AO66:AP66" si="88">SUM(AO63:AO65)</f>
        <v>488765</v>
      </c>
      <c r="AP66" s="485">
        <f t="shared" si="88"/>
        <v>488765</v>
      </c>
      <c r="AS66" s="539"/>
      <c r="AT66" s="542">
        <f>AT63/AT64*AT65</f>
        <v>552.40163076923079</v>
      </c>
    </row>
    <row r="67" spans="1:46" ht="6.75" customHeight="1">
      <c r="B67" s="4"/>
      <c r="C67" s="4"/>
      <c r="E67" s="294"/>
      <c r="F67" s="294"/>
      <c r="G67" s="294"/>
      <c r="H67" s="294"/>
      <c r="I67" s="294"/>
      <c r="J67" s="294"/>
      <c r="K67" s="294"/>
      <c r="L67" s="294"/>
      <c r="M67" s="294"/>
      <c r="N67" s="294"/>
      <c r="O67" s="294"/>
      <c r="P67" s="294"/>
      <c r="Q67" s="294"/>
      <c r="R67" s="294"/>
      <c r="S67" s="294"/>
      <c r="T67" s="294"/>
      <c r="U67" s="294"/>
      <c r="V67" s="294"/>
      <c r="W67" s="294"/>
      <c r="X67" s="434"/>
      <c r="Y67" s="294"/>
      <c r="Z67" s="294"/>
      <c r="AA67" s="294"/>
      <c r="AB67" s="294"/>
      <c r="AC67" s="294"/>
      <c r="AD67" s="294"/>
      <c r="AE67" s="294"/>
      <c r="AF67" s="438"/>
      <c r="AG67" s="495"/>
      <c r="AH67" s="438"/>
      <c r="AI67" s="438"/>
      <c r="AJ67" s="351"/>
      <c r="AK67" s="294"/>
      <c r="AL67" s="351"/>
      <c r="AM67" s="505"/>
      <c r="AN67" s="627"/>
      <c r="AO67" s="505"/>
      <c r="AP67" s="485"/>
      <c r="AQ67" s="1"/>
      <c r="AR67" s="1"/>
      <c r="AS67" s="1"/>
      <c r="AT67" s="1"/>
    </row>
    <row r="68" spans="1:46">
      <c r="B68" s="4" t="s">
        <v>218</v>
      </c>
      <c r="C68" s="4"/>
      <c r="D68" s="4"/>
      <c r="E68" s="294"/>
      <c r="F68" s="603"/>
      <c r="G68" s="603"/>
      <c r="H68" s="603"/>
      <c r="I68" s="603"/>
      <c r="J68" s="603"/>
      <c r="K68" s="603"/>
      <c r="L68" s="603"/>
      <c r="M68" s="603"/>
      <c r="N68" s="603"/>
      <c r="O68" s="603"/>
      <c r="P68" s="603"/>
      <c r="Q68" s="603"/>
      <c r="R68" s="603"/>
      <c r="S68" s="603"/>
      <c r="T68" s="603"/>
      <c r="U68" s="603"/>
      <c r="V68" s="603"/>
      <c r="W68" s="603"/>
      <c r="X68" s="434"/>
      <c r="Y68" s="603"/>
      <c r="Z68" s="603"/>
      <c r="AA68" s="603"/>
      <c r="AB68" s="603"/>
      <c r="AC68" s="603"/>
      <c r="AD68" s="603"/>
      <c r="AE68" s="603"/>
      <c r="AF68" s="435"/>
      <c r="AG68" s="495"/>
      <c r="AH68" s="435"/>
      <c r="AI68" s="435"/>
      <c r="AJ68" s="603"/>
      <c r="AK68" s="603"/>
      <c r="AL68" s="603"/>
      <c r="AM68" s="505"/>
      <c r="AN68" s="625"/>
      <c r="AO68" s="505"/>
      <c r="AP68" s="485"/>
      <c r="AQ68" s="451"/>
      <c r="AR68" s="523"/>
      <c r="AS68" s="523"/>
      <c r="AT68" s="523"/>
    </row>
    <row r="69" spans="1:46">
      <c r="A69" s="155">
        <v>36</v>
      </c>
      <c r="B69" s="4"/>
      <c r="C69" s="4" t="s">
        <v>44</v>
      </c>
      <c r="D69" s="4"/>
      <c r="E69" s="294">
        <f>'ROO INPUT'!$F69</f>
        <v>-9345</v>
      </c>
      <c r="F69" s="603">
        <v>0</v>
      </c>
      <c r="G69" s="603">
        <v>0</v>
      </c>
      <c r="H69" s="603">
        <v>0</v>
      </c>
      <c r="I69" s="603">
        <v>0</v>
      </c>
      <c r="J69" s="603">
        <v>0</v>
      </c>
      <c r="K69" s="603">
        <v>0</v>
      </c>
      <c r="L69" s="603">
        <v>0</v>
      </c>
      <c r="M69" s="603">
        <v>0</v>
      </c>
      <c r="N69" s="603">
        <v>0</v>
      </c>
      <c r="O69" s="603">
        <v>0</v>
      </c>
      <c r="P69" s="603">
        <v>0</v>
      </c>
      <c r="Q69" s="603">
        <v>0</v>
      </c>
      <c r="R69" s="603">
        <v>0</v>
      </c>
      <c r="S69" s="603">
        <v>0</v>
      </c>
      <c r="T69" s="603">
        <v>0</v>
      </c>
      <c r="U69" s="603">
        <v>0</v>
      </c>
      <c r="V69" s="603">
        <v>0</v>
      </c>
      <c r="W69" s="603">
        <v>0</v>
      </c>
      <c r="X69" s="434">
        <f>SUM(E69:W69)</f>
        <v>-9345</v>
      </c>
      <c r="Y69" s="603">
        <v>0</v>
      </c>
      <c r="Z69" s="603">
        <v>0</v>
      </c>
      <c r="AA69" s="603">
        <v>0</v>
      </c>
      <c r="AB69" s="603">
        <v>0</v>
      </c>
      <c r="AC69" s="603">
        <v>0</v>
      </c>
      <c r="AD69" s="603">
        <v>0</v>
      </c>
      <c r="AE69" s="603">
        <v>0</v>
      </c>
      <c r="AF69" s="442">
        <v>-299</v>
      </c>
      <c r="AG69" s="495">
        <f>SUM(X69:AF69)</f>
        <v>-9644</v>
      </c>
      <c r="AH69" s="442">
        <v>-412</v>
      </c>
      <c r="AI69" s="442">
        <v>-212</v>
      </c>
      <c r="AJ69" s="603">
        <v>0</v>
      </c>
      <c r="AK69" s="603">
        <v>0</v>
      </c>
      <c r="AL69" s="603">
        <v>0</v>
      </c>
      <c r="AM69" s="505">
        <f>SUM(AG69:AL69)</f>
        <v>-10268</v>
      </c>
      <c r="AN69" s="630"/>
      <c r="AO69" s="505">
        <f>SUM(AM69:AN69)</f>
        <v>-10268</v>
      </c>
      <c r="AP69" s="485">
        <f>SUM(AO69:AO69)</f>
        <v>-10268</v>
      </c>
      <c r="AQ69" s="451"/>
      <c r="AR69" s="523"/>
      <c r="AS69" s="523"/>
      <c r="AT69" s="523"/>
    </row>
    <row r="70" spans="1:46">
      <c r="A70" s="155">
        <v>37</v>
      </c>
      <c r="B70" s="4"/>
      <c r="C70" s="4" t="s">
        <v>63</v>
      </c>
      <c r="D70" s="4"/>
      <c r="E70" s="294">
        <f>'ROO INPUT'!$F70</f>
        <v>-113282</v>
      </c>
      <c r="F70" s="603">
        <v>0</v>
      </c>
      <c r="G70" s="603">
        <v>0</v>
      </c>
      <c r="H70" s="603">
        <v>0</v>
      </c>
      <c r="I70" s="603">
        <v>0</v>
      </c>
      <c r="J70" s="603">
        <v>0</v>
      </c>
      <c r="K70" s="603">
        <v>0</v>
      </c>
      <c r="L70" s="603">
        <v>0</v>
      </c>
      <c r="M70" s="603">
        <v>0</v>
      </c>
      <c r="N70" s="603">
        <v>0</v>
      </c>
      <c r="O70" s="603">
        <v>0</v>
      </c>
      <c r="P70" s="603">
        <v>0</v>
      </c>
      <c r="Q70" s="603">
        <v>0</v>
      </c>
      <c r="R70" s="603">
        <v>0</v>
      </c>
      <c r="S70" s="603">
        <v>0</v>
      </c>
      <c r="T70" s="603">
        <v>0</v>
      </c>
      <c r="U70" s="603">
        <v>0</v>
      </c>
      <c r="V70" s="603">
        <v>0</v>
      </c>
      <c r="W70" s="603">
        <v>0</v>
      </c>
      <c r="X70" s="434">
        <f>SUM(E70:W70)</f>
        <v>-113282</v>
      </c>
      <c r="Y70" s="603">
        <v>0</v>
      </c>
      <c r="Z70" s="603">
        <v>0</v>
      </c>
      <c r="AA70" s="603">
        <v>0</v>
      </c>
      <c r="AB70" s="603">
        <v>0</v>
      </c>
      <c r="AC70" s="603">
        <v>0</v>
      </c>
      <c r="AD70" s="603">
        <v>0</v>
      </c>
      <c r="AE70" s="603">
        <v>0</v>
      </c>
      <c r="AF70" s="435">
        <v>-4159</v>
      </c>
      <c r="AG70" s="495">
        <f>SUM(X70:AF70)</f>
        <v>-117441</v>
      </c>
      <c r="AH70" s="435">
        <v>-5999</v>
      </c>
      <c r="AI70" s="442">
        <v>-3544</v>
      </c>
      <c r="AJ70" s="603">
        <v>0</v>
      </c>
      <c r="AK70" s="603">
        <v>0</v>
      </c>
      <c r="AL70" s="603">
        <v>0</v>
      </c>
      <c r="AM70" s="505">
        <f>SUM(AG70:AL70)</f>
        <v>-126984</v>
      </c>
      <c r="AN70" s="630"/>
      <c r="AO70" s="505">
        <f>SUM(AM70:AN70)</f>
        <v>-126984</v>
      </c>
      <c r="AP70" s="485">
        <f>SUM(AO70:AO70)</f>
        <v>-126984</v>
      </c>
      <c r="AQ70" s="451"/>
      <c r="AR70" s="523"/>
      <c r="AS70" s="523"/>
      <c r="AT70" s="523"/>
    </row>
    <row r="71" spans="1:46">
      <c r="A71" s="155">
        <v>38</v>
      </c>
      <c r="B71" s="4"/>
      <c r="C71" s="4" t="s">
        <v>64</v>
      </c>
      <c r="D71" s="4"/>
      <c r="E71" s="294">
        <f>'ROO INPUT'!$F71</f>
        <v>-16998</v>
      </c>
      <c r="F71" s="603">
        <v>0</v>
      </c>
      <c r="G71" s="603">
        <v>0</v>
      </c>
      <c r="H71" s="603">
        <v>0</v>
      </c>
      <c r="I71" s="603">
        <v>0</v>
      </c>
      <c r="J71" s="603">
        <v>0</v>
      </c>
      <c r="K71" s="603">
        <v>0</v>
      </c>
      <c r="L71" s="603">
        <v>0</v>
      </c>
      <c r="M71" s="603">
        <v>0</v>
      </c>
      <c r="N71" s="603">
        <v>0</v>
      </c>
      <c r="O71" s="603">
        <v>0</v>
      </c>
      <c r="P71" s="603">
        <v>0</v>
      </c>
      <c r="Q71" s="603">
        <v>0</v>
      </c>
      <c r="R71" s="603">
        <v>0</v>
      </c>
      <c r="S71" s="603">
        <v>0</v>
      </c>
      <c r="T71" s="603">
        <v>0</v>
      </c>
      <c r="U71" s="603">
        <v>0</v>
      </c>
      <c r="V71" s="603">
        <v>0</v>
      </c>
      <c r="W71" s="603">
        <v>0</v>
      </c>
      <c r="X71" s="434">
        <f>SUM(E71:W71)</f>
        <v>-16998</v>
      </c>
      <c r="Y71" s="603">
        <v>0</v>
      </c>
      <c r="Z71" s="603">
        <v>0</v>
      </c>
      <c r="AA71" s="603">
        <v>0</v>
      </c>
      <c r="AB71" s="603">
        <v>0</v>
      </c>
      <c r="AC71" s="603">
        <v>0</v>
      </c>
      <c r="AD71" s="603">
        <v>0</v>
      </c>
      <c r="AE71" s="603">
        <v>0</v>
      </c>
      <c r="AF71" s="436">
        <f>-840-844</f>
        <v>-1684</v>
      </c>
      <c r="AG71" s="495">
        <f>SUM(X71:AF71)</f>
        <v>-18682</v>
      </c>
      <c r="AH71" s="436">
        <f>-1530-2261</f>
        <v>-3791</v>
      </c>
      <c r="AI71" s="442">
        <f>-1030-1880</f>
        <v>-2910</v>
      </c>
      <c r="AJ71" s="603">
        <v>0</v>
      </c>
      <c r="AK71" s="603">
        <v>0</v>
      </c>
      <c r="AL71" s="603">
        <v>0</v>
      </c>
      <c r="AM71" s="505">
        <f>SUM(AG71:AL71)</f>
        <v>-25383</v>
      </c>
      <c r="AN71" s="631"/>
      <c r="AO71" s="505">
        <f>SUM(AM71:AN71)</f>
        <v>-25383</v>
      </c>
      <c r="AP71" s="485">
        <f>SUM(AO71:AO71)</f>
        <v>-25383</v>
      </c>
      <c r="AQ71" s="451"/>
      <c r="AR71" s="523"/>
      <c r="AS71" s="523"/>
      <c r="AT71" s="523"/>
    </row>
    <row r="72" spans="1:46">
      <c r="A72" s="155">
        <v>39</v>
      </c>
      <c r="B72" s="4" t="s">
        <v>438</v>
      </c>
      <c r="C72" s="4"/>
      <c r="E72" s="300">
        <f>SUM(E69:E71)</f>
        <v>-139625</v>
      </c>
      <c r="F72" s="300">
        <f t="shared" ref="F72:N72" si="89">SUM(F69:F71)</f>
        <v>0</v>
      </c>
      <c r="G72" s="300">
        <f t="shared" si="89"/>
        <v>0</v>
      </c>
      <c r="H72" s="300">
        <f t="shared" si="89"/>
        <v>0</v>
      </c>
      <c r="I72" s="300">
        <f t="shared" si="89"/>
        <v>0</v>
      </c>
      <c r="J72" s="300">
        <f>SUM(J69:J71)</f>
        <v>0</v>
      </c>
      <c r="K72" s="300">
        <f t="shared" si="89"/>
        <v>0</v>
      </c>
      <c r="L72" s="300">
        <f t="shared" si="89"/>
        <v>0</v>
      </c>
      <c r="M72" s="300">
        <f t="shared" si="89"/>
        <v>0</v>
      </c>
      <c r="N72" s="300">
        <f t="shared" si="89"/>
        <v>0</v>
      </c>
      <c r="O72" s="300">
        <f t="shared" ref="O72:P72" si="90">SUM(O69:O71)</f>
        <v>0</v>
      </c>
      <c r="P72" s="300">
        <f t="shared" si="90"/>
        <v>0</v>
      </c>
      <c r="Q72" s="300">
        <f>SUM(Q69:Q71)</f>
        <v>0</v>
      </c>
      <c r="R72" s="300">
        <f>SUM(R69:R71)</f>
        <v>0</v>
      </c>
      <c r="S72" s="300">
        <f>SUM(S69:S71)</f>
        <v>0</v>
      </c>
      <c r="T72" s="300">
        <f>SUM(T69:T71)</f>
        <v>0</v>
      </c>
      <c r="U72" s="300">
        <f t="shared" ref="U72:W72" si="91">SUM(U69:U71)</f>
        <v>0</v>
      </c>
      <c r="V72" s="300">
        <f>SUM(V69:V71)</f>
        <v>0</v>
      </c>
      <c r="W72" s="300">
        <f t="shared" si="91"/>
        <v>0</v>
      </c>
      <c r="X72" s="444">
        <f t="shared" ref="X72:Z72" si="92">SUM(X69:X71)</f>
        <v>-139625</v>
      </c>
      <c r="Y72" s="300">
        <f t="shared" si="92"/>
        <v>0</v>
      </c>
      <c r="Z72" s="300">
        <f t="shared" si="92"/>
        <v>0</v>
      </c>
      <c r="AA72" s="300">
        <f t="shared" ref="AA72:AB72" si="93">SUM(AA69:AA71)</f>
        <v>0</v>
      </c>
      <c r="AB72" s="300">
        <f t="shared" si="93"/>
        <v>0</v>
      </c>
      <c r="AC72" s="300">
        <f t="shared" ref="AC72:AG72" si="94">SUM(AC69:AC71)</f>
        <v>0</v>
      </c>
      <c r="AD72" s="300">
        <f t="shared" si="94"/>
        <v>0</v>
      </c>
      <c r="AE72" s="300">
        <f>SUM(AE69:AE71)</f>
        <v>0</v>
      </c>
      <c r="AF72" s="443">
        <f>SUM(AF69:AF71)</f>
        <v>-6142</v>
      </c>
      <c r="AG72" s="498">
        <f t="shared" si="94"/>
        <v>-145767</v>
      </c>
      <c r="AH72" s="298">
        <f t="shared" ref="AH72:AM72" si="95">SUM(AH69:AH71)</f>
        <v>-10202</v>
      </c>
      <c r="AI72" s="443">
        <f>SUM(AI69:AI71)</f>
        <v>-6666</v>
      </c>
      <c r="AJ72" s="443">
        <f>SUM(AJ69:AJ71)</f>
        <v>0</v>
      </c>
      <c r="AK72" s="300">
        <f>SUM(AK69:AK71)</f>
        <v>0</v>
      </c>
      <c r="AL72" s="443">
        <f t="shared" ref="AL72" si="96">SUM(AL69:AL71)</f>
        <v>0</v>
      </c>
      <c r="AM72" s="508">
        <f t="shared" si="95"/>
        <v>-162635</v>
      </c>
      <c r="AN72" s="632">
        <f t="shared" ref="AN72" si="97">SUM(AN69:AN71)</f>
        <v>0</v>
      </c>
      <c r="AO72" s="508">
        <f t="shared" ref="AO72:AP72" si="98">SUM(AO69:AO71)</f>
        <v>-162635</v>
      </c>
      <c r="AP72" s="488">
        <f t="shared" si="98"/>
        <v>-162635</v>
      </c>
      <c r="AQ72" s="523"/>
      <c r="AR72" s="523"/>
      <c r="AS72" s="523"/>
      <c r="AT72" s="523"/>
    </row>
    <row r="73" spans="1:46">
      <c r="A73" s="155">
        <v>40</v>
      </c>
      <c r="B73" s="4" t="s">
        <v>184</v>
      </c>
      <c r="C73" s="4"/>
      <c r="D73" s="4"/>
      <c r="E73" s="303">
        <f>E66+E72</f>
        <v>276425</v>
      </c>
      <c r="F73" s="303">
        <f t="shared" ref="F73:AP73" si="99">F66+F72</f>
        <v>0</v>
      </c>
      <c r="G73" s="303">
        <f t="shared" si="99"/>
        <v>0</v>
      </c>
      <c r="H73" s="303">
        <f t="shared" si="99"/>
        <v>0</v>
      </c>
      <c r="I73" s="303">
        <f t="shared" si="99"/>
        <v>0</v>
      </c>
      <c r="J73" s="303">
        <f t="shared" si="99"/>
        <v>0</v>
      </c>
      <c r="K73" s="303">
        <f t="shared" si="99"/>
        <v>0</v>
      </c>
      <c r="L73" s="303">
        <f t="shared" si="99"/>
        <v>0</v>
      </c>
      <c r="M73" s="303">
        <f t="shared" si="99"/>
        <v>0</v>
      </c>
      <c r="N73" s="303">
        <f t="shared" si="99"/>
        <v>0</v>
      </c>
      <c r="O73" s="303">
        <f t="shared" si="99"/>
        <v>0</v>
      </c>
      <c r="P73" s="303">
        <f t="shared" si="99"/>
        <v>0</v>
      </c>
      <c r="Q73" s="303">
        <f t="shared" si="99"/>
        <v>0</v>
      </c>
      <c r="R73" s="303">
        <f t="shared" si="99"/>
        <v>0</v>
      </c>
      <c r="S73" s="303">
        <f t="shared" ref="S73" si="100">S66+S72</f>
        <v>0</v>
      </c>
      <c r="T73" s="303">
        <f>T66+T72</f>
        <v>0</v>
      </c>
      <c r="U73" s="303">
        <f t="shared" si="99"/>
        <v>0</v>
      </c>
      <c r="V73" s="303">
        <f t="shared" si="99"/>
        <v>0</v>
      </c>
      <c r="W73" s="303">
        <f t="shared" si="99"/>
        <v>0</v>
      </c>
      <c r="X73" s="445">
        <f t="shared" si="99"/>
        <v>276425</v>
      </c>
      <c r="Y73" s="303">
        <f t="shared" si="99"/>
        <v>0</v>
      </c>
      <c r="Z73" s="303">
        <f t="shared" si="99"/>
        <v>0</v>
      </c>
      <c r="AA73" s="303">
        <f t="shared" si="99"/>
        <v>0</v>
      </c>
      <c r="AB73" s="303">
        <f t="shared" si="99"/>
        <v>0</v>
      </c>
      <c r="AC73" s="303">
        <f t="shared" ref="AC73" si="101">AC66+AC72</f>
        <v>0</v>
      </c>
      <c r="AD73" s="303">
        <f>AD66+AD72</f>
        <v>0</v>
      </c>
      <c r="AE73" s="303">
        <f t="shared" ref="AE73" si="102">AE66+AE72</f>
        <v>0</v>
      </c>
      <c r="AF73" s="303">
        <f>AF66+AF72</f>
        <v>10308</v>
      </c>
      <c r="AG73" s="495">
        <f t="shared" si="99"/>
        <v>286733</v>
      </c>
      <c r="AH73" s="303">
        <f t="shared" si="99"/>
        <v>31733</v>
      </c>
      <c r="AI73" s="303">
        <f>AI66+AI72</f>
        <v>7664</v>
      </c>
      <c r="AJ73" s="438">
        <f>AJ66+AJ72</f>
        <v>0</v>
      </c>
      <c r="AK73" s="303">
        <f>AK66+AK72</f>
        <v>0</v>
      </c>
      <c r="AL73" s="438">
        <f t="shared" ref="AL73" si="103">AL66+AL72</f>
        <v>0</v>
      </c>
      <c r="AM73" s="505">
        <f t="shared" ref="AM73" si="104">AM66+AM72</f>
        <v>326130</v>
      </c>
      <c r="AN73" s="627">
        <f t="shared" si="99"/>
        <v>0</v>
      </c>
      <c r="AO73" s="505">
        <f t="shared" si="99"/>
        <v>326130</v>
      </c>
      <c r="AP73" s="489">
        <f t="shared" si="99"/>
        <v>326130</v>
      </c>
      <c r="AQ73" s="523"/>
      <c r="AR73" s="523"/>
      <c r="AS73" s="523"/>
      <c r="AT73" s="523"/>
    </row>
    <row r="74" spans="1:46" s="439" customFormat="1" ht="13.5" customHeight="1">
      <c r="A74" s="5">
        <v>41</v>
      </c>
      <c r="B74" s="6" t="s">
        <v>111</v>
      </c>
      <c r="C74" s="6"/>
      <c r="D74" s="6"/>
      <c r="E74" s="296">
        <f>'ROO INPUT'!$F74</f>
        <v>-55323</v>
      </c>
      <c r="F74" s="436">
        <v>-3032</v>
      </c>
      <c r="G74" s="436">
        <v>0</v>
      </c>
      <c r="H74" s="436">
        <v>0</v>
      </c>
      <c r="I74" s="436">
        <v>0</v>
      </c>
      <c r="J74" s="436">
        <v>0</v>
      </c>
      <c r="K74" s="436">
        <v>0</v>
      </c>
      <c r="L74" s="436">
        <v>0</v>
      </c>
      <c r="M74" s="436">
        <v>0</v>
      </c>
      <c r="N74" s="436">
        <v>0</v>
      </c>
      <c r="O74" s="436">
        <v>0</v>
      </c>
      <c r="P74" s="436">
        <v>0</v>
      </c>
      <c r="Q74" s="436">
        <v>0</v>
      </c>
      <c r="R74" s="436">
        <v>0</v>
      </c>
      <c r="S74" s="436">
        <v>0</v>
      </c>
      <c r="T74" s="436">
        <v>0</v>
      </c>
      <c r="U74" s="436">
        <v>0</v>
      </c>
      <c r="V74" s="436">
        <v>0</v>
      </c>
      <c r="W74" s="436">
        <v>0</v>
      </c>
      <c r="X74" s="437">
        <f>SUM(E74:W74)</f>
        <v>-58355</v>
      </c>
      <c r="Y74" s="436"/>
      <c r="Z74" s="436"/>
      <c r="AA74" s="436"/>
      <c r="AB74" s="436"/>
      <c r="AC74" s="436">
        <v>0</v>
      </c>
      <c r="AD74" s="436">
        <v>0</v>
      </c>
      <c r="AE74" s="436">
        <v>0</v>
      </c>
      <c r="AF74" s="436">
        <f>-7349+1</f>
        <v>-7348</v>
      </c>
      <c r="AG74" s="496">
        <f>SUM(X74:AF74)</f>
        <v>-65703</v>
      </c>
      <c r="AH74" s="436">
        <f>-3042</f>
        <v>-3042</v>
      </c>
      <c r="AI74" s="436">
        <v>-1958</v>
      </c>
      <c r="AJ74" s="436"/>
      <c r="AK74" s="436"/>
      <c r="AL74" s="436"/>
      <c r="AM74" s="506">
        <f>SUM(AG74:AL74)</f>
        <v>-70703</v>
      </c>
      <c r="AN74" s="626"/>
      <c r="AO74" s="506">
        <f>SUM(AM74:AN74)</f>
        <v>-70703</v>
      </c>
      <c r="AP74" s="486">
        <f>SUM(AO74:AO74)</f>
        <v>-70703</v>
      </c>
      <c r="AQ74" s="523"/>
      <c r="AR74" s="523"/>
      <c r="AS74" s="523"/>
      <c r="AT74" s="523"/>
    </row>
    <row r="75" spans="1:46" s="439" customFormat="1" ht="18.95" customHeight="1">
      <c r="A75" s="5">
        <v>42</v>
      </c>
      <c r="B75" s="6" t="s">
        <v>219</v>
      </c>
      <c r="C75" s="6"/>
      <c r="D75" s="6"/>
      <c r="E75" s="303">
        <f>E73+E74</f>
        <v>221102</v>
      </c>
      <c r="F75" s="303">
        <f>F73+F74</f>
        <v>-3032</v>
      </c>
      <c r="G75" s="303">
        <f t="shared" ref="G75:AB75" si="105">G73+G74</f>
        <v>0</v>
      </c>
      <c r="H75" s="303">
        <f t="shared" si="105"/>
        <v>0</v>
      </c>
      <c r="I75" s="303">
        <f t="shared" si="105"/>
        <v>0</v>
      </c>
      <c r="J75" s="303">
        <f>J73+J74</f>
        <v>0</v>
      </c>
      <c r="K75" s="303">
        <f t="shared" si="105"/>
        <v>0</v>
      </c>
      <c r="L75" s="303">
        <f t="shared" si="105"/>
        <v>0</v>
      </c>
      <c r="M75" s="303">
        <f t="shared" si="105"/>
        <v>0</v>
      </c>
      <c r="N75" s="303">
        <f t="shared" si="105"/>
        <v>0</v>
      </c>
      <c r="O75" s="303">
        <f t="shared" si="105"/>
        <v>0</v>
      </c>
      <c r="P75" s="303">
        <f t="shared" si="105"/>
        <v>0</v>
      </c>
      <c r="Q75" s="303">
        <f>Q73+Q74</f>
        <v>0</v>
      </c>
      <c r="R75" s="303">
        <f>R73+R74</f>
        <v>0</v>
      </c>
      <c r="S75" s="303">
        <f>S73+S74</f>
        <v>0</v>
      </c>
      <c r="T75" s="303">
        <f>T73+T74</f>
        <v>0</v>
      </c>
      <c r="U75" s="303">
        <f t="shared" si="105"/>
        <v>0</v>
      </c>
      <c r="V75" s="303">
        <f>V73+V74</f>
        <v>0</v>
      </c>
      <c r="W75" s="303">
        <f>W73+W74</f>
        <v>0</v>
      </c>
      <c r="X75" s="445">
        <f>X73+X74</f>
        <v>218070</v>
      </c>
      <c r="Y75" s="303">
        <f t="shared" si="105"/>
        <v>0</v>
      </c>
      <c r="Z75" s="303">
        <f t="shared" si="105"/>
        <v>0</v>
      </c>
      <c r="AA75" s="303">
        <f t="shared" si="105"/>
        <v>0</v>
      </c>
      <c r="AB75" s="303">
        <f t="shared" si="105"/>
        <v>0</v>
      </c>
      <c r="AC75" s="303">
        <f t="shared" ref="AC75:AG75" si="106">AC73+AC74</f>
        <v>0</v>
      </c>
      <c r="AD75" s="303">
        <f t="shared" si="106"/>
        <v>0</v>
      </c>
      <c r="AE75" s="303">
        <f>AE73+AE74</f>
        <v>0</v>
      </c>
      <c r="AF75" s="438">
        <f>AF73+AF74</f>
        <v>2960</v>
      </c>
      <c r="AG75" s="495">
        <f t="shared" si="106"/>
        <v>221030</v>
      </c>
      <c r="AH75" s="303">
        <f t="shared" ref="AH75:AM75" si="107">AH73+AH74</f>
        <v>28691</v>
      </c>
      <c r="AI75" s="303">
        <f>AI73+AI74</f>
        <v>5706</v>
      </c>
      <c r="AJ75" s="438">
        <f>AJ73+AJ74</f>
        <v>0</v>
      </c>
      <c r="AK75" s="303">
        <f>AK73+AK74</f>
        <v>0</v>
      </c>
      <c r="AL75" s="438">
        <f t="shared" ref="AL75" si="108">AL73+AL74</f>
        <v>0</v>
      </c>
      <c r="AM75" s="505">
        <f t="shared" si="107"/>
        <v>255427</v>
      </c>
      <c r="AN75" s="627">
        <f t="shared" ref="AN75" si="109">AN73+AN74</f>
        <v>0</v>
      </c>
      <c r="AO75" s="505">
        <f t="shared" ref="AO75:AP75" si="110">AO73+AO74</f>
        <v>255427</v>
      </c>
      <c r="AP75" s="489">
        <f t="shared" si="110"/>
        <v>255427</v>
      </c>
      <c r="AQ75" s="523"/>
      <c r="AR75" s="523"/>
      <c r="AS75" s="523"/>
      <c r="AT75" s="523"/>
    </row>
    <row r="76" spans="1:46">
      <c r="A76" s="155">
        <v>43</v>
      </c>
      <c r="B76" s="4" t="s">
        <v>68</v>
      </c>
      <c r="C76" s="4"/>
      <c r="D76" s="4"/>
      <c r="E76" s="294">
        <f>'ROO INPUT'!$F76</f>
        <v>12801</v>
      </c>
      <c r="F76" s="603">
        <v>0</v>
      </c>
      <c r="G76" s="603">
        <v>0</v>
      </c>
      <c r="H76" s="603">
        <v>0</v>
      </c>
      <c r="I76" s="603">
        <v>0</v>
      </c>
      <c r="J76" s="603">
        <v>0</v>
      </c>
      <c r="K76" s="603">
        <v>0</v>
      </c>
      <c r="L76" s="603">
        <v>0</v>
      </c>
      <c r="M76" s="603">
        <v>0</v>
      </c>
      <c r="N76" s="603">
        <v>0</v>
      </c>
      <c r="O76" s="603">
        <v>0</v>
      </c>
      <c r="P76" s="603">
        <v>0</v>
      </c>
      <c r="Q76" s="603">
        <v>0</v>
      </c>
      <c r="R76" s="603">
        <v>0</v>
      </c>
      <c r="S76" s="603">
        <v>0</v>
      </c>
      <c r="T76" s="603">
        <v>0</v>
      </c>
      <c r="U76" s="603">
        <v>0</v>
      </c>
      <c r="V76" s="603">
        <v>0</v>
      </c>
      <c r="W76" s="603">
        <v>0</v>
      </c>
      <c r="X76" s="434">
        <f>SUM(E76:W76)</f>
        <v>12801</v>
      </c>
      <c r="Y76" s="603"/>
      <c r="Z76" s="603"/>
      <c r="AA76" s="603"/>
      <c r="AB76" s="603"/>
      <c r="AC76" s="603">
        <v>0</v>
      </c>
      <c r="AD76" s="603">
        <v>0</v>
      </c>
      <c r="AE76" s="603">
        <v>0</v>
      </c>
      <c r="AF76" s="435">
        <v>0</v>
      </c>
      <c r="AG76" s="495">
        <f>SUM(X76:AF76)</f>
        <v>12801</v>
      </c>
      <c r="AH76" s="435"/>
      <c r="AI76" s="435"/>
      <c r="AJ76" s="603"/>
      <c r="AK76" s="603"/>
      <c r="AL76" s="603"/>
      <c r="AM76" s="505">
        <f>SUM(AG76:AL76)</f>
        <v>12801</v>
      </c>
      <c r="AN76" s="625">
        <v>0</v>
      </c>
      <c r="AO76" s="505">
        <f>SUM(AM76:AN76)</f>
        <v>12801</v>
      </c>
      <c r="AP76" s="489">
        <f>SUM(AO76:AO76)</f>
        <v>12801</v>
      </c>
      <c r="AQ76" s="523"/>
      <c r="AR76" s="523"/>
      <c r="AS76" s="523"/>
      <c r="AT76" s="523"/>
    </row>
    <row r="77" spans="1:46" s="439" customFormat="1">
      <c r="A77" s="5">
        <v>44</v>
      </c>
      <c r="B77" s="6" t="s">
        <v>69</v>
      </c>
      <c r="C77" s="6"/>
      <c r="D77" s="6"/>
      <c r="E77" s="294">
        <f>'ROO INPUT'!$F77</f>
        <v>0</v>
      </c>
      <c r="F77" s="435">
        <v>0</v>
      </c>
      <c r="G77" s="435">
        <v>0</v>
      </c>
      <c r="H77" s="435">
        <v>0</v>
      </c>
      <c r="I77" s="435">
        <v>0</v>
      </c>
      <c r="J77" s="435">
        <v>0</v>
      </c>
      <c r="K77" s="435">
        <v>0</v>
      </c>
      <c r="L77" s="435">
        <v>0</v>
      </c>
      <c r="M77" s="435">
        <v>0</v>
      </c>
      <c r="N77" s="435">
        <v>0</v>
      </c>
      <c r="O77" s="435">
        <v>0</v>
      </c>
      <c r="P77" s="435">
        <v>0</v>
      </c>
      <c r="Q77" s="435">
        <v>0</v>
      </c>
      <c r="R77" s="435">
        <v>0</v>
      </c>
      <c r="S77" s="435">
        <v>0</v>
      </c>
      <c r="T77" s="435">
        <v>0</v>
      </c>
      <c r="U77" s="435">
        <v>0</v>
      </c>
      <c r="V77" s="435">
        <v>0</v>
      </c>
      <c r="W77" s="435">
        <v>0</v>
      </c>
      <c r="X77" s="445">
        <f>SUM(E77:W77)</f>
        <v>0</v>
      </c>
      <c r="Y77" s="435"/>
      <c r="Z77" s="435"/>
      <c r="AA77" s="435"/>
      <c r="AB77" s="435"/>
      <c r="AC77" s="435">
        <v>0</v>
      </c>
      <c r="AD77" s="435">
        <v>0</v>
      </c>
      <c r="AE77" s="435">
        <v>0</v>
      </c>
      <c r="AF77" s="435"/>
      <c r="AG77" s="495">
        <f>SUM(X77:AF77)</f>
        <v>0</v>
      </c>
      <c r="AH77" s="435"/>
      <c r="AI77" s="435"/>
      <c r="AJ77" s="435"/>
      <c r="AK77" s="435"/>
      <c r="AL77" s="435"/>
      <c r="AM77" s="505">
        <f>SUM(AG77:AL77)</f>
        <v>0</v>
      </c>
      <c r="AN77" s="625"/>
      <c r="AO77" s="505">
        <f>SUM(AM77:AN77)</f>
        <v>0</v>
      </c>
      <c r="AP77" s="489">
        <f>SUM(AO77:AO77)</f>
        <v>0</v>
      </c>
      <c r="AQ77" s="523"/>
      <c r="AR77" s="523"/>
      <c r="AS77" s="523"/>
      <c r="AT77" s="523"/>
    </row>
    <row r="78" spans="1:46" s="439" customFormat="1">
      <c r="A78" s="5">
        <v>45</v>
      </c>
      <c r="B78" s="6" t="s">
        <v>441</v>
      </c>
      <c r="C78" s="6"/>
      <c r="D78" s="6"/>
      <c r="E78" s="294">
        <f>'ROO INPUT'!$F78</f>
        <v>-428</v>
      </c>
      <c r="F78" s="435"/>
      <c r="G78" s="435">
        <v>0</v>
      </c>
      <c r="H78" s="435"/>
      <c r="I78" s="435"/>
      <c r="J78" s="435"/>
      <c r="K78" s="435"/>
      <c r="L78" s="435"/>
      <c r="M78" s="435"/>
      <c r="N78" s="435"/>
      <c r="O78" s="435"/>
      <c r="P78" s="435"/>
      <c r="Q78" s="435"/>
      <c r="R78" s="435"/>
      <c r="S78" s="435"/>
      <c r="T78" s="435"/>
      <c r="U78" s="435"/>
      <c r="V78" s="435"/>
      <c r="W78" s="435"/>
      <c r="X78" s="445">
        <f>SUM(E78:W78)</f>
        <v>-428</v>
      </c>
      <c r="Y78" s="435"/>
      <c r="Z78" s="435"/>
      <c r="AA78" s="435"/>
      <c r="AB78" s="435"/>
      <c r="AC78" s="435"/>
      <c r="AD78" s="435"/>
      <c r="AE78" s="435"/>
      <c r="AF78" s="435"/>
      <c r="AG78" s="495">
        <f>SUM(X78:AF78)</f>
        <v>-428</v>
      </c>
      <c r="AH78" s="435"/>
      <c r="AI78" s="435"/>
      <c r="AJ78" s="435"/>
      <c r="AK78" s="435"/>
      <c r="AL78" s="435"/>
      <c r="AM78" s="505">
        <f>SUM(AG78:AL78)</f>
        <v>-428</v>
      </c>
      <c r="AN78" s="625">
        <v>7915</v>
      </c>
      <c r="AO78" s="505">
        <f>SUM(AM78:AN78)</f>
        <v>7487</v>
      </c>
      <c r="AP78" s="489">
        <f>SUM(AO78:AO78)</f>
        <v>7487</v>
      </c>
      <c r="AQ78" s="523"/>
      <c r="AR78" s="523"/>
      <c r="AS78" s="523"/>
      <c r="AT78" s="523"/>
    </row>
    <row r="79" spans="1:46">
      <c r="A79" s="155">
        <v>46</v>
      </c>
      <c r="B79" s="4" t="s">
        <v>187</v>
      </c>
      <c r="C79" s="4"/>
      <c r="D79" s="4"/>
      <c r="E79" s="296">
        <f>'ROO INPUT'!$F79</f>
        <v>0</v>
      </c>
      <c r="F79" s="436">
        <v>0</v>
      </c>
      <c r="G79" s="436">
        <v>0</v>
      </c>
      <c r="H79" s="436">
        <v>10371</v>
      </c>
      <c r="I79" s="436">
        <v>0</v>
      </c>
      <c r="J79" s="436">
        <v>0</v>
      </c>
      <c r="K79" s="436">
        <v>0</v>
      </c>
      <c r="L79" s="436">
        <v>0</v>
      </c>
      <c r="M79" s="436">
        <v>0</v>
      </c>
      <c r="N79" s="436">
        <v>0</v>
      </c>
      <c r="O79" s="436">
        <v>0</v>
      </c>
      <c r="P79" s="436">
        <v>0</v>
      </c>
      <c r="Q79" s="436">
        <v>0</v>
      </c>
      <c r="R79" s="436">
        <v>0</v>
      </c>
      <c r="S79" s="436">
        <v>0</v>
      </c>
      <c r="T79" s="436">
        <v>0</v>
      </c>
      <c r="U79" s="436">
        <v>0</v>
      </c>
      <c r="V79" s="436">
        <v>0</v>
      </c>
      <c r="W79" s="436">
        <v>0</v>
      </c>
      <c r="X79" s="437">
        <f>SUM(E79:W79)</f>
        <v>10371</v>
      </c>
      <c r="Y79" s="436"/>
      <c r="Z79" s="436"/>
      <c r="AA79" s="436"/>
      <c r="AB79" s="436"/>
      <c r="AC79" s="436">
        <v>0</v>
      </c>
      <c r="AD79" s="436">
        <v>0</v>
      </c>
      <c r="AE79" s="436">
        <v>0</v>
      </c>
      <c r="AF79" s="436"/>
      <c r="AG79" s="496">
        <f>SUM(X79:AF79)</f>
        <v>10371</v>
      </c>
      <c r="AH79" s="436"/>
      <c r="AI79" s="436"/>
      <c r="AJ79" s="436"/>
      <c r="AK79" s="436"/>
      <c r="AL79" s="436"/>
      <c r="AM79" s="506">
        <f>SUM(AG79:AL79)</f>
        <v>10371</v>
      </c>
      <c r="AN79" s="626"/>
      <c r="AO79" s="506">
        <f>SUM(AM79:AN79)</f>
        <v>10371</v>
      </c>
      <c r="AP79" s="486">
        <f>SUM(AO79:AO79)</f>
        <v>10371</v>
      </c>
      <c r="AQ79" s="523"/>
      <c r="AR79" s="523"/>
      <c r="AS79" s="523"/>
      <c r="AT79" s="523"/>
    </row>
    <row r="80" spans="1:46" ht="7.5" customHeight="1">
      <c r="AF80" s="431"/>
      <c r="AG80" s="493"/>
      <c r="AH80" s="431"/>
      <c r="AI80" s="431"/>
      <c r="AL80" s="397"/>
      <c r="AM80" s="503"/>
      <c r="AN80" s="623"/>
      <c r="AO80" s="503"/>
      <c r="AP80" s="483"/>
    </row>
    <row r="81" spans="1:46" ht="6.75" customHeight="1">
      <c r="E81" s="294"/>
      <c r="F81" s="294"/>
      <c r="G81" s="294"/>
      <c r="H81" s="294"/>
      <c r="I81" s="294"/>
      <c r="J81" s="294"/>
      <c r="K81" s="294"/>
      <c r="L81" s="294"/>
      <c r="M81" s="294"/>
      <c r="N81" s="294"/>
      <c r="O81" s="294"/>
      <c r="P81" s="294"/>
      <c r="Q81" s="294"/>
      <c r="R81" s="294"/>
      <c r="S81" s="294"/>
      <c r="T81" s="294"/>
      <c r="U81" s="294"/>
      <c r="V81" s="294"/>
      <c r="W81" s="294"/>
      <c r="X81" s="434"/>
      <c r="Y81" s="294"/>
      <c r="Z81" s="294"/>
      <c r="AA81" s="294"/>
      <c r="AB81" s="294"/>
      <c r="AC81" s="294"/>
      <c r="AD81" s="294"/>
      <c r="AE81" s="294"/>
      <c r="AF81" s="438"/>
      <c r="AG81" s="495"/>
      <c r="AH81" s="438"/>
      <c r="AI81" s="438"/>
      <c r="AJ81" s="351"/>
      <c r="AK81" s="294"/>
      <c r="AL81" s="351"/>
      <c r="AM81" s="505"/>
      <c r="AN81" s="627"/>
      <c r="AO81" s="505"/>
      <c r="AP81" s="485"/>
      <c r="AQ81" s="451"/>
      <c r="AR81" s="523"/>
      <c r="AS81" s="523"/>
      <c r="AT81" s="523"/>
    </row>
    <row r="82" spans="1:46" s="446" customFormat="1" ht="12.75" thickBot="1">
      <c r="A82" s="404">
        <v>47</v>
      </c>
      <c r="B82" s="446" t="s">
        <v>70</v>
      </c>
      <c r="E82" s="441">
        <f>E75+E76+E77+E79+E78</f>
        <v>233475</v>
      </c>
      <c r="F82" s="441">
        <f t="shared" ref="F82:AB82" si="111">F75+F76+F77+F79+F78</f>
        <v>-3032</v>
      </c>
      <c r="G82" s="441">
        <f>G75+G76+G77+G79+G78</f>
        <v>0</v>
      </c>
      <c r="H82" s="441">
        <f t="shared" si="111"/>
        <v>10371</v>
      </c>
      <c r="I82" s="441">
        <f t="shared" si="111"/>
        <v>0</v>
      </c>
      <c r="J82" s="441">
        <f>J75+J76+J77+J79+J78</f>
        <v>0</v>
      </c>
      <c r="K82" s="441">
        <f t="shared" si="111"/>
        <v>0</v>
      </c>
      <c r="L82" s="441">
        <f t="shared" si="111"/>
        <v>0</v>
      </c>
      <c r="M82" s="441">
        <f t="shared" si="111"/>
        <v>0</v>
      </c>
      <c r="N82" s="441">
        <f t="shared" si="111"/>
        <v>0</v>
      </c>
      <c r="O82" s="441">
        <f t="shared" si="111"/>
        <v>0</v>
      </c>
      <c r="P82" s="441">
        <f t="shared" si="111"/>
        <v>0</v>
      </c>
      <c r="Q82" s="441">
        <f>Q75+Q76+Q77+Q79+Q78</f>
        <v>0</v>
      </c>
      <c r="R82" s="441">
        <f>R75+R76+R77+R79+R78</f>
        <v>0</v>
      </c>
      <c r="S82" s="441">
        <f>S75+S76+S77+S79+S78</f>
        <v>0</v>
      </c>
      <c r="T82" s="441">
        <f>T75+T76+T77+T79+T78</f>
        <v>0</v>
      </c>
      <c r="U82" s="441">
        <f t="shared" si="111"/>
        <v>0</v>
      </c>
      <c r="V82" s="441">
        <f>V75+V76+V77+V79+V78</f>
        <v>0</v>
      </c>
      <c r="W82" s="441">
        <f>W75+W76+W77+W79+W78</f>
        <v>0</v>
      </c>
      <c r="X82" s="441">
        <f t="shared" si="111"/>
        <v>240814</v>
      </c>
      <c r="Y82" s="441">
        <f>Y75+Y76+Y77+Y79+Y78</f>
        <v>0</v>
      </c>
      <c r="Z82" s="441">
        <f t="shared" si="111"/>
        <v>0</v>
      </c>
      <c r="AA82" s="441">
        <f t="shared" si="111"/>
        <v>0</v>
      </c>
      <c r="AB82" s="441">
        <f t="shared" si="111"/>
        <v>0</v>
      </c>
      <c r="AC82" s="441">
        <f t="shared" ref="AC82:AG82" si="112">AC75+AC76+AC77+AC79+AC78</f>
        <v>0</v>
      </c>
      <c r="AD82" s="441">
        <f t="shared" si="112"/>
        <v>0</v>
      </c>
      <c r="AE82" s="441">
        <f>AE75+AE76+AE77+AE79+AE78</f>
        <v>0</v>
      </c>
      <c r="AF82" s="441">
        <f>AF75+AF76+AF77+AF79+AF78</f>
        <v>2960</v>
      </c>
      <c r="AG82" s="497">
        <f t="shared" si="112"/>
        <v>243774</v>
      </c>
      <c r="AH82" s="441">
        <f t="shared" ref="AH82:AM82" si="113">AH75+AH76+AH77+AH79+AH78</f>
        <v>28691</v>
      </c>
      <c r="AI82" s="441">
        <f>AI75+AI76+AI77+AI79+AI78</f>
        <v>5706</v>
      </c>
      <c r="AJ82" s="545">
        <f>AJ75+AJ76+AJ77+AJ79+AJ78</f>
        <v>0</v>
      </c>
      <c r="AK82" s="441">
        <f>AK75+AK76+AK77+AK79+AK78</f>
        <v>0</v>
      </c>
      <c r="AL82" s="545">
        <f t="shared" ref="AL82" si="114">AL75+AL76+AL77+AL79+AL78</f>
        <v>0</v>
      </c>
      <c r="AM82" s="507">
        <f t="shared" si="113"/>
        <v>278171</v>
      </c>
      <c r="AN82" s="520">
        <f t="shared" ref="AN82" si="115">AN75+AN76+AN77+AN79+AN78</f>
        <v>7915</v>
      </c>
      <c r="AO82" s="507">
        <f t="shared" ref="AO82:AP82" si="116">AO75+AO76+AO77+AO79+AO78</f>
        <v>286086</v>
      </c>
      <c r="AP82" s="487">
        <f t="shared" si="116"/>
        <v>286086</v>
      </c>
      <c r="AQ82" s="528"/>
      <c r="AR82" s="528"/>
      <c r="AS82" s="528"/>
      <c r="AT82" s="528"/>
    </row>
    <row r="83" spans="1:46" ht="13.5" thickTop="1" thickBot="1">
      <c r="A83" s="155">
        <v>48</v>
      </c>
      <c r="B83" s="1" t="s">
        <v>512</v>
      </c>
      <c r="E83" s="7">
        <f>ROUND(E59/E82,4)</f>
        <v>6.4299999999999996E-2</v>
      </c>
      <c r="F83" s="294"/>
      <c r="G83" s="294"/>
      <c r="H83" s="294"/>
      <c r="I83" s="294"/>
      <c r="J83" s="294"/>
      <c r="K83" s="294"/>
      <c r="L83" s="294"/>
      <c r="M83" s="294"/>
      <c r="N83" s="294"/>
      <c r="O83" s="294"/>
      <c r="P83" s="294"/>
      <c r="Q83" s="294"/>
      <c r="R83" s="294"/>
      <c r="S83" s="294"/>
      <c r="T83" s="294"/>
      <c r="U83" s="294"/>
      <c r="V83" s="294"/>
      <c r="W83" s="434"/>
      <c r="X83" s="477" t="s">
        <v>486</v>
      </c>
      <c r="Y83" s="294"/>
      <c r="Z83" s="294"/>
      <c r="AA83" s="294"/>
      <c r="AB83" s="294"/>
      <c r="AC83" s="294"/>
      <c r="AD83" s="294"/>
      <c r="AE83" s="294"/>
      <c r="AF83" s="592"/>
      <c r="AG83" s="447"/>
      <c r="AH83" s="438"/>
      <c r="AI83" s="438"/>
      <c r="AJ83" s="351"/>
      <c r="AK83" s="294"/>
      <c r="AL83" s="351"/>
      <c r="AM83" s="509"/>
      <c r="AN83" s="633">
        <f>AN84+AF84+AH84+AI84+AK84</f>
        <v>10016.345147869835</v>
      </c>
      <c r="AO83" s="509">
        <f>ROUND(AO59/AO82,4)</f>
        <v>4.8500000000000001E-2</v>
      </c>
      <c r="AP83" s="490">
        <f>ROUND(AP59/AP82,4)</f>
        <v>4.8500000000000001E-2</v>
      </c>
      <c r="AQ83" s="537"/>
      <c r="AR83" s="529"/>
      <c r="AS83" s="529"/>
      <c r="AT83" s="529"/>
    </row>
    <row r="84" spans="1:46" ht="12.75" thickBot="1">
      <c r="A84" s="155">
        <v>50</v>
      </c>
      <c r="B84" s="1" t="s">
        <v>177</v>
      </c>
      <c r="E84" s="61">
        <f>E90</f>
        <v>3894.660883026414</v>
      </c>
      <c r="F84" s="61">
        <f t="shared" ref="F84:AO84" si="117">F90</f>
        <v>-318.36146676556905</v>
      </c>
      <c r="G84" s="61">
        <f t="shared" si="117"/>
        <v>1.048150417647628</v>
      </c>
      <c r="H84" s="61">
        <f t="shared" si="117"/>
        <v>1088.9600170929145</v>
      </c>
      <c r="I84" s="61">
        <f t="shared" si="117"/>
        <v>11.529654594123908</v>
      </c>
      <c r="J84" s="61">
        <f t="shared" ref="J84" si="118">J90</f>
        <v>83.85203341181024</v>
      </c>
      <c r="K84" s="61">
        <f t="shared" si="117"/>
        <v>-157.22256264714417</v>
      </c>
      <c r="L84" s="61">
        <f t="shared" si="117"/>
        <v>33.540813364724094</v>
      </c>
      <c r="M84" s="61">
        <f t="shared" si="117"/>
        <v>293.48211694133579</v>
      </c>
      <c r="N84" s="61">
        <f t="shared" si="117"/>
        <v>0</v>
      </c>
      <c r="O84" s="61">
        <f t="shared" si="117"/>
        <v>-2.0963008352952559</v>
      </c>
      <c r="P84" s="61">
        <f t="shared" si="117"/>
        <v>343.79333698842191</v>
      </c>
      <c r="Q84" s="61">
        <f>Q90</f>
        <v>-5.24075208823814</v>
      </c>
      <c r="R84" s="61">
        <f>R90</f>
        <v>800.78691908278779</v>
      </c>
      <c r="S84" s="61">
        <f>S90</f>
        <v>0</v>
      </c>
      <c r="T84" s="61">
        <f>T90</f>
        <v>5.24075208823814</v>
      </c>
      <c r="U84" s="61">
        <f t="shared" si="117"/>
        <v>-349.03408907666005</v>
      </c>
      <c r="V84" s="61">
        <f>V90</f>
        <v>219.30531815396523</v>
      </c>
      <c r="W84" s="61">
        <f>W90</f>
        <v>0</v>
      </c>
      <c r="X84" s="61">
        <f t="shared" si="117"/>
        <v>5944.2448237494718</v>
      </c>
      <c r="Y84" s="61">
        <f t="shared" si="117"/>
        <v>1209.0781920211564</v>
      </c>
      <c r="Z84" s="61">
        <f t="shared" si="117"/>
        <v>52.367691166510795</v>
      </c>
      <c r="AA84" s="61">
        <f t="shared" si="117"/>
        <v>751.30688231689624</v>
      </c>
      <c r="AB84" s="61">
        <f t="shared" si="117"/>
        <v>80.707582158867339</v>
      </c>
      <c r="AC84" s="61">
        <f t="shared" ref="AC84" si="119">AC90</f>
        <v>531.41226174734732</v>
      </c>
      <c r="AD84" s="61">
        <f>AD90</f>
        <v>431.83797207082273</v>
      </c>
      <c r="AE84" s="61">
        <f>AE90</f>
        <v>-8935.4823104460284</v>
      </c>
      <c r="AF84" s="61">
        <f>AF90</f>
        <v>1485.7780501177153</v>
      </c>
      <c r="AG84" s="61">
        <f t="shared" si="117"/>
        <v>1551.2511449027809</v>
      </c>
      <c r="AH84" s="61">
        <f t="shared" ref="AH84:AM84" si="120">AH90</f>
        <v>5651.8116312445572</v>
      </c>
      <c r="AI84" s="61">
        <f>AI90</f>
        <v>1550.8533395684847</v>
      </c>
      <c r="AJ84" s="397">
        <f>AJ90</f>
        <v>1198.0359273712388</v>
      </c>
      <c r="AK84" s="61">
        <f>AK90</f>
        <v>-81.755732576514987</v>
      </c>
      <c r="AL84" s="397">
        <f t="shared" ref="AL84" si="121">AL90</f>
        <v>741.04234527687299</v>
      </c>
      <c r="AM84" s="510">
        <f t="shared" si="120"/>
        <v>10611.238655787414</v>
      </c>
      <c r="AN84" s="623">
        <f>AN90</f>
        <v>1409.6578595155931</v>
      </c>
      <c r="AO84" s="510">
        <f t="shared" si="117"/>
        <v>12020.896515303008</v>
      </c>
      <c r="AP84" s="522">
        <f>AP90</f>
        <v>12020.896515303008</v>
      </c>
      <c r="AQ84" s="526"/>
    </row>
    <row r="85" spans="1:46" ht="8.25" customHeight="1">
      <c r="E85" s="294"/>
      <c r="F85" s="294"/>
      <c r="G85" s="294"/>
      <c r="H85" s="294"/>
      <c r="I85" s="294"/>
      <c r="J85" s="294"/>
      <c r="K85" s="294"/>
      <c r="L85" s="294"/>
      <c r="M85" s="294"/>
      <c r="N85" s="294"/>
      <c r="O85" s="294"/>
      <c r="P85" s="294"/>
      <c r="Q85" s="294"/>
      <c r="R85" s="294"/>
      <c r="S85" s="294"/>
      <c r="T85" s="294"/>
      <c r="U85" s="294"/>
      <c r="V85" s="294"/>
      <c r="W85" s="434"/>
      <c r="X85" s="434"/>
      <c r="Y85" s="294"/>
      <c r="Z85" s="294"/>
      <c r="AA85" s="294"/>
      <c r="AB85" s="294"/>
      <c r="AC85" s="294"/>
      <c r="AD85" s="294"/>
      <c r="AE85" s="294"/>
      <c r="AF85" s="351"/>
      <c r="AG85" s="434"/>
      <c r="AH85" s="351"/>
      <c r="AI85" s="351"/>
      <c r="AJ85" s="351"/>
      <c r="AK85" s="294"/>
      <c r="AL85" s="351"/>
      <c r="AM85" s="434"/>
      <c r="AN85" s="516"/>
      <c r="AO85" s="434"/>
      <c r="AP85" s="434"/>
      <c r="AQ85" s="451"/>
      <c r="AR85" s="523"/>
      <c r="AS85" s="523"/>
      <c r="AT85" s="523"/>
    </row>
    <row r="86" spans="1:46" s="449" customFormat="1" ht="16.5" customHeight="1">
      <c r="A86" s="448"/>
      <c r="D86" s="450" t="s">
        <v>446</v>
      </c>
      <c r="E86" s="617">
        <f>'RR SUMMARY'!N17</f>
        <v>7.46E-2</v>
      </c>
      <c r="F86" s="351"/>
      <c r="G86" s="351"/>
      <c r="H86" s="351"/>
      <c r="I86" s="351"/>
      <c r="J86" s="351"/>
      <c r="K86" s="351"/>
      <c r="L86" s="351"/>
      <c r="M86" s="351"/>
      <c r="N86" s="351"/>
      <c r="O86" s="351"/>
      <c r="P86" s="351"/>
      <c r="Q86" s="351"/>
      <c r="R86" s="351"/>
      <c r="S86" s="351"/>
      <c r="T86" s="351"/>
      <c r="U86" s="351"/>
      <c r="V86" s="351"/>
      <c r="W86" s="451"/>
      <c r="X86" s="451"/>
      <c r="Y86" s="351"/>
      <c r="Z86" s="351"/>
      <c r="AA86" s="351"/>
      <c r="AB86" s="351"/>
      <c r="AC86" s="351"/>
      <c r="AD86" s="351"/>
      <c r="AE86" s="351"/>
      <c r="AF86" s="351"/>
      <c r="AG86" s="451"/>
      <c r="AH86" s="351"/>
      <c r="AI86" s="351"/>
      <c r="AJ86" s="351"/>
      <c r="AK86" s="351"/>
      <c r="AL86" s="351"/>
      <c r="AM86" s="451"/>
      <c r="AN86" s="516"/>
      <c r="AO86" s="451"/>
      <c r="AP86" s="451"/>
      <c r="AQ86" s="451"/>
      <c r="AR86" s="523"/>
      <c r="AS86" s="523"/>
      <c r="AT86" s="523"/>
    </row>
    <row r="87" spans="1:46" s="449" customFormat="1" ht="17.25" customHeight="1">
      <c r="A87" s="333"/>
      <c r="D87" s="450" t="s">
        <v>157</v>
      </c>
      <c r="E87" s="618">
        <f>'RR SUMMARY'!F22</f>
        <v>0.62014000000000002</v>
      </c>
      <c r="F87" s="351"/>
      <c r="G87" s="351"/>
      <c r="H87" s="351"/>
      <c r="I87" s="351"/>
      <c r="J87" s="351"/>
      <c r="K87" s="351"/>
      <c r="L87" s="351"/>
      <c r="M87" s="351"/>
      <c r="N87" s="351"/>
      <c r="O87" s="351"/>
      <c r="P87" s="351"/>
      <c r="Q87" s="351"/>
      <c r="R87" s="351"/>
      <c r="S87" s="351"/>
      <c r="T87" s="351"/>
      <c r="U87" s="351"/>
      <c r="V87" s="351"/>
      <c r="W87" s="451"/>
      <c r="X87" s="451"/>
      <c r="Y87" s="351"/>
      <c r="Z87" s="351"/>
      <c r="AA87" s="351"/>
      <c r="AB87" s="351"/>
      <c r="AC87" s="351"/>
      <c r="AD87" s="351"/>
      <c r="AE87" s="351"/>
      <c r="AF87" s="351"/>
      <c r="AG87" s="451"/>
      <c r="AH87" s="351"/>
      <c r="AI87" s="351"/>
      <c r="AJ87" s="351"/>
      <c r="AK87" s="351"/>
      <c r="AL87" s="351"/>
      <c r="AM87" s="451"/>
      <c r="AN87" s="516"/>
      <c r="AO87" s="451"/>
      <c r="AP87" s="451"/>
      <c r="AQ87" s="451"/>
      <c r="AR87" s="523"/>
      <c r="AS87" s="523"/>
      <c r="AT87" s="523"/>
    </row>
    <row r="88" spans="1:46" s="449" customFormat="1" ht="12.75" customHeight="1">
      <c r="A88" s="333"/>
      <c r="D88" s="450"/>
      <c r="E88" s="218"/>
      <c r="F88" s="351"/>
      <c r="G88" s="351"/>
      <c r="H88" s="351"/>
      <c r="I88" s="351"/>
      <c r="J88" s="351"/>
      <c r="K88" s="351"/>
      <c r="L88" s="351"/>
      <c r="M88" s="351"/>
      <c r="N88" s="351"/>
      <c r="O88" s="351"/>
      <c r="P88" s="351"/>
      <c r="Q88" s="351"/>
      <c r="R88" s="351"/>
      <c r="S88" s="351"/>
      <c r="T88" s="351"/>
      <c r="U88" s="351"/>
      <c r="V88" s="351"/>
      <c r="W88" s="451"/>
      <c r="X88" s="451"/>
      <c r="Y88" s="351"/>
      <c r="Z88" s="351"/>
      <c r="AA88" s="351"/>
      <c r="AB88" s="351"/>
      <c r="AC88" s="351"/>
      <c r="AD88" s="351"/>
      <c r="AE88" s="351"/>
      <c r="AF88" s="351"/>
      <c r="AG88" s="451"/>
      <c r="AH88" s="351"/>
      <c r="AI88" s="351"/>
      <c r="AJ88" s="351"/>
      <c r="AK88" s="351"/>
      <c r="AL88" s="351"/>
      <c r="AM88" s="451"/>
      <c r="AN88" s="516"/>
      <c r="AO88" s="451"/>
      <c r="AP88" s="451"/>
      <c r="AQ88" s="451"/>
      <c r="AR88" s="523"/>
      <c r="AS88" s="523"/>
      <c r="AT88" s="523"/>
    </row>
    <row r="89" spans="1:46" s="449" customFormat="1" ht="29.25" customHeight="1">
      <c r="A89" s="333"/>
      <c r="D89" s="450" t="s">
        <v>170</v>
      </c>
      <c r="E89" s="218">
        <f>E82*$E$86-E59</f>
        <v>2415.2350000000006</v>
      </c>
      <c r="F89" s="218">
        <f>F82*$E$86-F59</f>
        <v>-197.42867999999999</v>
      </c>
      <c r="G89" s="218">
        <f>G82*$E$86-G59</f>
        <v>0.65</v>
      </c>
      <c r="H89" s="218">
        <f>H82*$E$86-H59</f>
        <v>675.30766500000004</v>
      </c>
      <c r="I89" s="218">
        <f t="shared" ref="I89:P89" si="122">I82*$E$86-I59</f>
        <v>7.15</v>
      </c>
      <c r="J89" s="218">
        <f>J82*$E$86-J59</f>
        <v>52</v>
      </c>
      <c r="K89" s="218">
        <f t="shared" si="122"/>
        <v>-97.5</v>
      </c>
      <c r="L89" s="218">
        <f t="shared" si="122"/>
        <v>20.8</v>
      </c>
      <c r="M89" s="218">
        <f t="shared" si="122"/>
        <v>182</v>
      </c>
      <c r="N89" s="218">
        <f t="shared" si="122"/>
        <v>0</v>
      </c>
      <c r="O89" s="218">
        <f t="shared" si="122"/>
        <v>-1.3</v>
      </c>
      <c r="P89" s="218">
        <f t="shared" si="122"/>
        <v>213.2</v>
      </c>
      <c r="Q89" s="218">
        <f t="shared" ref="Q89:V89" si="123">Q82*$E$86-Q59</f>
        <v>-3.25</v>
      </c>
      <c r="R89" s="218">
        <f t="shared" si="123"/>
        <v>496.6</v>
      </c>
      <c r="S89" s="218">
        <f t="shared" ref="S89" si="124">S82*$E$86-S59</f>
        <v>0</v>
      </c>
      <c r="T89" s="218">
        <f>T82*$E$86-T59</f>
        <v>3.25</v>
      </c>
      <c r="U89" s="218">
        <f t="shared" si="123"/>
        <v>-216.45</v>
      </c>
      <c r="V89" s="218">
        <f t="shared" si="123"/>
        <v>136</v>
      </c>
      <c r="W89" s="218">
        <f>W82*$E$86-W59</f>
        <v>0</v>
      </c>
      <c r="X89" s="218">
        <f t="shared" ref="X89" si="125">X82*$E$86-X59</f>
        <v>3686.2639849999978</v>
      </c>
      <c r="Y89" s="218">
        <f t="shared" ref="Y89:Z89" si="126">Y82*$E$86-Y59</f>
        <v>749.79774999999995</v>
      </c>
      <c r="Z89" s="218">
        <f t="shared" si="126"/>
        <v>32.475300000000004</v>
      </c>
      <c r="AA89" s="218">
        <f t="shared" ref="AA89:AG89" si="127">AA82*$E$86-AA59</f>
        <v>465.91545000000002</v>
      </c>
      <c r="AB89" s="218">
        <f t="shared" si="127"/>
        <v>50.05</v>
      </c>
      <c r="AC89" s="218">
        <f t="shared" si="127"/>
        <v>329.55</v>
      </c>
      <c r="AD89" s="218">
        <f>AD82*$E$86-AD59</f>
        <v>267.8</v>
      </c>
      <c r="AE89" s="218">
        <f>AE82*$E$86-AE59</f>
        <v>-5541.25</v>
      </c>
      <c r="AF89" s="218">
        <f>AF82*$E$86-AF59</f>
        <v>921.3904</v>
      </c>
      <c r="AG89" s="452">
        <f t="shared" si="127"/>
        <v>961.99288500001057</v>
      </c>
      <c r="AH89" s="218">
        <f t="shared" ref="AH89:AM89" si="128">AH82*$E$86-AH59</f>
        <v>3504.9144649999998</v>
      </c>
      <c r="AI89" s="218">
        <f>AI82*$E$86-AI59</f>
        <v>961.74619000000007</v>
      </c>
      <c r="AJ89" s="218">
        <f>AJ82*$E$86-AJ59</f>
        <v>742.95</v>
      </c>
      <c r="AK89" s="218">
        <f>AK82*$E$86-AK59</f>
        <v>-50.7</v>
      </c>
      <c r="AL89" s="218">
        <f t="shared" ref="AL89" si="129">AL82*$E$86-AL59</f>
        <v>459.55</v>
      </c>
      <c r="AM89" s="452">
        <f t="shared" si="128"/>
        <v>6580.4535400000077</v>
      </c>
      <c r="AN89" s="218">
        <f t="shared" ref="AN89" si="130">AN82*$E$86-AN59</f>
        <v>874.18522499999995</v>
      </c>
      <c r="AO89" s="452">
        <f t="shared" ref="AO89:AP89" si="131">AO82*$E$86-AO59</f>
        <v>7454.638765000007</v>
      </c>
      <c r="AP89" s="452">
        <f t="shared" si="131"/>
        <v>7454.638765000007</v>
      </c>
      <c r="AQ89" s="452"/>
      <c r="AR89" s="524"/>
      <c r="AS89" s="524"/>
      <c r="AT89" s="524"/>
    </row>
    <row r="90" spans="1:46" s="449" customFormat="1">
      <c r="A90" s="333"/>
      <c r="D90" s="450" t="s">
        <v>147</v>
      </c>
      <c r="E90" s="218">
        <f t="shared" ref="E90:H90" si="132">E89/$E$87</f>
        <v>3894.660883026414</v>
      </c>
      <c r="F90" s="218">
        <f t="shared" si="132"/>
        <v>-318.36146676556905</v>
      </c>
      <c r="G90" s="218">
        <f t="shared" si="132"/>
        <v>1.048150417647628</v>
      </c>
      <c r="H90" s="218">
        <f t="shared" si="132"/>
        <v>1088.9600170929145</v>
      </c>
      <c r="I90" s="218">
        <f t="shared" ref="I90:P90" si="133">I89/$E$87</f>
        <v>11.529654594123908</v>
      </c>
      <c r="J90" s="218">
        <f>J89/$E$87</f>
        <v>83.85203341181024</v>
      </c>
      <c r="K90" s="218">
        <f t="shared" si="133"/>
        <v>-157.22256264714417</v>
      </c>
      <c r="L90" s="218">
        <f t="shared" si="133"/>
        <v>33.540813364724094</v>
      </c>
      <c r="M90" s="218">
        <f t="shared" si="133"/>
        <v>293.48211694133579</v>
      </c>
      <c r="N90" s="218">
        <f t="shared" si="133"/>
        <v>0</v>
      </c>
      <c r="O90" s="218">
        <f t="shared" si="133"/>
        <v>-2.0963008352952559</v>
      </c>
      <c r="P90" s="218">
        <f t="shared" si="133"/>
        <v>343.79333698842191</v>
      </c>
      <c r="Q90" s="218">
        <f t="shared" ref="Q90:V90" si="134">Q89/$E$87</f>
        <v>-5.24075208823814</v>
      </c>
      <c r="R90" s="218">
        <f t="shared" si="134"/>
        <v>800.78691908278779</v>
      </c>
      <c r="S90" s="218">
        <f t="shared" ref="S90" si="135">S89/$E$87</f>
        <v>0</v>
      </c>
      <c r="T90" s="218">
        <f>T89/$E$87</f>
        <v>5.24075208823814</v>
      </c>
      <c r="U90" s="218">
        <f t="shared" si="134"/>
        <v>-349.03408907666005</v>
      </c>
      <c r="V90" s="218">
        <f t="shared" si="134"/>
        <v>219.30531815396523</v>
      </c>
      <c r="W90" s="218">
        <f>W89/$E$87</f>
        <v>0</v>
      </c>
      <c r="X90" s="218">
        <f t="shared" ref="X90" si="136">X89/$E$87</f>
        <v>5944.2448237494718</v>
      </c>
      <c r="Y90" s="218">
        <f t="shared" ref="Y90:Z90" si="137">Y89/$E$87</f>
        <v>1209.0781920211564</v>
      </c>
      <c r="Z90" s="218">
        <f t="shared" si="137"/>
        <v>52.367691166510795</v>
      </c>
      <c r="AA90" s="218">
        <f t="shared" ref="AA90:AG90" si="138">AA89/$E$87</f>
        <v>751.30688231689624</v>
      </c>
      <c r="AB90" s="218">
        <f t="shared" si="138"/>
        <v>80.707582158867339</v>
      </c>
      <c r="AC90" s="218">
        <f t="shared" si="138"/>
        <v>531.41226174734732</v>
      </c>
      <c r="AD90" s="218">
        <f>AD89/$E$87</f>
        <v>431.83797207082273</v>
      </c>
      <c r="AE90" s="218">
        <f>AE89/$E$87</f>
        <v>-8935.4823104460284</v>
      </c>
      <c r="AF90" s="218">
        <f>AF89/$E$87</f>
        <v>1485.7780501177153</v>
      </c>
      <c r="AG90" s="452">
        <f t="shared" si="138"/>
        <v>1551.2511449027809</v>
      </c>
      <c r="AH90" s="218">
        <f t="shared" ref="AH90:AM90" si="139">AH89/$E$87</f>
        <v>5651.8116312445572</v>
      </c>
      <c r="AI90" s="218">
        <f>AI89/$E$87</f>
        <v>1550.8533395684847</v>
      </c>
      <c r="AJ90" s="218">
        <f>AJ89/$E$87</f>
        <v>1198.0359273712388</v>
      </c>
      <c r="AK90" s="218">
        <f>AK89/$E$87</f>
        <v>-81.755732576514987</v>
      </c>
      <c r="AL90" s="218">
        <f t="shared" ref="AL90" si="140">AL89/$E$87</f>
        <v>741.04234527687299</v>
      </c>
      <c r="AM90" s="452">
        <f t="shared" si="139"/>
        <v>10611.238655787414</v>
      </c>
      <c r="AN90" s="218">
        <f t="shared" ref="AN90" si="141">AN89/$E$87</f>
        <v>1409.6578595155931</v>
      </c>
      <c r="AO90" s="452">
        <f t="shared" ref="AO90:AP90" si="142">AO89/$E$87</f>
        <v>12020.896515303008</v>
      </c>
      <c r="AP90" s="452">
        <f t="shared" si="142"/>
        <v>12020.896515303008</v>
      </c>
      <c r="AQ90" s="452"/>
      <c r="AR90" s="524"/>
      <c r="AS90" s="524"/>
      <c r="AT90" s="524"/>
    </row>
    <row r="91" spans="1:46" s="449" customFormat="1">
      <c r="A91" s="333"/>
      <c r="D91" s="450"/>
      <c r="E91" s="593"/>
      <c r="F91" s="593"/>
      <c r="G91" s="593"/>
      <c r="H91" s="593"/>
      <c r="I91" s="593"/>
      <c r="J91" s="593"/>
      <c r="K91" s="593"/>
      <c r="L91" s="593"/>
      <c r="M91" s="593"/>
      <c r="N91" s="593"/>
      <c r="O91" s="593"/>
      <c r="P91" s="593"/>
      <c r="Q91" s="593"/>
      <c r="R91" s="593"/>
      <c r="S91" s="593"/>
      <c r="T91" s="593"/>
      <c r="U91" s="593"/>
      <c r="V91" s="593"/>
      <c r="W91" s="593"/>
      <c r="X91" s="453"/>
      <c r="Y91" s="593"/>
      <c r="Z91" s="593"/>
      <c r="AA91" s="593"/>
      <c r="AB91" s="593"/>
      <c r="AC91" s="593"/>
      <c r="AD91" s="593"/>
      <c r="AE91" s="593"/>
      <c r="AF91" s="593"/>
      <c r="AG91" s="454"/>
      <c r="AH91" s="593"/>
      <c r="AI91" s="593"/>
      <c r="AJ91" s="593"/>
      <c r="AK91" s="593"/>
      <c r="AL91" s="517"/>
      <c r="AM91" s="454"/>
      <c r="AN91" s="593"/>
      <c r="AO91" s="454"/>
      <c r="AP91" s="454"/>
      <c r="AQ91" s="454"/>
      <c r="AR91" s="525"/>
      <c r="AS91" s="525"/>
      <c r="AT91" s="525"/>
    </row>
    <row r="92" spans="1:46" s="449" customFormat="1">
      <c r="A92" s="448"/>
      <c r="D92" s="450"/>
      <c r="E92" s="617"/>
      <c r="F92" s="593"/>
      <c r="G92" s="593"/>
      <c r="H92" s="593"/>
      <c r="I92" s="593"/>
      <c r="J92" s="593"/>
      <c r="K92" s="593"/>
      <c r="L92" s="593"/>
      <c r="M92" s="593"/>
      <c r="N92" s="593"/>
      <c r="O92" s="593"/>
      <c r="P92" s="593"/>
      <c r="Q92" s="593"/>
      <c r="R92" s="593"/>
      <c r="S92" s="593"/>
      <c r="T92" s="593"/>
      <c r="U92" s="593"/>
      <c r="V92" s="593"/>
      <c r="W92" s="593"/>
      <c r="X92" s="453"/>
      <c r="Y92" s="593"/>
      <c r="Z92" s="593"/>
      <c r="AA92" s="593"/>
      <c r="AB92" s="593"/>
      <c r="AC92" s="593"/>
      <c r="AD92" s="593"/>
      <c r="AE92" s="593"/>
      <c r="AF92" s="593"/>
      <c r="AG92" s="454"/>
      <c r="AH92" s="593"/>
      <c r="AI92" s="593"/>
      <c r="AJ92" s="593"/>
      <c r="AK92" s="593"/>
      <c r="AL92" s="517"/>
      <c r="AM92" s="454"/>
      <c r="AN92" s="593"/>
      <c r="AO92" s="454"/>
      <c r="AP92" s="454"/>
      <c r="AQ92" s="454"/>
      <c r="AR92" s="525"/>
      <c r="AS92" s="525"/>
      <c r="AT92" s="525"/>
    </row>
    <row r="93" spans="1:46" s="449" customFormat="1">
      <c r="A93" s="333"/>
      <c r="E93" s="593"/>
      <c r="F93" s="593"/>
      <c r="G93" s="593"/>
      <c r="H93" s="593"/>
      <c r="I93" s="593"/>
      <c r="J93" s="593"/>
      <c r="K93" s="593"/>
      <c r="L93" s="593"/>
      <c r="M93" s="593"/>
      <c r="N93" s="593"/>
      <c r="O93" s="593"/>
      <c r="P93" s="593"/>
      <c r="Q93" s="593"/>
      <c r="R93" s="593"/>
      <c r="S93" s="593"/>
      <c r="T93" s="593"/>
      <c r="U93" s="593"/>
      <c r="V93" s="593"/>
      <c r="W93" s="593"/>
      <c r="X93" s="453"/>
      <c r="Y93" s="593"/>
      <c r="Z93" s="593"/>
      <c r="AA93" s="593"/>
      <c r="AB93" s="593"/>
      <c r="AC93" s="593"/>
      <c r="AD93" s="593"/>
      <c r="AE93" s="593"/>
      <c r="AF93" s="593"/>
      <c r="AG93" s="454"/>
      <c r="AH93" s="593"/>
      <c r="AI93" s="593"/>
      <c r="AJ93" s="593"/>
      <c r="AK93" s="593"/>
      <c r="AL93" s="517"/>
      <c r="AM93" s="454"/>
      <c r="AN93" s="593"/>
      <c r="AO93" s="454"/>
      <c r="AP93" s="454"/>
      <c r="AQ93" s="454"/>
      <c r="AR93" s="525"/>
      <c r="AS93" s="525"/>
      <c r="AT93" s="525"/>
    </row>
    <row r="94" spans="1:46" s="449" customFormat="1">
      <c r="A94" s="333"/>
      <c r="D94" s="450"/>
      <c r="E94" s="593"/>
      <c r="F94" s="593"/>
      <c r="G94" s="593"/>
      <c r="H94" s="593"/>
      <c r="I94" s="593"/>
      <c r="J94" s="593"/>
      <c r="K94" s="593"/>
      <c r="L94" s="593"/>
      <c r="M94" s="593"/>
      <c r="N94" s="593"/>
      <c r="O94" s="593"/>
      <c r="P94" s="593"/>
      <c r="Q94" s="593"/>
      <c r="R94" s="593"/>
      <c r="S94" s="593"/>
      <c r="T94" s="593"/>
      <c r="U94" s="593"/>
      <c r="V94" s="593"/>
      <c r="W94" s="593"/>
      <c r="X94" s="453"/>
      <c r="Y94" s="593"/>
      <c r="Z94" s="593"/>
      <c r="AA94" s="593"/>
      <c r="AB94" s="593"/>
      <c r="AC94" s="593"/>
      <c r="AD94" s="593"/>
      <c r="AE94" s="593"/>
      <c r="AF94" s="593"/>
      <c r="AG94" s="454"/>
      <c r="AH94" s="593"/>
      <c r="AI94" s="593"/>
      <c r="AJ94" s="593"/>
      <c r="AK94" s="593"/>
      <c r="AL94" s="517"/>
      <c r="AM94" s="454"/>
      <c r="AN94" s="517"/>
      <c r="AO94" s="454"/>
      <c r="AP94" s="454"/>
      <c r="AQ94" s="454"/>
      <c r="AR94" s="525"/>
      <c r="AS94" s="525"/>
      <c r="AT94" s="525"/>
    </row>
    <row r="95" spans="1:46" s="449" customFormat="1">
      <c r="A95" s="333"/>
      <c r="D95" s="450"/>
      <c r="E95" s="593"/>
      <c r="F95" s="593"/>
      <c r="G95" s="593"/>
      <c r="H95" s="593"/>
      <c r="I95" s="593"/>
      <c r="J95" s="593"/>
      <c r="K95" s="593"/>
      <c r="L95" s="593"/>
      <c r="M95" s="593"/>
      <c r="N95" s="593"/>
      <c r="O95" s="593"/>
      <c r="P95" s="593"/>
      <c r="Q95" s="593"/>
      <c r="R95" s="593"/>
      <c r="S95" s="593"/>
      <c r="T95" s="593"/>
      <c r="U95" s="593"/>
      <c r="V95" s="593"/>
      <c r="W95" s="593"/>
      <c r="X95" s="453"/>
      <c r="Y95" s="593"/>
      <c r="Z95" s="593"/>
      <c r="AA95" s="593"/>
      <c r="AB95" s="593"/>
      <c r="AC95" s="593"/>
      <c r="AD95" s="593"/>
      <c r="AE95" s="593"/>
      <c r="AF95" s="594"/>
      <c r="AG95" s="454"/>
      <c r="AH95" s="593"/>
      <c r="AI95" s="593"/>
      <c r="AJ95" s="593"/>
      <c r="AK95" s="593"/>
      <c r="AL95" s="517"/>
      <c r="AM95" s="454"/>
      <c r="AN95" s="517"/>
      <c r="AO95" s="454"/>
      <c r="AP95" s="454"/>
      <c r="AQ95" s="454"/>
      <c r="AR95" s="525"/>
      <c r="AS95" s="525"/>
      <c r="AT95" s="525"/>
    </row>
    <row r="96" spans="1:46" s="449" customFormat="1">
      <c r="A96" s="333"/>
      <c r="D96" s="455"/>
      <c r="E96" s="593"/>
      <c r="F96" s="593"/>
      <c r="G96" s="593"/>
      <c r="H96" s="593"/>
      <c r="I96" s="593"/>
      <c r="J96" s="593"/>
      <c r="K96" s="593"/>
      <c r="L96" s="593"/>
      <c r="M96" s="593"/>
      <c r="N96" s="593"/>
      <c r="O96" s="593"/>
      <c r="P96" s="593"/>
      <c r="Q96" s="593"/>
      <c r="R96" s="593"/>
      <c r="S96" s="593"/>
      <c r="T96" s="593"/>
      <c r="U96" s="593"/>
      <c r="V96" s="593"/>
      <c r="W96" s="593"/>
      <c r="X96" s="453"/>
      <c r="Y96" s="593"/>
      <c r="Z96" s="593"/>
      <c r="AA96" s="593"/>
      <c r="AB96" s="593"/>
      <c r="AC96" s="593"/>
      <c r="AD96" s="593"/>
      <c r="AE96" s="593"/>
      <c r="AF96" s="593"/>
      <c r="AG96" s="454"/>
      <c r="AH96" s="593"/>
      <c r="AI96" s="593"/>
      <c r="AJ96" s="593"/>
      <c r="AK96" s="593"/>
      <c r="AL96" s="517"/>
      <c r="AM96" s="454"/>
      <c r="AN96" s="517"/>
      <c r="AO96" s="454"/>
      <c r="AP96" s="454"/>
      <c r="AQ96" s="454"/>
      <c r="AR96" s="525"/>
      <c r="AS96" s="525"/>
      <c r="AT96" s="525"/>
    </row>
    <row r="97" spans="1:46" s="449" customFormat="1">
      <c r="A97" s="333"/>
      <c r="E97" s="397"/>
      <c r="F97" s="397"/>
      <c r="G97" s="397"/>
      <c r="H97" s="397"/>
      <c r="I97" s="397"/>
      <c r="J97" s="397"/>
      <c r="K97" s="397"/>
      <c r="L97" s="397"/>
      <c r="M97" s="397"/>
      <c r="N97" s="397"/>
      <c r="O97" s="397"/>
      <c r="P97" s="397"/>
      <c r="Q97" s="397"/>
      <c r="R97" s="397"/>
      <c r="S97" s="397"/>
      <c r="T97" s="397"/>
      <c r="U97" s="397"/>
      <c r="V97" s="397"/>
      <c r="W97" s="453"/>
      <c r="X97" s="453"/>
      <c r="Y97" s="397"/>
      <c r="Z97" s="397"/>
      <c r="AA97" s="397"/>
      <c r="AB97" s="397"/>
      <c r="AC97" s="397"/>
      <c r="AD97" s="397"/>
      <c r="AE97" s="397"/>
      <c r="AF97" s="397"/>
      <c r="AG97" s="386"/>
      <c r="AH97" s="397"/>
      <c r="AI97" s="397"/>
      <c r="AJ97" s="397"/>
      <c r="AK97" s="397"/>
      <c r="AL97" s="512"/>
      <c r="AM97" s="453"/>
      <c r="AN97" s="512"/>
      <c r="AO97" s="453"/>
      <c r="AP97" s="453"/>
      <c r="AQ97" s="453"/>
      <c r="AR97" s="526"/>
      <c r="AS97" s="526"/>
      <c r="AT97" s="526"/>
    </row>
    <row r="98" spans="1:46" s="449" customFormat="1">
      <c r="A98" s="333"/>
      <c r="E98" s="397"/>
      <c r="F98" s="397"/>
      <c r="G98" s="397"/>
      <c r="H98" s="397"/>
      <c r="I98" s="397"/>
      <c r="J98" s="397"/>
      <c r="K98" s="397"/>
      <c r="L98" s="397"/>
      <c r="M98" s="397"/>
      <c r="N98" s="397"/>
      <c r="O98" s="397"/>
      <c r="P98" s="397"/>
      <c r="Q98" s="397"/>
      <c r="R98" s="397"/>
      <c r="S98" s="397"/>
      <c r="T98" s="397"/>
      <c r="U98" s="397"/>
      <c r="V98" s="397"/>
      <c r="W98" s="453"/>
      <c r="X98" s="453"/>
      <c r="Y98" s="397"/>
      <c r="Z98" s="397"/>
      <c r="AA98" s="397"/>
      <c r="AB98" s="397"/>
      <c r="AC98" s="397"/>
      <c r="AD98" s="397"/>
      <c r="AE98" s="397"/>
      <c r="AF98" s="397"/>
      <c r="AG98" s="418"/>
      <c r="AH98" s="397"/>
      <c r="AI98" s="397"/>
      <c r="AJ98" s="397"/>
      <c r="AK98" s="397"/>
      <c r="AL98" s="512"/>
      <c r="AM98" s="453"/>
      <c r="AN98" s="512"/>
      <c r="AO98" s="453"/>
      <c r="AP98" s="453"/>
      <c r="AQ98" s="453"/>
      <c r="AR98" s="526"/>
      <c r="AS98" s="526"/>
      <c r="AT98" s="526"/>
    </row>
    <row r="99" spans="1:46" ht="12.75" thickBot="1">
      <c r="AG99" s="428"/>
    </row>
    <row r="100" spans="1:46">
      <c r="AG100" s="430"/>
    </row>
    <row r="101" spans="1:46">
      <c r="AG101" s="403"/>
    </row>
    <row r="102" spans="1:46">
      <c r="AG102" s="431"/>
    </row>
    <row r="103" spans="1:46">
      <c r="AG103" s="431"/>
    </row>
    <row r="104" spans="1:46">
      <c r="AG104" s="433"/>
    </row>
    <row r="105" spans="1:46">
      <c r="AG105" s="435"/>
    </row>
    <row r="106" spans="1:46">
      <c r="AG106" s="436"/>
    </row>
    <row r="107" spans="1:46">
      <c r="AG107" s="303"/>
    </row>
    <row r="108" spans="1:46">
      <c r="AG108" s="435"/>
    </row>
    <row r="109" spans="1:46">
      <c r="AG109" s="435"/>
    </row>
    <row r="110" spans="1:46">
      <c r="AG110" s="435"/>
    </row>
    <row r="111" spans="1:46">
      <c r="AG111" s="435"/>
    </row>
    <row r="112" spans="1:46">
      <c r="AG112" s="435"/>
    </row>
    <row r="113" spans="18:37">
      <c r="AG113" s="436"/>
    </row>
    <row r="114" spans="18:37">
      <c r="AG114" s="303"/>
    </row>
    <row r="115" spans="18:37">
      <c r="AG115" s="438"/>
    </row>
    <row r="116" spans="18:37">
      <c r="AG116" s="435"/>
    </row>
    <row r="117" spans="18:37">
      <c r="AG117" s="435"/>
    </row>
    <row r="118" spans="18:37">
      <c r="AG118" s="435"/>
    </row>
    <row r="119" spans="18:37">
      <c r="AG119" s="436"/>
    </row>
    <row r="120" spans="18:37">
      <c r="AG120" s="438"/>
    </row>
    <row r="121" spans="18:37">
      <c r="AG121" s="438"/>
    </row>
    <row r="122" spans="18:37">
      <c r="AG122" s="435"/>
    </row>
    <row r="123" spans="18:37">
      <c r="AG123" s="435"/>
    </row>
    <row r="124" spans="18:37">
      <c r="AG124" s="435"/>
    </row>
    <row r="125" spans="18:37">
      <c r="AG125" s="436"/>
    </row>
    <row r="126" spans="18:37" ht="12.75">
      <c r="R126" s="619" t="s">
        <v>180</v>
      </c>
      <c r="S126" s="619" t="s">
        <v>180</v>
      </c>
      <c r="T126" s="619"/>
      <c r="U126" s="619"/>
      <c r="V126" s="619"/>
      <c r="Y126" s="619"/>
      <c r="Z126" s="619"/>
      <c r="AA126" s="619"/>
      <c r="AB126" s="619"/>
      <c r="AC126" s="619"/>
      <c r="AD126" s="619"/>
      <c r="AE126" s="619" t="s">
        <v>180</v>
      </c>
      <c r="AG126" s="438"/>
      <c r="AK126" s="619"/>
    </row>
    <row r="127" spans="18:37">
      <c r="R127" s="620" t="s">
        <v>181</v>
      </c>
      <c r="S127" s="620" t="s">
        <v>181</v>
      </c>
      <c r="T127" s="620"/>
      <c r="U127" s="620"/>
      <c r="V127" s="620"/>
      <c r="Y127" s="620"/>
      <c r="Z127" s="620"/>
      <c r="AA127" s="620"/>
      <c r="AB127" s="620"/>
      <c r="AC127" s="620"/>
      <c r="AD127" s="620"/>
      <c r="AE127" s="620" t="s">
        <v>181</v>
      </c>
      <c r="AG127" s="438"/>
      <c r="AK127" s="620"/>
    </row>
    <row r="128" spans="18:37">
      <c r="AG128" s="435"/>
    </row>
    <row r="129" spans="33:33">
      <c r="AG129" s="435"/>
    </row>
    <row r="130" spans="33:33">
      <c r="AG130" s="435"/>
    </row>
    <row r="131" spans="33:33">
      <c r="AG131" s="435"/>
    </row>
    <row r="132" spans="33:33">
      <c r="AG132" s="435"/>
    </row>
    <row r="133" spans="33:33">
      <c r="AG133" s="435"/>
    </row>
    <row r="134" spans="33:33">
      <c r="AG134" s="435"/>
    </row>
    <row r="135" spans="33:33">
      <c r="AG135" s="435"/>
    </row>
    <row r="136" spans="33:33">
      <c r="AG136" s="436"/>
    </row>
    <row r="137" spans="33:33">
      <c r="AG137" s="298"/>
    </row>
    <row r="138" spans="33:33">
      <c r="AG138" s="296"/>
    </row>
    <row r="139" spans="33:33">
      <c r="AG139" s="438"/>
    </row>
    <row r="140" spans="33:33">
      <c r="AG140" s="438"/>
    </row>
    <row r="141" spans="33:33">
      <c r="AG141" s="438"/>
    </row>
    <row r="142" spans="33:33">
      <c r="AG142" s="435"/>
    </row>
    <row r="143" spans="33:33">
      <c r="AG143" s="435"/>
    </row>
    <row r="144" spans="33:33">
      <c r="AG144" s="435"/>
    </row>
    <row r="145" spans="33:33">
      <c r="AG145" s="435"/>
    </row>
    <row r="146" spans="33:33">
      <c r="AG146" s="436"/>
    </row>
    <row r="147" spans="33:33">
      <c r="AG147" s="438"/>
    </row>
    <row r="148" spans="33:33" ht="12.75" thickBot="1">
      <c r="AG148" s="440"/>
    </row>
    <row r="149" spans="33:33" ht="12.75" thickTop="1">
      <c r="AG149" s="438"/>
    </row>
    <row r="150" spans="33:33">
      <c r="AG150" s="438"/>
    </row>
    <row r="151" spans="33:33">
      <c r="AG151" s="435"/>
    </row>
    <row r="152" spans="33:33">
      <c r="AG152" s="433"/>
    </row>
    <row r="153" spans="33:33">
      <c r="AG153" s="435"/>
    </row>
    <row r="154" spans="33:33">
      <c r="AG154" s="436"/>
    </row>
    <row r="155" spans="33:33">
      <c r="AG155" s="438"/>
    </row>
    <row r="156" spans="33:33">
      <c r="AG156" s="438"/>
    </row>
    <row r="157" spans="33:33">
      <c r="AG157" s="435"/>
    </row>
    <row r="158" spans="33:33">
      <c r="AG158" s="442"/>
    </row>
    <row r="159" spans="33:33">
      <c r="AG159" s="442"/>
    </row>
    <row r="160" spans="33:33">
      <c r="AG160" s="442"/>
    </row>
    <row r="161" spans="33:33">
      <c r="AG161" s="443"/>
    </row>
    <row r="162" spans="33:33">
      <c r="AG162" s="303"/>
    </row>
    <row r="163" spans="33:33">
      <c r="AG163" s="436"/>
    </row>
    <row r="164" spans="33:33">
      <c r="AG164" s="303"/>
    </row>
    <row r="165" spans="33:33">
      <c r="AG165" s="435"/>
    </row>
    <row r="166" spans="33:33">
      <c r="AG166" s="435"/>
    </row>
    <row r="167" spans="33:33">
      <c r="AG167" s="435"/>
    </row>
    <row r="168" spans="33:33">
      <c r="AG168" s="436"/>
    </row>
    <row r="169" spans="33:33">
      <c r="AG169" s="431"/>
    </row>
    <row r="170" spans="33:33">
      <c r="AG170" s="438"/>
    </row>
    <row r="171" spans="33:33" ht="12.75" thickBot="1">
      <c r="AG171" s="441"/>
    </row>
    <row r="172" spans="33:33" ht="13.5" thickTop="1" thickBot="1">
      <c r="AG172" s="438"/>
    </row>
    <row r="173" spans="33:33" ht="12.75" thickBot="1">
      <c r="AG173" s="478"/>
    </row>
    <row r="174" spans="33:33" ht="12.75" thickBot="1">
      <c r="AG174" s="479"/>
    </row>
  </sheetData>
  <customSheetViews>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1">
    <mergeCell ref="AS59:AT59"/>
  </mergeCells>
  <phoneticPr fontId="0" type="noConversion"/>
  <pageMargins left="0.75" right="0.5" top="0.72" bottom="0.84" header="0.5" footer="0.5"/>
  <pageSetup scale="64" firstPageNumber="4" fitToWidth="5" orientation="portrait" r:id="rId3"/>
  <headerFooter scaleWithDoc="0" alignWithMargins="0">
    <oddHeader xml:space="preserve">&amp;RExhibit No. ___(JSS-3)
</oddHeader>
    <oddFooter>&amp;RPage &amp;P of &amp;N</oddFooter>
  </headerFooter>
  <colBreaks count="6" manualBreakCount="6">
    <brk id="11" min="1" max="87" man="1"/>
    <brk id="17" min="1" max="87" man="1"/>
    <brk id="24" min="1" max="87" man="1"/>
    <brk id="32" min="1" max="87" man="1"/>
    <brk id="38" min="1" max="87" man="1"/>
    <brk id="44" min="1" max="87" man="1"/>
  </colBreaks>
  <drawing r:id="rId4"/>
</worksheet>
</file>

<file path=xl/worksheets/sheet5.xml><?xml version="1.0" encoding="utf-8"?>
<worksheet xmlns="http://schemas.openxmlformats.org/spreadsheetml/2006/main" xmlns:r="http://schemas.openxmlformats.org/officeDocument/2006/relationships">
  <dimension ref="A1:AK98"/>
  <sheetViews>
    <sheetView view="pageBreakPreview" zoomScaleNormal="100" zoomScaleSheetLayoutView="100" workbookViewId="0">
      <pane xSplit="5" ySplit="12" topLeftCell="AD40" activePane="bottomRight" state="frozen"/>
      <selection activeCell="E47" sqref="E47"/>
      <selection pane="topRight" activeCell="E47" sqref="E47"/>
      <selection pane="bottomLeft" activeCell="E47" sqref="E47"/>
      <selection pane="bottomRight" activeCell="E47" sqref="E47"/>
    </sheetView>
  </sheetViews>
  <sheetFormatPr defaultColWidth="10.7109375" defaultRowHeight="12"/>
  <cols>
    <col min="1" max="1" width="5.7109375" style="188" customWidth="1"/>
    <col min="2" max="3" width="1.7109375" style="164" customWidth="1"/>
    <col min="4" max="4" width="28.7109375" style="164" customWidth="1"/>
    <col min="5" max="5" width="17.28515625" style="166" customWidth="1"/>
    <col min="6" max="36" width="20.42578125" style="166" customWidth="1"/>
    <col min="37" max="37" width="27.140625" style="567" customWidth="1"/>
    <col min="38" max="16384" width="10.7109375" style="164"/>
  </cols>
  <sheetData>
    <row r="1" spans="1:37">
      <c r="F1" s="217" t="s">
        <v>222</v>
      </c>
      <c r="G1" s="217" t="s">
        <v>222</v>
      </c>
      <c r="H1" s="217" t="s">
        <v>222</v>
      </c>
      <c r="I1" s="217" t="s">
        <v>222</v>
      </c>
      <c r="J1" s="217" t="s">
        <v>222</v>
      </c>
      <c r="K1" s="217" t="s">
        <v>222</v>
      </c>
      <c r="L1" s="217" t="s">
        <v>222</v>
      </c>
      <c r="M1" s="217" t="s">
        <v>222</v>
      </c>
      <c r="N1" s="217" t="s">
        <v>222</v>
      </c>
      <c r="O1" s="217" t="s">
        <v>222</v>
      </c>
      <c r="P1" s="217" t="s">
        <v>222</v>
      </c>
      <c r="Q1" s="217" t="s">
        <v>222</v>
      </c>
      <c r="R1" s="217" t="s">
        <v>222</v>
      </c>
      <c r="S1" s="217" t="s">
        <v>222</v>
      </c>
      <c r="T1" s="217" t="s">
        <v>222</v>
      </c>
      <c r="U1" s="217" t="s">
        <v>222</v>
      </c>
      <c r="V1" s="217" t="s">
        <v>222</v>
      </c>
      <c r="W1" s="217" t="s">
        <v>222</v>
      </c>
      <c r="X1" s="217" t="s">
        <v>222</v>
      </c>
      <c r="Y1" s="217" t="s">
        <v>222</v>
      </c>
      <c r="Z1" s="217" t="s">
        <v>222</v>
      </c>
      <c r="AA1" s="217" t="s">
        <v>222</v>
      </c>
      <c r="AB1" s="217" t="s">
        <v>222</v>
      </c>
      <c r="AC1" s="217" t="s">
        <v>222</v>
      </c>
      <c r="AD1" s="217" t="s">
        <v>222</v>
      </c>
      <c r="AE1" s="217" t="s">
        <v>222</v>
      </c>
      <c r="AF1" s="217" t="s">
        <v>222</v>
      </c>
      <c r="AG1" s="217" t="s">
        <v>222</v>
      </c>
      <c r="AH1" s="217" t="s">
        <v>222</v>
      </c>
      <c r="AI1" s="217" t="s">
        <v>222</v>
      </c>
      <c r="AJ1" s="217" t="s">
        <v>222</v>
      </c>
      <c r="AK1" s="563"/>
    </row>
    <row r="2" spans="1:37" ht="12.75" customHeight="1">
      <c r="A2" s="163" t="str">
        <f>'ROO INPUT'!A3:C3</f>
        <v>AVISTA UTILITIES</v>
      </c>
      <c r="E2" s="165"/>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568"/>
    </row>
    <row r="3" spans="1:37" ht="12.75" customHeight="1">
      <c r="A3" s="163" t="str">
        <f>'ROO INPUT'!A4:C4</f>
        <v xml:space="preserve">WASHINGTON NATURAL GAS RESULTS </v>
      </c>
      <c r="E3" s="165"/>
    </row>
    <row r="4" spans="1:37" ht="12.75" customHeight="1">
      <c r="A4" s="163" t="str">
        <f>'ROO INPUT'!A5:C5</f>
        <v>TWELVE MONTHS ENDED SEPTEMBER 30, 2014</v>
      </c>
      <c r="E4" s="168"/>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569"/>
    </row>
    <row r="5" spans="1:37">
      <c r="A5" s="163" t="str">
        <f>'ROO INPUT'!A6:C6</f>
        <v xml:space="preserve">(000'S OF DOLLARS)   </v>
      </c>
      <c r="B5" s="163"/>
      <c r="C5" s="163"/>
      <c r="D5" s="163"/>
      <c r="E5" s="163"/>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570"/>
    </row>
    <row r="6" spans="1:37" ht="12.75" customHeight="1">
      <c r="A6" s="163"/>
    </row>
    <row r="7" spans="1:37" s="171" customFormat="1">
      <c r="A7" s="170"/>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571"/>
    </row>
    <row r="8" spans="1:37" s="171" customFormat="1" ht="12" customHeight="1">
      <c r="A8" s="173"/>
      <c r="B8" s="174"/>
      <c r="C8" s="175"/>
      <c r="D8" s="176"/>
      <c r="E8" s="177" t="str">
        <f>'ADJ DETAIL INPUT'!E8</f>
        <v>Per</v>
      </c>
      <c r="F8" s="177" t="str">
        <f>'ADJ DETAIL INPUT'!F8</f>
        <v xml:space="preserve">Deferred </v>
      </c>
      <c r="G8" s="177" t="str">
        <f>'ADJ DETAIL INPUT'!G8</f>
        <v>Deferred Debits</v>
      </c>
      <c r="H8" s="177" t="str">
        <f>'ADJ DETAIL INPUT'!H8</f>
        <v>Working</v>
      </c>
      <c r="I8" s="177" t="str">
        <f>'ADJ DETAIL INPUT'!I8</f>
        <v xml:space="preserve">Eliminate </v>
      </c>
      <c r="J8" s="177" t="str">
        <f>'ADJ DETAIL INPUT'!J8</f>
        <v>Restate</v>
      </c>
      <c r="K8" s="177" t="str">
        <f>'ADJ DETAIL INPUT'!K8</f>
        <v>Uncollectible</v>
      </c>
      <c r="L8" s="177" t="str">
        <f>'ADJ DETAIL INPUT'!L8</f>
        <v>Regulatory</v>
      </c>
      <c r="M8" s="177" t="str">
        <f>'ADJ DETAIL INPUT'!M8</f>
        <v>Injuries</v>
      </c>
      <c r="N8" s="177" t="str">
        <f>'ADJ DETAIL INPUT'!N8</f>
        <v xml:space="preserve">FIT / </v>
      </c>
      <c r="O8" s="177" t="str">
        <f>'ADJ DETAIL INPUT'!O8</f>
        <v>Office Space</v>
      </c>
      <c r="P8" s="177" t="str">
        <f>'ADJ DETAIL INPUT'!P8</f>
        <v>Restate</v>
      </c>
      <c r="Q8" s="177" t="str">
        <f>'ADJ DETAIL INPUT'!Q8</f>
        <v>Net</v>
      </c>
      <c r="R8" s="177" t="str">
        <f>'ADJ DETAIL INPUT'!R8</f>
        <v xml:space="preserve">Weather </v>
      </c>
      <c r="S8" s="177" t="str">
        <f>'ADJ DETAIL INPUT'!S8</f>
        <v>Eliminate</v>
      </c>
      <c r="T8" s="177" t="str">
        <f>'ADJ DETAIL INPUT'!T8</f>
        <v>Misc</v>
      </c>
      <c r="U8" s="177" t="str">
        <f>'ADJ DETAIL INPUT'!U8</f>
        <v>Restating</v>
      </c>
      <c r="V8" s="177" t="str">
        <f>'ADJ DETAIL INPUT'!V8</f>
        <v>Restate</v>
      </c>
      <c r="W8" s="177" t="str">
        <f>'ADJ DETAIL INPUT'!Y8</f>
        <v>Pro Forma</v>
      </c>
      <c r="X8" s="177" t="str">
        <f>'ADJ DETAIL INPUT'!Z8</f>
        <v>Pro Forma</v>
      </c>
      <c r="Y8" s="177" t="str">
        <f>'ADJ DETAIL INPUT'!AA8</f>
        <v>Pro Forma</v>
      </c>
      <c r="Z8" s="177" t="str">
        <f>'ADJ DETAIL INPUT'!AB8</f>
        <v>Pro Forma</v>
      </c>
      <c r="AA8" s="177" t="str">
        <f>'ADJ DETAIL INPUT'!AC8</f>
        <v>Pro Forma</v>
      </c>
      <c r="AB8" s="177" t="str">
        <f>'ADJ DETAIL INPUT'!AD8</f>
        <v xml:space="preserve">Pro Forma </v>
      </c>
      <c r="AC8" s="177" t="str">
        <f>'ADJ DETAIL INPUT'!AE8</f>
        <v>Pro Forma</v>
      </c>
      <c r="AD8" s="177" t="str">
        <f>'ADJ DETAIL INPUT'!AF8</f>
        <v>Planned</v>
      </c>
      <c r="AE8" s="177" t="str">
        <f>'ADJ DETAIL INPUT'!AH8</f>
        <v>Planned</v>
      </c>
      <c r="AF8" s="177" t="str">
        <f>'ADJ DETAIL INPUT'!AI8</f>
        <v>Planned</v>
      </c>
      <c r="AG8" s="544" t="str">
        <f>'ADJ DETAIL INPUT'!AJ8</f>
        <v xml:space="preserve">Project Compass </v>
      </c>
      <c r="AH8" s="177" t="str">
        <f>'ADJ DETAIL INPUT'!AK8</f>
        <v>O&amp;M</v>
      </c>
      <c r="AI8" s="177" t="str">
        <f>'ADJ DETAIL INPUT'!AL8</f>
        <v xml:space="preserve">Pro Forma </v>
      </c>
      <c r="AJ8" s="177" t="str">
        <f>'ADJ DETAIL INPUT'!AN8</f>
        <v>Reconcile</v>
      </c>
      <c r="AK8" s="571"/>
    </row>
    <row r="9" spans="1:37" s="171" customFormat="1">
      <c r="A9" s="178" t="s">
        <v>7</v>
      </c>
      <c r="B9" s="179"/>
      <c r="C9" s="180"/>
      <c r="D9" s="181"/>
      <c r="E9" s="182" t="str">
        <f>'ADJ DETAIL INPUT'!E9</f>
        <v xml:space="preserve">Results </v>
      </c>
      <c r="F9" s="182" t="str">
        <f>'ADJ DETAIL INPUT'!F9</f>
        <v>FIT</v>
      </c>
      <c r="G9" s="182" t="str">
        <f>'ADJ DETAIL INPUT'!G9</f>
        <v xml:space="preserve">and </v>
      </c>
      <c r="H9" s="182" t="str">
        <f>'ADJ DETAIL INPUT'!H9</f>
        <v>Capital</v>
      </c>
      <c r="I9" s="182" t="str">
        <f>'ADJ DETAIL INPUT'!I9</f>
        <v xml:space="preserve">B &amp; O </v>
      </c>
      <c r="J9" s="182" t="str">
        <f>'ADJ DETAIL INPUT'!J9</f>
        <v>Property</v>
      </c>
      <c r="K9" s="182" t="str">
        <f>'ADJ DETAIL INPUT'!K9</f>
        <v>Expense</v>
      </c>
      <c r="L9" s="182" t="str">
        <f>'ADJ DETAIL INPUT'!L9</f>
        <v>Expense</v>
      </c>
      <c r="M9" s="182" t="str">
        <f>'ADJ DETAIL INPUT'!M9</f>
        <v xml:space="preserve">and </v>
      </c>
      <c r="N9" s="182" t="str">
        <f>'ADJ DETAIL INPUT'!N9</f>
        <v xml:space="preserve">DFIT </v>
      </c>
      <c r="O9" s="182" t="str">
        <f>'ADJ DETAIL INPUT'!O9</f>
        <v>Charges to</v>
      </c>
      <c r="P9" s="182" t="str">
        <f>'ADJ DETAIL INPUT'!P9</f>
        <v>Excise</v>
      </c>
      <c r="Q9" s="182" t="str">
        <f>'ADJ DETAIL INPUT'!Q9</f>
        <v>Gains/Losses</v>
      </c>
      <c r="R9" s="182" t="str">
        <f>'ADJ DETAIL INPUT'!R9</f>
        <v>Normalization /</v>
      </c>
      <c r="S9" s="182" t="str">
        <f>'ADJ DETAIL INPUT'!S9</f>
        <v>Adder</v>
      </c>
      <c r="T9" s="182" t="str">
        <f>'ADJ DETAIL INPUT'!T9</f>
        <v>Restating</v>
      </c>
      <c r="U9" s="182" t="str">
        <f>'ADJ DETAIL INPUT'!U9</f>
        <v>Incentive</v>
      </c>
      <c r="V9" s="182" t="str">
        <f>'ADJ DETAIL INPUT'!V9</f>
        <v>Debt</v>
      </c>
      <c r="W9" s="182" t="str">
        <f>'ADJ DETAIL INPUT'!Y9</f>
        <v>Labor</v>
      </c>
      <c r="X9" s="182" t="str">
        <f>'ADJ DETAIL INPUT'!Z9</f>
        <v>Labor</v>
      </c>
      <c r="Y9" s="182" t="str">
        <f>'ADJ DETAIL INPUT'!AA9</f>
        <v>Employee</v>
      </c>
      <c r="Z9" s="182" t="str">
        <f>'ADJ DETAIL INPUT'!AB9</f>
        <v>Insurance</v>
      </c>
      <c r="AA9" s="182" t="str">
        <f>'ADJ DETAIL INPUT'!AC9</f>
        <v>Property</v>
      </c>
      <c r="AB9" s="182" t="str">
        <f>'ADJ DETAIL INPUT'!AD9</f>
        <v xml:space="preserve">Information </v>
      </c>
      <c r="AC9" s="182" t="str">
        <f>'ADJ DETAIL INPUT'!AE9</f>
        <v xml:space="preserve"> Revenue</v>
      </c>
      <c r="AD9" s="182" t="str">
        <f>'ADJ DETAIL INPUT'!AF9</f>
        <v>Capital Add</v>
      </c>
      <c r="AE9" s="182" t="str">
        <f>'ADJ DETAIL INPUT'!AH9</f>
        <v>Capital Add</v>
      </c>
      <c r="AF9" s="182" t="str">
        <f>'ADJ DETAIL INPUT'!AI9</f>
        <v>Capital Add</v>
      </c>
      <c r="AG9" s="543" t="str">
        <f>'ADJ DETAIL INPUT'!AJ9</f>
        <v>Deferral, Regulatory</v>
      </c>
      <c r="AH9" s="182" t="str">
        <f>'ADJ DETAIL INPUT'!AK9</f>
        <v>Offsets</v>
      </c>
      <c r="AI9" s="182" t="str">
        <f>'ADJ DETAIL INPUT'!AL9</f>
        <v>Atmospheric</v>
      </c>
      <c r="AJ9" s="182" t="str">
        <f>'ADJ DETAIL INPUT'!AN9</f>
        <v xml:space="preserve">Pro Forma </v>
      </c>
      <c r="AK9" s="571"/>
    </row>
    <row r="10" spans="1:37" s="171" customFormat="1">
      <c r="A10" s="183" t="s">
        <v>17</v>
      </c>
      <c r="B10" s="184"/>
      <c r="C10" s="185"/>
      <c r="D10" s="186" t="s">
        <v>18</v>
      </c>
      <c r="E10" s="187" t="str">
        <f>'ADJ DETAIL INPUT'!E10</f>
        <v>Report</v>
      </c>
      <c r="F10" s="187" t="str">
        <f>'ADJ DETAIL INPUT'!F10</f>
        <v>Rate Base</v>
      </c>
      <c r="G10" s="187" t="str">
        <f>'ADJ DETAIL INPUT'!G10</f>
        <v>Credits</v>
      </c>
      <c r="H10" s="187"/>
      <c r="I10" s="187" t="str">
        <f>'ADJ DETAIL INPUT'!I10</f>
        <v>Taxes</v>
      </c>
      <c r="J10" s="187" t="str">
        <f>'ADJ DETAIL INPUT'!J10</f>
        <v>Tax</v>
      </c>
      <c r="K10" s="187"/>
      <c r="L10" s="187"/>
      <c r="M10" s="187" t="str">
        <f>'ADJ DETAIL INPUT'!M10</f>
        <v>Damages</v>
      </c>
      <c r="N10" s="187" t="str">
        <f>'ADJ DETAIL INPUT'!N10</f>
        <v>Expense</v>
      </c>
      <c r="O10" s="187" t="str">
        <f>'ADJ DETAIL INPUT'!O10</f>
        <v>Subs</v>
      </c>
      <c r="P10" s="187" t="str">
        <f>'ADJ DETAIL INPUT'!P10</f>
        <v>Taxes</v>
      </c>
      <c r="Q10" s="187"/>
      <c r="R10" s="187" t="str">
        <f>'ADJ DETAIL INPUT'!R10</f>
        <v>Gas Cost Adjust</v>
      </c>
      <c r="S10" s="187" t="str">
        <f>'ADJ DETAIL INPUT'!S10</f>
        <v>Schedules</v>
      </c>
      <c r="T10" s="187" t="str">
        <f>'ADJ DETAIL INPUT'!T10</f>
        <v>Adjustments</v>
      </c>
      <c r="U10" s="187" t="str">
        <f>'ADJ DETAIL INPUT'!U10</f>
        <v>Adjustment</v>
      </c>
      <c r="V10" s="187" t="str">
        <f>'ADJ DETAIL INPUT'!V10</f>
        <v>Interest</v>
      </c>
      <c r="W10" s="187" t="str">
        <f>'ADJ DETAIL INPUT'!Y10</f>
        <v>Non-Exec</v>
      </c>
      <c r="X10" s="187" t="str">
        <f>'ADJ DETAIL INPUT'!Z10</f>
        <v>Exec</v>
      </c>
      <c r="Y10" s="187" t="str">
        <f>'ADJ DETAIL INPUT'!AA10</f>
        <v>Benefits</v>
      </c>
      <c r="Z10" s="187"/>
      <c r="AA10" s="187" t="str">
        <f>'ADJ DETAIL INPUT'!AC10</f>
        <v>Tax</v>
      </c>
      <c r="AB10" s="187" t="str">
        <f>'ADJ DETAIL INPUT'!AD10</f>
        <v>Tech/Serv Exp</v>
      </c>
      <c r="AC10" s="187" t="str">
        <f>'ADJ DETAIL INPUT'!AE10</f>
        <v xml:space="preserve">Normalization </v>
      </c>
      <c r="AD10" s="187" t="str">
        <f>'ADJ DETAIL INPUT'!AF10</f>
        <v>Dec 2014 EOP</v>
      </c>
      <c r="AE10" s="187" t="str">
        <f>'ADJ DETAIL INPUT'!AH10</f>
        <v>2015 EOP</v>
      </c>
      <c r="AF10" s="187" t="str">
        <f>'ADJ DETAIL INPUT'!AI10</f>
        <v>2016 AMA</v>
      </c>
      <c r="AG10" s="187" t="str">
        <f>'ADJ DETAIL INPUT'!AJ10</f>
        <v>Amortization</v>
      </c>
      <c r="AH10" s="187"/>
      <c r="AI10" s="187" t="str">
        <f>'ADJ DETAIL INPUT'!AL10</f>
        <v>Testing</v>
      </c>
      <c r="AJ10" s="187" t="str">
        <f>'ADJ DETAIL INPUT'!AN10</f>
        <v>To Attrition</v>
      </c>
      <c r="AK10" s="187"/>
    </row>
    <row r="11" spans="1:37" s="171" customFormat="1">
      <c r="A11" s="170"/>
      <c r="B11" s="207" t="s">
        <v>196</v>
      </c>
      <c r="E11" s="208">
        <f>'ADJ DETAIL INPUT'!E11</f>
        <v>1</v>
      </c>
      <c r="F11" s="208">
        <f>'ADJ DETAIL INPUT'!F11</f>
        <v>1.01</v>
      </c>
      <c r="G11" s="208">
        <f>'ADJ DETAIL INPUT'!G11</f>
        <v>1.02</v>
      </c>
      <c r="H11" s="208">
        <f>'ADJ DETAIL INPUT'!H11</f>
        <v>1.03</v>
      </c>
      <c r="I11" s="208">
        <f>'ADJ DETAIL INPUT'!I11</f>
        <v>2.0099999999999998</v>
      </c>
      <c r="J11" s="208">
        <f>'ADJ DETAIL INPUT'!J11</f>
        <v>2.0199999999999996</v>
      </c>
      <c r="K11" s="208">
        <f>'ADJ DETAIL INPUT'!K11</f>
        <v>2.0299999999999994</v>
      </c>
      <c r="L11" s="208">
        <f>'ADJ DETAIL INPUT'!L11</f>
        <v>2.0399999999999991</v>
      </c>
      <c r="M11" s="208">
        <f>'ADJ DETAIL INPUT'!M11</f>
        <v>2.0499999999999989</v>
      </c>
      <c r="N11" s="208">
        <f>'ADJ DETAIL INPUT'!N11</f>
        <v>2.0599999999999987</v>
      </c>
      <c r="O11" s="208">
        <f>'ADJ DETAIL INPUT'!O11</f>
        <v>2.0699999999999985</v>
      </c>
      <c r="P11" s="208">
        <f>'ADJ DETAIL INPUT'!P11</f>
        <v>2.0799999999999983</v>
      </c>
      <c r="Q11" s="208">
        <f>'ADJ DETAIL INPUT'!Q11</f>
        <v>2.0899999999999981</v>
      </c>
      <c r="R11" s="208">
        <f>'ADJ DETAIL INPUT'!R11</f>
        <v>2.0999999999999979</v>
      </c>
      <c r="S11" s="208">
        <f>'ADJ DETAIL INPUT'!S11</f>
        <v>2.1099999999999977</v>
      </c>
      <c r="T11" s="208">
        <f>'ADJ DETAIL INPUT'!T11</f>
        <v>2.1199999999999974</v>
      </c>
      <c r="U11" s="208">
        <f>'ADJ DETAIL INPUT'!U11</f>
        <v>2.1299999999999972</v>
      </c>
      <c r="V11" s="208">
        <f>'ADJ DETAIL INPUT'!V11</f>
        <v>2.139999999999997</v>
      </c>
      <c r="W11" s="208">
        <f>'ADJ DETAIL INPUT'!Y11</f>
        <v>3</v>
      </c>
      <c r="X11" s="208">
        <f>'ADJ DETAIL INPUT'!Z11</f>
        <v>3.01</v>
      </c>
      <c r="Y11" s="208">
        <f>'ADJ DETAIL INPUT'!AA11</f>
        <v>3.0199999999999996</v>
      </c>
      <c r="Z11" s="208">
        <f>'ADJ DETAIL INPUT'!AB11</f>
        <v>3.0299999999999994</v>
      </c>
      <c r="AA11" s="208">
        <f>'ADJ DETAIL INPUT'!AC11</f>
        <v>3.0399999999999991</v>
      </c>
      <c r="AB11" s="208">
        <f>'ADJ DETAIL INPUT'!AD11</f>
        <v>3.0499999999999989</v>
      </c>
      <c r="AC11" s="208">
        <f>'ADJ DETAIL INPUT'!AE11</f>
        <v>3.0599999999999987</v>
      </c>
      <c r="AD11" s="208">
        <f>'ADJ DETAIL INPUT'!AF11</f>
        <v>3.0699999999999985</v>
      </c>
      <c r="AE11" s="208">
        <f>'ADJ DETAIL INPUT'!AH11</f>
        <v>4.01</v>
      </c>
      <c r="AF11" s="208">
        <f>'ADJ DETAIL INPUT'!AI11</f>
        <v>4.0199999999999996</v>
      </c>
      <c r="AG11" s="208">
        <f>'ADJ DETAIL INPUT'!AJ11</f>
        <v>4.0299999999999994</v>
      </c>
      <c r="AH11" s="208">
        <f>'ADJ DETAIL INPUT'!AK11</f>
        <v>4.0399999999999991</v>
      </c>
      <c r="AI11" s="208">
        <f>'ADJ DETAIL INPUT'!AL11</f>
        <v>4.0499999999999989</v>
      </c>
      <c r="AJ11" s="208">
        <f>'ADJ DETAIL INPUT'!AN11</f>
        <v>4.0599999999999987</v>
      </c>
      <c r="AK11" s="530"/>
    </row>
    <row r="12" spans="1:37" s="171" customFormat="1">
      <c r="A12" s="170"/>
      <c r="B12" s="207" t="s">
        <v>197</v>
      </c>
      <c r="E12" s="172" t="str">
        <f>'ADJ DETAIL INPUT'!E12</f>
        <v>G-ROO</v>
      </c>
      <c r="F12" s="172" t="str">
        <f>'ADJ DETAIL INPUT'!F12</f>
        <v>G-DFIT</v>
      </c>
      <c r="G12" s="172" t="str">
        <f>'ADJ DETAIL INPUT'!G12</f>
        <v>G-DDC</v>
      </c>
      <c r="H12" s="172" t="str">
        <f>'ADJ DETAIL INPUT'!H12</f>
        <v>G-WC</v>
      </c>
      <c r="I12" s="172" t="str">
        <f>'ADJ DETAIL INPUT'!I12</f>
        <v>G-EBO</v>
      </c>
      <c r="J12" s="172" t="str">
        <f>'ADJ DETAIL INPUT'!J12</f>
        <v>G-RPT</v>
      </c>
      <c r="K12" s="172" t="str">
        <f>'ADJ DETAIL INPUT'!K12</f>
        <v>G-UE</v>
      </c>
      <c r="L12" s="172" t="str">
        <f>'ADJ DETAIL INPUT'!L12</f>
        <v>G-RE</v>
      </c>
      <c r="M12" s="172" t="str">
        <f>'ADJ DETAIL INPUT'!M12</f>
        <v>G-ID</v>
      </c>
      <c r="N12" s="172" t="str">
        <f>'ADJ DETAIL INPUT'!N12</f>
        <v>G-FIT</v>
      </c>
      <c r="O12" s="172" t="str">
        <f>'ADJ DETAIL INPUT'!O12</f>
        <v>G-OSC</v>
      </c>
      <c r="P12" s="172" t="str">
        <f>'ADJ DETAIL INPUT'!P12</f>
        <v>G-RET</v>
      </c>
      <c r="Q12" s="172" t="str">
        <f>'ADJ DETAIL INPUT'!Q12</f>
        <v>G-NGL</v>
      </c>
      <c r="R12" s="172" t="str">
        <f>'ADJ DETAIL INPUT'!R12</f>
        <v>G-RNGC</v>
      </c>
      <c r="S12" s="172" t="str">
        <f>'ADJ DETAIL INPUT'!S12</f>
        <v>G-EAS</v>
      </c>
      <c r="T12" s="172" t="str">
        <f>'ADJ DETAIL INPUT'!T12</f>
        <v>G-MR</v>
      </c>
      <c r="U12" s="172" t="str">
        <f>'ADJ DETAIL INPUT'!U12</f>
        <v>G-RI</v>
      </c>
      <c r="V12" s="172" t="str">
        <f>'ADJ DETAIL INPUT'!V12</f>
        <v>G-DI</v>
      </c>
      <c r="W12" s="172" t="str">
        <f>'ADJ DETAIL INPUT'!Y12</f>
        <v>G-PLN</v>
      </c>
      <c r="X12" s="172" t="str">
        <f>'ADJ DETAIL INPUT'!Z12</f>
        <v>G-PLE</v>
      </c>
      <c r="Y12" s="172" t="str">
        <f>'ADJ DETAIL INPUT'!AA12</f>
        <v>G-PEB</v>
      </c>
      <c r="Z12" s="172" t="str">
        <f>'ADJ DETAIL INPUT'!AB12</f>
        <v>G-PI</v>
      </c>
      <c r="AA12" s="172" t="str">
        <f>'ADJ DETAIL INPUT'!AC12</f>
        <v>G-PPT</v>
      </c>
      <c r="AB12" s="172" t="str">
        <f>'ADJ DETAIL INPUT'!AD12</f>
        <v>G-ISIT</v>
      </c>
      <c r="AC12" s="172" t="str">
        <f>'ADJ DETAIL INPUT'!AE12</f>
        <v>G-PREV</v>
      </c>
      <c r="AD12" s="172" t="str">
        <f>'ADJ DETAIL INPUT'!AF12</f>
        <v>G-CAP14</v>
      </c>
      <c r="AE12" s="172" t="str">
        <f>'ADJ DETAIL INPUT'!AH12</f>
        <v>G-CAP15</v>
      </c>
      <c r="AF12" s="172" t="str">
        <f>'ADJ DETAIL INPUT'!AI12</f>
        <v>G-CAP16</v>
      </c>
      <c r="AG12" s="172" t="str">
        <f>'ADJ DETAIL INPUT'!AJ12</f>
        <v>G-PCD</v>
      </c>
      <c r="AH12" s="172" t="str">
        <f>'ADJ DETAIL INPUT'!AK12</f>
        <v>G-OFF</v>
      </c>
      <c r="AI12" s="172" t="str">
        <f>'ADJ DETAIL INPUT'!AL12</f>
        <v>G-PFAT</v>
      </c>
      <c r="AJ12" s="172" t="str">
        <f>'ADJ DETAIL INPUT'!AN12</f>
        <v>G-REC</v>
      </c>
      <c r="AK12" s="571"/>
    </row>
    <row r="14" spans="1:37">
      <c r="B14" s="164" t="s">
        <v>34</v>
      </c>
    </row>
    <row r="15" spans="1:37" s="189" customFormat="1">
      <c r="A15" s="188">
        <v>1</v>
      </c>
      <c r="B15" s="189" t="s">
        <v>35</v>
      </c>
      <c r="E15" s="291">
        <f>'ADJ DETAIL INPUT'!E15</f>
        <v>166628</v>
      </c>
      <c r="F15" s="291">
        <f>'ADJ DETAIL INPUT'!F15</f>
        <v>0</v>
      </c>
      <c r="G15" s="291">
        <f>'ADJ DETAIL INPUT'!G15</f>
        <v>0</v>
      </c>
      <c r="H15" s="291">
        <f>'ADJ DETAIL INPUT'!H15</f>
        <v>0</v>
      </c>
      <c r="I15" s="291">
        <f>'ADJ DETAIL INPUT'!I15</f>
        <v>-6055</v>
      </c>
      <c r="J15" s="291">
        <f>'ADJ DETAIL INPUT'!J15</f>
        <v>0</v>
      </c>
      <c r="K15" s="291">
        <f>'ADJ DETAIL INPUT'!K15</f>
        <v>0</v>
      </c>
      <c r="L15" s="291">
        <f>'ADJ DETAIL INPUT'!L15</f>
        <v>0</v>
      </c>
      <c r="M15" s="291">
        <f>'ADJ DETAIL INPUT'!M15</f>
        <v>0</v>
      </c>
      <c r="N15" s="291">
        <f>'ADJ DETAIL INPUT'!N15</f>
        <v>0</v>
      </c>
      <c r="O15" s="291">
        <f>'ADJ DETAIL INPUT'!O15</f>
        <v>0</v>
      </c>
      <c r="P15" s="291">
        <f>'ADJ DETAIL INPUT'!P15</f>
        <v>0</v>
      </c>
      <c r="Q15" s="291">
        <f>'ADJ DETAIL INPUT'!Q15</f>
        <v>0</v>
      </c>
      <c r="R15" s="291">
        <f>'ADJ DETAIL INPUT'!R15</f>
        <v>-2140</v>
      </c>
      <c r="S15" s="291">
        <f>'ADJ DETAIL INPUT'!S15</f>
        <v>-6068</v>
      </c>
      <c r="T15" s="291">
        <f>'ADJ DETAIL INPUT'!T15</f>
        <v>0</v>
      </c>
      <c r="U15" s="291">
        <f>'ADJ DETAIL INPUT'!U15</f>
        <v>0</v>
      </c>
      <c r="V15" s="291">
        <f>'ADJ DETAIL INPUT'!V15</f>
        <v>0</v>
      </c>
      <c r="W15" s="291">
        <f>'ADJ DETAIL INPUT'!Y15</f>
        <v>0</v>
      </c>
      <c r="X15" s="291">
        <f>'ADJ DETAIL INPUT'!Z15</f>
        <v>0</v>
      </c>
      <c r="Y15" s="291">
        <f>'ADJ DETAIL INPUT'!AA15</f>
        <v>0</v>
      </c>
      <c r="Z15" s="291">
        <f>'ADJ DETAIL INPUT'!AB15</f>
        <v>0</v>
      </c>
      <c r="AA15" s="291">
        <f>'ADJ DETAIL INPUT'!AC15</f>
        <v>0</v>
      </c>
      <c r="AB15" s="291">
        <f>'ADJ DETAIL INPUT'!AD15</f>
        <v>0</v>
      </c>
      <c r="AC15" s="291">
        <f>'ADJ DETAIL INPUT'!AE15</f>
        <v>14366</v>
      </c>
      <c r="AD15" s="291">
        <f>'ADJ DETAIL INPUT'!AF15</f>
        <v>0</v>
      </c>
      <c r="AE15" s="291">
        <f>'ADJ DETAIL INPUT'!AH15</f>
        <v>0</v>
      </c>
      <c r="AF15" s="291">
        <f>'ADJ DETAIL INPUT'!AI15</f>
        <v>0</v>
      </c>
      <c r="AG15" s="291">
        <f>'ADJ DETAIL INPUT'!AJ15</f>
        <v>0</v>
      </c>
      <c r="AH15" s="291">
        <f>'ADJ DETAIL INPUT'!AK15</f>
        <v>0</v>
      </c>
      <c r="AI15" s="291">
        <f>'ADJ DETAIL INPUT'!AL15</f>
        <v>0</v>
      </c>
      <c r="AJ15" s="291">
        <f>'ADJ DETAIL INPUT'!AN15</f>
        <v>0</v>
      </c>
      <c r="AK15" s="572"/>
    </row>
    <row r="16" spans="1:37">
      <c r="A16" s="188">
        <v>2</v>
      </c>
      <c r="B16" s="190" t="s">
        <v>36</v>
      </c>
      <c r="D16" s="190"/>
      <c r="E16" s="211">
        <f>'ADJ DETAIL INPUT'!E16</f>
        <v>4112</v>
      </c>
      <c r="F16" s="211">
        <f>'ADJ DETAIL INPUT'!F16</f>
        <v>0</v>
      </c>
      <c r="G16" s="211">
        <f>'ADJ DETAIL INPUT'!G16</f>
        <v>0</v>
      </c>
      <c r="H16" s="211">
        <f>'ADJ DETAIL INPUT'!H16</f>
        <v>0</v>
      </c>
      <c r="I16" s="211">
        <f>'ADJ DETAIL INPUT'!I16</f>
        <v>-139</v>
      </c>
      <c r="J16" s="211">
        <f>'ADJ DETAIL INPUT'!J16</f>
        <v>0</v>
      </c>
      <c r="K16" s="211">
        <f>'ADJ DETAIL INPUT'!K16</f>
        <v>0</v>
      </c>
      <c r="L16" s="211">
        <f>'ADJ DETAIL INPUT'!L16</f>
        <v>0</v>
      </c>
      <c r="M16" s="211">
        <f>'ADJ DETAIL INPUT'!M16</f>
        <v>0</v>
      </c>
      <c r="N16" s="211">
        <f>'ADJ DETAIL INPUT'!N16</f>
        <v>0</v>
      </c>
      <c r="O16" s="211">
        <f>'ADJ DETAIL INPUT'!O16</f>
        <v>0</v>
      </c>
      <c r="P16" s="211">
        <f>'ADJ DETAIL INPUT'!P16</f>
        <v>0</v>
      </c>
      <c r="Q16" s="211">
        <f>'ADJ DETAIL INPUT'!Q16</f>
        <v>0</v>
      </c>
      <c r="R16" s="211">
        <f>'ADJ DETAIL INPUT'!R16</f>
        <v>0</v>
      </c>
      <c r="S16" s="211">
        <f>'ADJ DETAIL INPUT'!S16</f>
        <v>0</v>
      </c>
      <c r="T16" s="211">
        <f>'ADJ DETAIL INPUT'!T16</f>
        <v>0</v>
      </c>
      <c r="U16" s="211">
        <f>'ADJ DETAIL INPUT'!U16</f>
        <v>0</v>
      </c>
      <c r="V16" s="211">
        <f>'ADJ DETAIL INPUT'!V16</f>
        <v>0</v>
      </c>
      <c r="W16" s="211">
        <f>'ADJ DETAIL INPUT'!Y16</f>
        <v>0</v>
      </c>
      <c r="X16" s="211">
        <f>'ADJ DETAIL INPUT'!Z16</f>
        <v>0</v>
      </c>
      <c r="Y16" s="211">
        <f>'ADJ DETAIL INPUT'!AA16</f>
        <v>0</v>
      </c>
      <c r="Z16" s="211">
        <f>'ADJ DETAIL INPUT'!AB16</f>
        <v>0</v>
      </c>
      <c r="AA16" s="211">
        <f>'ADJ DETAIL INPUT'!AC16</f>
        <v>0</v>
      </c>
      <c r="AB16" s="211">
        <f>'ADJ DETAIL INPUT'!AD16</f>
        <v>0</v>
      </c>
      <c r="AC16" s="211">
        <f>'ADJ DETAIL INPUT'!AE16</f>
        <v>210</v>
      </c>
      <c r="AD16" s="211">
        <f>'ADJ DETAIL INPUT'!AF16</f>
        <v>0</v>
      </c>
      <c r="AE16" s="211">
        <f>'ADJ DETAIL INPUT'!AH16</f>
        <v>0</v>
      </c>
      <c r="AF16" s="211">
        <f>'ADJ DETAIL INPUT'!AI16</f>
        <v>0</v>
      </c>
      <c r="AG16" s="211">
        <f>'ADJ DETAIL INPUT'!AJ16</f>
        <v>0</v>
      </c>
      <c r="AH16" s="211">
        <f>'ADJ DETAIL INPUT'!AK16</f>
        <v>0</v>
      </c>
      <c r="AI16" s="211">
        <f>'ADJ DETAIL INPUT'!AL16</f>
        <v>0</v>
      </c>
      <c r="AJ16" s="211">
        <f>'ADJ DETAIL INPUT'!AN16</f>
        <v>0</v>
      </c>
      <c r="AK16" s="564"/>
    </row>
    <row r="17" spans="1:37">
      <c r="A17" s="188">
        <v>3</v>
      </c>
      <c r="B17" s="190" t="s">
        <v>37</v>
      </c>
      <c r="D17" s="190"/>
      <c r="E17" s="212">
        <f>'ADJ DETAIL INPUT'!E17</f>
        <v>83502</v>
      </c>
      <c r="F17" s="212">
        <f>'ADJ DETAIL INPUT'!F17</f>
        <v>0</v>
      </c>
      <c r="G17" s="212">
        <f>'ADJ DETAIL INPUT'!G17</f>
        <v>0</v>
      </c>
      <c r="H17" s="212">
        <f>'ADJ DETAIL INPUT'!H17</f>
        <v>0</v>
      </c>
      <c r="I17" s="212">
        <f>'ADJ DETAIL INPUT'!I17</f>
        <v>0</v>
      </c>
      <c r="J17" s="212">
        <f>'ADJ DETAIL INPUT'!J17</f>
        <v>0</v>
      </c>
      <c r="K17" s="212">
        <f>'ADJ DETAIL INPUT'!K17</f>
        <v>0</v>
      </c>
      <c r="L17" s="212">
        <f>'ADJ DETAIL INPUT'!L17</f>
        <v>0</v>
      </c>
      <c r="M17" s="212">
        <f>'ADJ DETAIL INPUT'!M17</f>
        <v>0</v>
      </c>
      <c r="N17" s="212">
        <f>'ADJ DETAIL INPUT'!N17</f>
        <v>0</v>
      </c>
      <c r="O17" s="212">
        <f>'ADJ DETAIL INPUT'!O17</f>
        <v>0</v>
      </c>
      <c r="P17" s="212">
        <f>'ADJ DETAIL INPUT'!P17</f>
        <v>0</v>
      </c>
      <c r="Q17" s="212">
        <f>'ADJ DETAIL INPUT'!Q17</f>
        <v>0</v>
      </c>
      <c r="R17" s="212">
        <f>'ADJ DETAIL INPUT'!R17</f>
        <v>0</v>
      </c>
      <c r="S17" s="212">
        <f>'ADJ DETAIL INPUT'!S17</f>
        <v>-83225</v>
      </c>
      <c r="T17" s="212">
        <f>'ADJ DETAIL INPUT'!T17</f>
        <v>0</v>
      </c>
      <c r="U17" s="212">
        <f>'ADJ DETAIL INPUT'!U17</f>
        <v>0</v>
      </c>
      <c r="V17" s="212">
        <f>'ADJ DETAIL INPUT'!V17</f>
        <v>0</v>
      </c>
      <c r="W17" s="212">
        <f>'ADJ DETAIL INPUT'!Y17</f>
        <v>0</v>
      </c>
      <c r="X17" s="212">
        <f>'ADJ DETAIL INPUT'!Z17</f>
        <v>0</v>
      </c>
      <c r="Y17" s="212">
        <f>'ADJ DETAIL INPUT'!AA17</f>
        <v>0</v>
      </c>
      <c r="Z17" s="212">
        <f>'ADJ DETAIL INPUT'!AB17</f>
        <v>0</v>
      </c>
      <c r="AA17" s="212">
        <f>'ADJ DETAIL INPUT'!AC17</f>
        <v>0</v>
      </c>
      <c r="AB17" s="212">
        <f>'ADJ DETAIL INPUT'!AD17</f>
        <v>0</v>
      </c>
      <c r="AC17" s="212">
        <f>'ADJ DETAIL INPUT'!AE17</f>
        <v>0</v>
      </c>
      <c r="AD17" s="212">
        <f>'ADJ DETAIL INPUT'!AF17</f>
        <v>0</v>
      </c>
      <c r="AE17" s="212">
        <f>'ADJ DETAIL INPUT'!AH17</f>
        <v>0</v>
      </c>
      <c r="AF17" s="212">
        <f>'ADJ DETAIL INPUT'!AI17</f>
        <v>0</v>
      </c>
      <c r="AG17" s="212">
        <f>'ADJ DETAIL INPUT'!AJ17</f>
        <v>0</v>
      </c>
      <c r="AH17" s="212">
        <f>'ADJ DETAIL INPUT'!AK17</f>
        <v>0</v>
      </c>
      <c r="AI17" s="212">
        <f>'ADJ DETAIL INPUT'!AL17</f>
        <v>0</v>
      </c>
      <c r="AJ17" s="212">
        <f>'ADJ DETAIL INPUT'!AN17</f>
        <v>0</v>
      </c>
      <c r="AK17" s="564"/>
    </row>
    <row r="18" spans="1:37">
      <c r="A18" s="188">
        <v>4</v>
      </c>
      <c r="B18" s="164" t="s">
        <v>38</v>
      </c>
      <c r="C18" s="190"/>
      <c r="D18" s="190"/>
      <c r="E18" s="211">
        <f>SUM(E15:E17)</f>
        <v>254242</v>
      </c>
      <c r="F18" s="211">
        <f t="shared" ref="F18:AJ18" si="0">SUM(F15:F17)</f>
        <v>0</v>
      </c>
      <c r="G18" s="211">
        <f t="shared" si="0"/>
        <v>0</v>
      </c>
      <c r="H18" s="211">
        <f t="shared" si="0"/>
        <v>0</v>
      </c>
      <c r="I18" s="211">
        <f t="shared" si="0"/>
        <v>-6194</v>
      </c>
      <c r="J18" s="211">
        <f t="shared" si="0"/>
        <v>0</v>
      </c>
      <c r="K18" s="211">
        <f t="shared" si="0"/>
        <v>0</v>
      </c>
      <c r="L18" s="211">
        <f t="shared" si="0"/>
        <v>0</v>
      </c>
      <c r="M18" s="211">
        <f t="shared" si="0"/>
        <v>0</v>
      </c>
      <c r="N18" s="211">
        <f t="shared" si="0"/>
        <v>0</v>
      </c>
      <c r="O18" s="211">
        <f t="shared" si="0"/>
        <v>0</v>
      </c>
      <c r="P18" s="211">
        <f t="shared" si="0"/>
        <v>0</v>
      </c>
      <c r="Q18" s="211">
        <f t="shared" si="0"/>
        <v>0</v>
      </c>
      <c r="R18" s="211">
        <f t="shared" si="0"/>
        <v>-2140</v>
      </c>
      <c r="S18" s="211">
        <f t="shared" ref="S18" si="1">SUM(S15:S17)</f>
        <v>-89293</v>
      </c>
      <c r="T18" s="211">
        <f t="shared" si="0"/>
        <v>0</v>
      </c>
      <c r="U18" s="211">
        <f t="shared" si="0"/>
        <v>0</v>
      </c>
      <c r="V18" s="211">
        <f t="shared" si="0"/>
        <v>0</v>
      </c>
      <c r="W18" s="211">
        <f t="shared" si="0"/>
        <v>0</v>
      </c>
      <c r="X18" s="211">
        <f t="shared" ref="X18" si="2">SUM(X15:X17)</f>
        <v>0</v>
      </c>
      <c r="Y18" s="211">
        <f t="shared" si="0"/>
        <v>0</v>
      </c>
      <c r="Z18" s="211">
        <f t="shared" si="0"/>
        <v>0</v>
      </c>
      <c r="AA18" s="211">
        <f t="shared" si="0"/>
        <v>0</v>
      </c>
      <c r="AB18" s="211">
        <f t="shared" si="0"/>
        <v>0</v>
      </c>
      <c r="AC18" s="211">
        <f t="shared" ref="AC18" si="3">SUM(AC15:AC17)</f>
        <v>14576</v>
      </c>
      <c r="AD18" s="211">
        <f t="shared" si="0"/>
        <v>0</v>
      </c>
      <c r="AE18" s="211">
        <f t="shared" ref="AE18:AH18" si="4">SUM(AE15:AE17)</f>
        <v>0</v>
      </c>
      <c r="AF18" s="211">
        <f t="shared" si="4"/>
        <v>0</v>
      </c>
      <c r="AG18" s="211">
        <f>SUM(AG15:AG17)</f>
        <v>0</v>
      </c>
      <c r="AH18" s="211">
        <f t="shared" si="4"/>
        <v>0</v>
      </c>
      <c r="AI18" s="211">
        <f t="shared" ref="AI18" si="5">SUM(AI15:AI17)</f>
        <v>0</v>
      </c>
      <c r="AJ18" s="211">
        <f t="shared" si="0"/>
        <v>0</v>
      </c>
      <c r="AK18" s="564"/>
    </row>
    <row r="19" spans="1:37">
      <c r="C19" s="190"/>
      <c r="D19" s="19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564"/>
    </row>
    <row r="20" spans="1:37">
      <c r="B20" s="164" t="s">
        <v>39</v>
      </c>
      <c r="C20" s="190"/>
      <c r="D20" s="190"/>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564"/>
    </row>
    <row r="21" spans="1:37">
      <c r="B21" s="190" t="s">
        <v>220</v>
      </c>
      <c r="D21" s="190"/>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564"/>
    </row>
    <row r="22" spans="1:37">
      <c r="A22" s="188">
        <v>5</v>
      </c>
      <c r="C22" s="190" t="s">
        <v>40</v>
      </c>
      <c r="D22" s="190"/>
      <c r="E22" s="211">
        <f>'ADJ DETAIL INPUT'!E22</f>
        <v>173262</v>
      </c>
      <c r="F22" s="211">
        <f>'ADJ DETAIL INPUT'!F22</f>
        <v>0</v>
      </c>
      <c r="G22" s="211">
        <f>'ADJ DETAIL INPUT'!G22</f>
        <v>0</v>
      </c>
      <c r="H22" s="211">
        <f>'ADJ DETAIL INPUT'!H22</f>
        <v>0</v>
      </c>
      <c r="I22" s="211">
        <f>'ADJ DETAIL INPUT'!I22</f>
        <v>0</v>
      </c>
      <c r="J22" s="211">
        <f>'ADJ DETAIL INPUT'!J22</f>
        <v>0</v>
      </c>
      <c r="K22" s="211">
        <f>'ADJ DETAIL INPUT'!K22</f>
        <v>0</v>
      </c>
      <c r="L22" s="211">
        <f>'ADJ DETAIL INPUT'!L22</f>
        <v>0</v>
      </c>
      <c r="M22" s="211">
        <f>'ADJ DETAIL INPUT'!M22</f>
        <v>0</v>
      </c>
      <c r="N22" s="211">
        <f>'ADJ DETAIL INPUT'!N22</f>
        <v>0</v>
      </c>
      <c r="O22" s="211">
        <f>'ADJ DETAIL INPUT'!O22</f>
        <v>0</v>
      </c>
      <c r="P22" s="211">
        <f>'ADJ DETAIL INPUT'!P22</f>
        <v>0</v>
      </c>
      <c r="Q22" s="211">
        <f>'ADJ DETAIL INPUT'!Q22</f>
        <v>0</v>
      </c>
      <c r="R22" s="211">
        <f>'ADJ DETAIL INPUT'!R22</f>
        <v>-1278</v>
      </c>
      <c r="S22" s="211">
        <f>'ADJ DETAIL INPUT'!S22</f>
        <v>-89511</v>
      </c>
      <c r="T22" s="211">
        <f>'ADJ DETAIL INPUT'!T22</f>
        <v>0</v>
      </c>
      <c r="U22" s="211">
        <f>'ADJ DETAIL INPUT'!U22</f>
        <v>0</v>
      </c>
      <c r="V22" s="211">
        <f>'ADJ DETAIL INPUT'!V22</f>
        <v>0</v>
      </c>
      <c r="W22" s="211">
        <f>'ADJ DETAIL INPUT'!Y22</f>
        <v>0</v>
      </c>
      <c r="X22" s="211">
        <f>'ADJ DETAIL INPUT'!Z22</f>
        <v>0</v>
      </c>
      <c r="Y22" s="211">
        <f>'ADJ DETAIL INPUT'!AA22</f>
        <v>0</v>
      </c>
      <c r="Z22" s="211">
        <f>'ADJ DETAIL INPUT'!AB22</f>
        <v>0</v>
      </c>
      <c r="AA22" s="211">
        <f>'ADJ DETAIL INPUT'!AC22</f>
        <v>0</v>
      </c>
      <c r="AB22" s="211">
        <f>'ADJ DETAIL INPUT'!AD22</f>
        <v>0</v>
      </c>
      <c r="AC22" s="211">
        <f>'ADJ DETAIL INPUT'!AE22</f>
        <v>5394</v>
      </c>
      <c r="AD22" s="211">
        <f>'ADJ DETAIL INPUT'!AF22</f>
        <v>0</v>
      </c>
      <c r="AE22" s="211">
        <f>'ADJ DETAIL INPUT'!AH22</f>
        <v>0</v>
      </c>
      <c r="AF22" s="211">
        <f>'ADJ DETAIL INPUT'!AI22</f>
        <v>0</v>
      </c>
      <c r="AG22" s="211">
        <f>'ADJ DETAIL INPUT'!AJ22</f>
        <v>0</v>
      </c>
      <c r="AH22" s="211">
        <f>'ADJ DETAIL INPUT'!AK22</f>
        <v>0</v>
      </c>
      <c r="AI22" s="211">
        <f>'ADJ DETAIL INPUT'!AL22</f>
        <v>0</v>
      </c>
      <c r="AJ22" s="211">
        <f>'ADJ DETAIL INPUT'!AN22</f>
        <v>0</v>
      </c>
      <c r="AK22" s="564"/>
    </row>
    <row r="23" spans="1:37">
      <c r="A23" s="188">
        <v>6</v>
      </c>
      <c r="C23" s="190" t="s">
        <v>41</v>
      </c>
      <c r="D23" s="190"/>
      <c r="E23" s="211">
        <f>'ADJ DETAIL INPUT'!E23</f>
        <v>839</v>
      </c>
      <c r="F23" s="211">
        <f>'ADJ DETAIL INPUT'!F23</f>
        <v>0</v>
      </c>
      <c r="G23" s="211">
        <f>'ADJ DETAIL INPUT'!G23</f>
        <v>0</v>
      </c>
      <c r="H23" s="211">
        <f>'ADJ DETAIL INPUT'!H23</f>
        <v>0</v>
      </c>
      <c r="I23" s="211">
        <f>'ADJ DETAIL INPUT'!I23</f>
        <v>0</v>
      </c>
      <c r="J23" s="211">
        <f>'ADJ DETAIL INPUT'!J23</f>
        <v>0</v>
      </c>
      <c r="K23" s="211">
        <f>'ADJ DETAIL INPUT'!K23</f>
        <v>0</v>
      </c>
      <c r="L23" s="211">
        <f>'ADJ DETAIL INPUT'!L23</f>
        <v>0</v>
      </c>
      <c r="M23" s="211">
        <f>'ADJ DETAIL INPUT'!M23</f>
        <v>0</v>
      </c>
      <c r="N23" s="211">
        <f>'ADJ DETAIL INPUT'!N23</f>
        <v>0</v>
      </c>
      <c r="O23" s="211">
        <f>'ADJ DETAIL INPUT'!O23</f>
        <v>0</v>
      </c>
      <c r="P23" s="211">
        <f>'ADJ DETAIL INPUT'!P23</f>
        <v>0</v>
      </c>
      <c r="Q23" s="211">
        <f>'ADJ DETAIL INPUT'!Q23</f>
        <v>0</v>
      </c>
      <c r="R23" s="211">
        <f>'ADJ DETAIL INPUT'!R23</f>
        <v>0</v>
      </c>
      <c r="S23" s="211">
        <f>'ADJ DETAIL INPUT'!S23</f>
        <v>0</v>
      </c>
      <c r="T23" s="211">
        <f>'ADJ DETAIL INPUT'!T23</f>
        <v>0</v>
      </c>
      <c r="U23" s="211">
        <f>'ADJ DETAIL INPUT'!U23</f>
        <v>0</v>
      </c>
      <c r="V23" s="211">
        <f>'ADJ DETAIL INPUT'!V23</f>
        <v>0</v>
      </c>
      <c r="W23" s="211">
        <f>'ADJ DETAIL INPUT'!Y23</f>
        <v>27</v>
      </c>
      <c r="X23" s="211">
        <f>'ADJ DETAIL INPUT'!Z23</f>
        <v>-23.038</v>
      </c>
      <c r="Y23" s="211">
        <f>'ADJ DETAIL INPUT'!AA23</f>
        <v>25</v>
      </c>
      <c r="Z23" s="211">
        <f>'ADJ DETAIL INPUT'!AB23</f>
        <v>0</v>
      </c>
      <c r="AA23" s="211">
        <f>'ADJ DETAIL INPUT'!AC23</f>
        <v>0</v>
      </c>
      <c r="AB23" s="211">
        <f>'ADJ DETAIL INPUT'!AD23</f>
        <v>0</v>
      </c>
      <c r="AC23" s="211">
        <f>'ADJ DETAIL INPUT'!AE23</f>
        <v>-1</v>
      </c>
      <c r="AD23" s="211">
        <f>'ADJ DETAIL INPUT'!AF23</f>
        <v>0</v>
      </c>
      <c r="AE23" s="211">
        <f>'ADJ DETAIL INPUT'!AH23</f>
        <v>0</v>
      </c>
      <c r="AF23" s="211">
        <f>'ADJ DETAIL INPUT'!AI23</f>
        <v>0</v>
      </c>
      <c r="AG23" s="211">
        <f>'ADJ DETAIL INPUT'!AJ23</f>
        <v>0</v>
      </c>
      <c r="AH23" s="211">
        <f>'ADJ DETAIL INPUT'!AK23</f>
        <v>0</v>
      </c>
      <c r="AI23" s="211">
        <f>'ADJ DETAIL INPUT'!AL23</f>
        <v>0</v>
      </c>
      <c r="AJ23" s="211">
        <f>'ADJ DETAIL INPUT'!AN23</f>
        <v>0</v>
      </c>
      <c r="AK23" s="564"/>
    </row>
    <row r="24" spans="1:37">
      <c r="A24" s="188">
        <v>7</v>
      </c>
      <c r="C24" s="190" t="s">
        <v>42</v>
      </c>
      <c r="D24" s="190"/>
      <c r="E24" s="212">
        <f>'ADJ DETAIL INPUT'!E24</f>
        <v>-5990</v>
      </c>
      <c r="F24" s="212">
        <f>'ADJ DETAIL INPUT'!F24</f>
        <v>0</v>
      </c>
      <c r="G24" s="212">
        <f>'ADJ DETAIL INPUT'!G24</f>
        <v>0</v>
      </c>
      <c r="H24" s="212">
        <f>'ADJ DETAIL INPUT'!H24</f>
        <v>0</v>
      </c>
      <c r="I24" s="212">
        <f>'ADJ DETAIL INPUT'!I24</f>
        <v>0</v>
      </c>
      <c r="J24" s="212">
        <f>'ADJ DETAIL INPUT'!J24</f>
        <v>0</v>
      </c>
      <c r="K24" s="212">
        <f>'ADJ DETAIL INPUT'!K24</f>
        <v>0</v>
      </c>
      <c r="L24" s="212">
        <f>'ADJ DETAIL INPUT'!L24</f>
        <v>0</v>
      </c>
      <c r="M24" s="212">
        <f>'ADJ DETAIL INPUT'!M24</f>
        <v>0</v>
      </c>
      <c r="N24" s="212">
        <f>'ADJ DETAIL INPUT'!N24</f>
        <v>0</v>
      </c>
      <c r="O24" s="212">
        <f>'ADJ DETAIL INPUT'!O24</f>
        <v>0</v>
      </c>
      <c r="P24" s="212">
        <f>'ADJ DETAIL INPUT'!P24</f>
        <v>0</v>
      </c>
      <c r="Q24" s="212">
        <f>'ADJ DETAIL INPUT'!Q24</f>
        <v>0</v>
      </c>
      <c r="R24" s="212">
        <f>'ADJ DETAIL INPUT'!R24</f>
        <v>0</v>
      </c>
      <c r="S24" s="212">
        <f>'ADJ DETAIL INPUT'!S24</f>
        <v>5990</v>
      </c>
      <c r="T24" s="212">
        <f>'ADJ DETAIL INPUT'!T24</f>
        <v>0</v>
      </c>
      <c r="U24" s="212">
        <f>'ADJ DETAIL INPUT'!U24</f>
        <v>0</v>
      </c>
      <c r="V24" s="212">
        <f>'ADJ DETAIL INPUT'!V24</f>
        <v>0</v>
      </c>
      <c r="W24" s="212">
        <f>'ADJ DETAIL INPUT'!Y24</f>
        <v>0</v>
      </c>
      <c r="X24" s="212">
        <f>'ADJ DETAIL INPUT'!Z24</f>
        <v>0</v>
      </c>
      <c r="Y24" s="212">
        <f>'ADJ DETAIL INPUT'!AA24</f>
        <v>0</v>
      </c>
      <c r="Z24" s="212">
        <f>'ADJ DETAIL INPUT'!AB24</f>
        <v>0</v>
      </c>
      <c r="AA24" s="212">
        <f>'ADJ DETAIL INPUT'!AC24</f>
        <v>0</v>
      </c>
      <c r="AB24" s="212">
        <f>'ADJ DETAIL INPUT'!AD24</f>
        <v>0</v>
      </c>
      <c r="AC24" s="212">
        <f>'ADJ DETAIL INPUT'!AE24</f>
        <v>0</v>
      </c>
      <c r="AD24" s="212">
        <f>'ADJ DETAIL INPUT'!AF24</f>
        <v>0</v>
      </c>
      <c r="AE24" s="212">
        <f>'ADJ DETAIL INPUT'!AH24</f>
        <v>0</v>
      </c>
      <c r="AF24" s="212">
        <f>'ADJ DETAIL INPUT'!AI24</f>
        <v>0</v>
      </c>
      <c r="AG24" s="212">
        <f>'ADJ DETAIL INPUT'!AJ24</f>
        <v>0</v>
      </c>
      <c r="AH24" s="212">
        <f>'ADJ DETAIL INPUT'!AK24</f>
        <v>0</v>
      </c>
      <c r="AI24" s="212">
        <f>'ADJ DETAIL INPUT'!AL24</f>
        <v>0</v>
      </c>
      <c r="AJ24" s="212">
        <f>'ADJ DETAIL INPUT'!AN24</f>
        <v>0</v>
      </c>
      <c r="AK24" s="564"/>
    </row>
    <row r="25" spans="1:37">
      <c r="A25" s="188">
        <v>8</v>
      </c>
      <c r="B25" s="190" t="s">
        <v>43</v>
      </c>
      <c r="C25" s="190"/>
      <c r="E25" s="213">
        <f>SUM(E22:E24)</f>
        <v>168111</v>
      </c>
      <c r="F25" s="213">
        <f t="shared" ref="F25:AJ25" si="6">SUM(F22:F24)</f>
        <v>0</v>
      </c>
      <c r="G25" s="213">
        <f t="shared" si="6"/>
        <v>0</v>
      </c>
      <c r="H25" s="213">
        <f t="shared" si="6"/>
        <v>0</v>
      </c>
      <c r="I25" s="213">
        <f t="shared" si="6"/>
        <v>0</v>
      </c>
      <c r="J25" s="213">
        <f t="shared" si="6"/>
        <v>0</v>
      </c>
      <c r="K25" s="213">
        <f t="shared" si="6"/>
        <v>0</v>
      </c>
      <c r="L25" s="213">
        <f t="shared" si="6"/>
        <v>0</v>
      </c>
      <c r="M25" s="213">
        <f t="shared" si="6"/>
        <v>0</v>
      </c>
      <c r="N25" s="213">
        <f t="shared" si="6"/>
        <v>0</v>
      </c>
      <c r="O25" s="213">
        <f t="shared" si="6"/>
        <v>0</v>
      </c>
      <c r="P25" s="213">
        <f t="shared" si="6"/>
        <v>0</v>
      </c>
      <c r="Q25" s="213">
        <f t="shared" si="6"/>
        <v>0</v>
      </c>
      <c r="R25" s="213">
        <f t="shared" si="6"/>
        <v>-1278</v>
      </c>
      <c r="S25" s="213">
        <f t="shared" ref="S25" si="7">SUM(S22:S24)</f>
        <v>-83521</v>
      </c>
      <c r="T25" s="213">
        <f t="shared" si="6"/>
        <v>0</v>
      </c>
      <c r="U25" s="213">
        <f t="shared" si="6"/>
        <v>0</v>
      </c>
      <c r="V25" s="213">
        <f t="shared" si="6"/>
        <v>0</v>
      </c>
      <c r="W25" s="213">
        <f t="shared" si="6"/>
        <v>27</v>
      </c>
      <c r="X25" s="213">
        <f t="shared" ref="X25" si="8">SUM(X22:X24)</f>
        <v>-23.038</v>
      </c>
      <c r="Y25" s="213">
        <f t="shared" si="6"/>
        <v>25</v>
      </c>
      <c r="Z25" s="213">
        <f t="shared" si="6"/>
        <v>0</v>
      </c>
      <c r="AA25" s="213">
        <f t="shared" si="6"/>
        <v>0</v>
      </c>
      <c r="AB25" s="213">
        <f t="shared" si="6"/>
        <v>0</v>
      </c>
      <c r="AC25" s="213">
        <f t="shared" ref="AC25" si="9">SUM(AC22:AC24)</f>
        <v>5393</v>
      </c>
      <c r="AD25" s="213">
        <f t="shared" si="6"/>
        <v>0</v>
      </c>
      <c r="AE25" s="213">
        <f t="shared" ref="AE25:AH25" si="10">SUM(AE22:AE24)</f>
        <v>0</v>
      </c>
      <c r="AF25" s="213">
        <f t="shared" si="10"/>
        <v>0</v>
      </c>
      <c r="AG25" s="213">
        <f>SUM(AG22:AG24)</f>
        <v>0</v>
      </c>
      <c r="AH25" s="213">
        <f t="shared" si="10"/>
        <v>0</v>
      </c>
      <c r="AI25" s="213">
        <f t="shared" ref="AI25" si="11">SUM(AI22:AI24)</f>
        <v>0</v>
      </c>
      <c r="AJ25" s="213">
        <f t="shared" si="6"/>
        <v>0</v>
      </c>
      <c r="AK25" s="564"/>
    </row>
    <row r="26" spans="1:37">
      <c r="B26" s="190"/>
      <c r="C26" s="190"/>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564"/>
    </row>
    <row r="27" spans="1:37">
      <c r="B27" s="190" t="s">
        <v>44</v>
      </c>
      <c r="D27" s="190"/>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564"/>
    </row>
    <row r="28" spans="1:37">
      <c r="A28" s="188">
        <v>9</v>
      </c>
      <c r="C28" s="190" t="s">
        <v>45</v>
      </c>
      <c r="D28" s="190"/>
      <c r="E28" s="211">
        <f>'ADJ DETAIL INPUT'!E28</f>
        <v>858</v>
      </c>
      <c r="F28" s="211">
        <f>'ADJ DETAIL INPUT'!F28</f>
        <v>0</v>
      </c>
      <c r="G28" s="211">
        <f>'ADJ DETAIL INPUT'!G28</f>
        <v>0</v>
      </c>
      <c r="H28" s="211">
        <f>'ADJ DETAIL INPUT'!H28</f>
        <v>0</v>
      </c>
      <c r="I28" s="211">
        <f>'ADJ DETAIL INPUT'!I28</f>
        <v>0</v>
      </c>
      <c r="J28" s="211">
        <f>'ADJ DETAIL INPUT'!J28</f>
        <v>0</v>
      </c>
      <c r="K28" s="211">
        <f>'ADJ DETAIL INPUT'!K28</f>
        <v>0</v>
      </c>
      <c r="L28" s="211">
        <f>'ADJ DETAIL INPUT'!L28</f>
        <v>0</v>
      </c>
      <c r="M28" s="211">
        <f>'ADJ DETAIL INPUT'!M28</f>
        <v>0</v>
      </c>
      <c r="N28" s="211">
        <f>'ADJ DETAIL INPUT'!N28</f>
        <v>0</v>
      </c>
      <c r="O28" s="211">
        <f>'ADJ DETAIL INPUT'!O28</f>
        <v>0</v>
      </c>
      <c r="P28" s="211">
        <f>'ADJ DETAIL INPUT'!P28</f>
        <v>0</v>
      </c>
      <c r="Q28" s="211">
        <f>'ADJ DETAIL INPUT'!Q28</f>
        <v>0</v>
      </c>
      <c r="R28" s="211">
        <f>'ADJ DETAIL INPUT'!R28</f>
        <v>0</v>
      </c>
      <c r="S28" s="211">
        <f>'ADJ DETAIL INPUT'!S28</f>
        <v>0</v>
      </c>
      <c r="T28" s="211">
        <f>'ADJ DETAIL INPUT'!T28</f>
        <v>0</v>
      </c>
      <c r="U28" s="211">
        <f>'ADJ DETAIL INPUT'!U28</f>
        <v>0</v>
      </c>
      <c r="V28" s="211">
        <f>'ADJ DETAIL INPUT'!V28</f>
        <v>0</v>
      </c>
      <c r="W28" s="211">
        <f>'ADJ DETAIL INPUT'!Y28</f>
        <v>0.40500000000000003</v>
      </c>
      <c r="X28" s="211">
        <f>'ADJ DETAIL INPUT'!Z28</f>
        <v>0</v>
      </c>
      <c r="Y28" s="211">
        <f>'ADJ DETAIL INPUT'!AA28</f>
        <v>-0.20699999999999999</v>
      </c>
      <c r="Z28" s="211">
        <f>'ADJ DETAIL INPUT'!AB28</f>
        <v>0</v>
      </c>
      <c r="AA28" s="211">
        <f>'ADJ DETAIL INPUT'!AC28</f>
        <v>0</v>
      </c>
      <c r="AB28" s="211">
        <f>'ADJ DETAIL INPUT'!AD28</f>
        <v>0</v>
      </c>
      <c r="AC28" s="211">
        <f>'ADJ DETAIL INPUT'!AE28</f>
        <v>0</v>
      </c>
      <c r="AD28" s="211">
        <f>'ADJ DETAIL INPUT'!AF28</f>
        <v>0</v>
      </c>
      <c r="AE28" s="211">
        <f>'ADJ DETAIL INPUT'!AH28</f>
        <v>0</v>
      </c>
      <c r="AF28" s="211">
        <f>'ADJ DETAIL INPUT'!AI28</f>
        <v>0</v>
      </c>
      <c r="AG28" s="211">
        <f>'ADJ DETAIL INPUT'!AJ28</f>
        <v>0</v>
      </c>
      <c r="AH28" s="211">
        <f>'ADJ DETAIL INPUT'!AK28</f>
        <v>0</v>
      </c>
      <c r="AI28" s="211">
        <f>'ADJ DETAIL INPUT'!AL28</f>
        <v>0</v>
      </c>
      <c r="AJ28" s="211">
        <f>'ADJ DETAIL INPUT'!AN28</f>
        <v>0</v>
      </c>
      <c r="AK28" s="564"/>
    </row>
    <row r="29" spans="1:37">
      <c r="A29" s="188">
        <v>10</v>
      </c>
      <c r="C29" s="190" t="s">
        <v>216</v>
      </c>
      <c r="D29" s="190"/>
      <c r="E29" s="211">
        <f>'ADJ DETAIL INPUT'!E29</f>
        <v>392</v>
      </c>
      <c r="F29" s="211">
        <f>'ADJ DETAIL INPUT'!F29</f>
        <v>0</v>
      </c>
      <c r="G29" s="211">
        <f>'ADJ DETAIL INPUT'!G29</f>
        <v>0</v>
      </c>
      <c r="H29" s="211">
        <f>'ADJ DETAIL INPUT'!H29</f>
        <v>0</v>
      </c>
      <c r="I29" s="211">
        <f>'ADJ DETAIL INPUT'!I29</f>
        <v>0</v>
      </c>
      <c r="J29" s="211">
        <f>'ADJ DETAIL INPUT'!J29</f>
        <v>0</v>
      </c>
      <c r="K29" s="211">
        <f>'ADJ DETAIL INPUT'!K29</f>
        <v>0</v>
      </c>
      <c r="L29" s="211">
        <f>'ADJ DETAIL INPUT'!L29</f>
        <v>0</v>
      </c>
      <c r="M29" s="211">
        <f>'ADJ DETAIL INPUT'!M29</f>
        <v>0</v>
      </c>
      <c r="N29" s="211">
        <f>'ADJ DETAIL INPUT'!N29</f>
        <v>0</v>
      </c>
      <c r="O29" s="211">
        <f>'ADJ DETAIL INPUT'!O29</f>
        <v>0</v>
      </c>
      <c r="P29" s="211">
        <f>'ADJ DETAIL INPUT'!P29</f>
        <v>0</v>
      </c>
      <c r="Q29" s="211">
        <f>'ADJ DETAIL INPUT'!Q29</f>
        <v>0</v>
      </c>
      <c r="R29" s="211">
        <f>'ADJ DETAIL INPUT'!R29</f>
        <v>0</v>
      </c>
      <c r="S29" s="211">
        <f>'ADJ DETAIL INPUT'!S29</f>
        <v>0</v>
      </c>
      <c r="T29" s="211">
        <f>'ADJ DETAIL INPUT'!T29</f>
        <v>0</v>
      </c>
      <c r="U29" s="211">
        <f>'ADJ DETAIL INPUT'!U29</f>
        <v>0</v>
      </c>
      <c r="V29" s="211">
        <f>'ADJ DETAIL INPUT'!V29</f>
        <v>0</v>
      </c>
      <c r="W29" s="211">
        <f>'ADJ DETAIL INPUT'!Y29</f>
        <v>0</v>
      </c>
      <c r="X29" s="211">
        <f>'ADJ DETAIL INPUT'!Z29</f>
        <v>0</v>
      </c>
      <c r="Y29" s="211">
        <f>'ADJ DETAIL INPUT'!AA29</f>
        <v>0</v>
      </c>
      <c r="Z29" s="211">
        <f>'ADJ DETAIL INPUT'!AB29</f>
        <v>0</v>
      </c>
      <c r="AA29" s="211">
        <f>'ADJ DETAIL INPUT'!AC29</f>
        <v>0</v>
      </c>
      <c r="AB29" s="211">
        <f>'ADJ DETAIL INPUT'!AD29</f>
        <v>0</v>
      </c>
      <c r="AC29" s="211">
        <f>'ADJ DETAIL INPUT'!AE29</f>
        <v>0</v>
      </c>
      <c r="AD29" s="211">
        <f>'ADJ DETAIL INPUT'!AF29</f>
        <v>14</v>
      </c>
      <c r="AE29" s="211">
        <f>'ADJ DETAIL INPUT'!AH29</f>
        <v>12</v>
      </c>
      <c r="AF29" s="211">
        <f>'ADJ DETAIL INPUT'!AI29</f>
        <v>5</v>
      </c>
      <c r="AG29" s="211">
        <f>'ADJ DETAIL INPUT'!AJ29</f>
        <v>0</v>
      </c>
      <c r="AH29" s="211">
        <f>'ADJ DETAIL INPUT'!AK29</f>
        <v>0</v>
      </c>
      <c r="AI29" s="211">
        <f>'ADJ DETAIL INPUT'!AL29</f>
        <v>0</v>
      </c>
      <c r="AJ29" s="211">
        <f>'ADJ DETAIL INPUT'!AN29</f>
        <v>0</v>
      </c>
      <c r="AK29" s="564"/>
    </row>
    <row r="30" spans="1:37">
      <c r="A30" s="188">
        <v>11</v>
      </c>
      <c r="C30" s="190" t="s">
        <v>22</v>
      </c>
      <c r="D30" s="190"/>
      <c r="E30" s="212">
        <f>'ADJ DETAIL INPUT'!E30</f>
        <v>216</v>
      </c>
      <c r="F30" s="212">
        <f>'ADJ DETAIL INPUT'!F30</f>
        <v>0</v>
      </c>
      <c r="G30" s="212">
        <f>'ADJ DETAIL INPUT'!G30</f>
        <v>0</v>
      </c>
      <c r="H30" s="212">
        <f>'ADJ DETAIL INPUT'!H30</f>
        <v>0</v>
      </c>
      <c r="I30" s="212">
        <f>'ADJ DETAIL INPUT'!I30</f>
        <v>0</v>
      </c>
      <c r="J30" s="212">
        <f>'ADJ DETAIL INPUT'!J30</f>
        <v>7</v>
      </c>
      <c r="K30" s="212">
        <f>'ADJ DETAIL INPUT'!K30</f>
        <v>0</v>
      </c>
      <c r="L30" s="212">
        <f>'ADJ DETAIL INPUT'!L30</f>
        <v>0</v>
      </c>
      <c r="M30" s="212">
        <f>'ADJ DETAIL INPUT'!M30</f>
        <v>0</v>
      </c>
      <c r="N30" s="212">
        <f>'ADJ DETAIL INPUT'!N30</f>
        <v>0</v>
      </c>
      <c r="O30" s="212">
        <f>'ADJ DETAIL INPUT'!O30</f>
        <v>0</v>
      </c>
      <c r="P30" s="212">
        <f>'ADJ DETAIL INPUT'!P30</f>
        <v>0</v>
      </c>
      <c r="Q30" s="212">
        <f>'ADJ DETAIL INPUT'!Q30</f>
        <v>0</v>
      </c>
      <c r="R30" s="212">
        <f>'ADJ DETAIL INPUT'!R30</f>
        <v>0</v>
      </c>
      <c r="S30" s="212">
        <f>'ADJ DETAIL INPUT'!S30</f>
        <v>0</v>
      </c>
      <c r="T30" s="212">
        <f>'ADJ DETAIL INPUT'!T30</f>
        <v>0</v>
      </c>
      <c r="U30" s="212">
        <f>'ADJ DETAIL INPUT'!U30</f>
        <v>0</v>
      </c>
      <c r="V30" s="212">
        <f>'ADJ DETAIL INPUT'!V30</f>
        <v>0</v>
      </c>
      <c r="W30" s="212">
        <f>'ADJ DETAIL INPUT'!Y30</f>
        <v>0</v>
      </c>
      <c r="X30" s="212">
        <f>'ADJ DETAIL INPUT'!Z30</f>
        <v>0</v>
      </c>
      <c r="Y30" s="212">
        <f>'ADJ DETAIL INPUT'!AA30</f>
        <v>0</v>
      </c>
      <c r="Z30" s="212">
        <f>'ADJ DETAIL INPUT'!AB30</f>
        <v>0</v>
      </c>
      <c r="AA30" s="212">
        <f>'ADJ DETAIL INPUT'!AC30</f>
        <v>46</v>
      </c>
      <c r="AB30" s="212">
        <f>'ADJ DETAIL INPUT'!AD30</f>
        <v>0</v>
      </c>
      <c r="AC30" s="212">
        <f>'ADJ DETAIL INPUT'!AE30</f>
        <v>0</v>
      </c>
      <c r="AD30" s="212">
        <f>'ADJ DETAIL INPUT'!AF30</f>
        <v>0</v>
      </c>
      <c r="AE30" s="212">
        <f>'ADJ DETAIL INPUT'!AH30</f>
        <v>0</v>
      </c>
      <c r="AF30" s="212">
        <f>'ADJ DETAIL INPUT'!AI30</f>
        <v>0</v>
      </c>
      <c r="AG30" s="212">
        <f>'ADJ DETAIL INPUT'!AJ30</f>
        <v>0</v>
      </c>
      <c r="AH30" s="212">
        <f>'ADJ DETAIL INPUT'!AK30</f>
        <v>0</v>
      </c>
      <c r="AI30" s="212">
        <f>'ADJ DETAIL INPUT'!AL30</f>
        <v>0</v>
      </c>
      <c r="AJ30" s="212">
        <f>'ADJ DETAIL INPUT'!AN30</f>
        <v>0</v>
      </c>
      <c r="AK30" s="564"/>
    </row>
    <row r="31" spans="1:37">
      <c r="A31" s="188">
        <v>12</v>
      </c>
      <c r="B31" s="190" t="s">
        <v>47</v>
      </c>
      <c r="C31" s="190"/>
      <c r="E31" s="211">
        <f t="shared" ref="E31" si="12">SUM(E28:E30)</f>
        <v>1466</v>
      </c>
      <c r="F31" s="211">
        <f t="shared" ref="F31:AJ31" si="13">SUM(F28:F30)</f>
        <v>0</v>
      </c>
      <c r="G31" s="211">
        <f t="shared" si="13"/>
        <v>0</v>
      </c>
      <c r="H31" s="211">
        <f t="shared" si="13"/>
        <v>0</v>
      </c>
      <c r="I31" s="211">
        <f t="shared" si="13"/>
        <v>0</v>
      </c>
      <c r="J31" s="211">
        <f t="shared" si="13"/>
        <v>7</v>
      </c>
      <c r="K31" s="211">
        <f t="shared" si="13"/>
        <v>0</v>
      </c>
      <c r="L31" s="211">
        <f t="shared" si="13"/>
        <v>0</v>
      </c>
      <c r="M31" s="211">
        <f t="shared" si="13"/>
        <v>0</v>
      </c>
      <c r="N31" s="211">
        <f t="shared" si="13"/>
        <v>0</v>
      </c>
      <c r="O31" s="211">
        <f t="shared" si="13"/>
        <v>0</v>
      </c>
      <c r="P31" s="211">
        <f t="shared" si="13"/>
        <v>0</v>
      </c>
      <c r="Q31" s="211">
        <f t="shared" si="13"/>
        <v>0</v>
      </c>
      <c r="R31" s="211">
        <f t="shared" si="13"/>
        <v>0</v>
      </c>
      <c r="S31" s="211">
        <f t="shared" ref="S31" si="14">SUM(S28:S30)</f>
        <v>0</v>
      </c>
      <c r="T31" s="211">
        <f t="shared" si="13"/>
        <v>0</v>
      </c>
      <c r="U31" s="211">
        <f t="shared" si="13"/>
        <v>0</v>
      </c>
      <c r="V31" s="211">
        <f t="shared" si="13"/>
        <v>0</v>
      </c>
      <c r="W31" s="211">
        <f t="shared" si="13"/>
        <v>0.40500000000000003</v>
      </c>
      <c r="X31" s="211">
        <f t="shared" ref="X31" si="15">SUM(X28:X30)</f>
        <v>0</v>
      </c>
      <c r="Y31" s="211">
        <f t="shared" si="13"/>
        <v>-0.20699999999999999</v>
      </c>
      <c r="Z31" s="211">
        <f t="shared" si="13"/>
        <v>0</v>
      </c>
      <c r="AA31" s="211">
        <f t="shared" si="13"/>
        <v>46</v>
      </c>
      <c r="AB31" s="211">
        <f t="shared" si="13"/>
        <v>0</v>
      </c>
      <c r="AC31" s="211">
        <f t="shared" ref="AC31" si="16">SUM(AC28:AC30)</f>
        <v>0</v>
      </c>
      <c r="AD31" s="211">
        <f t="shared" si="13"/>
        <v>14</v>
      </c>
      <c r="AE31" s="211">
        <f t="shared" ref="AE31:AH31" si="17">SUM(AE28:AE30)</f>
        <v>12</v>
      </c>
      <c r="AF31" s="211">
        <f t="shared" si="17"/>
        <v>5</v>
      </c>
      <c r="AG31" s="211">
        <f>SUM(AG28:AG30)</f>
        <v>0</v>
      </c>
      <c r="AH31" s="211">
        <f t="shared" si="17"/>
        <v>0</v>
      </c>
      <c r="AI31" s="211">
        <f t="shared" ref="AI31" si="18">SUM(AI28:AI30)</f>
        <v>0</v>
      </c>
      <c r="AJ31" s="211">
        <f t="shared" si="13"/>
        <v>0</v>
      </c>
      <c r="AK31" s="564"/>
    </row>
    <row r="32" spans="1:37">
      <c r="B32" s="190"/>
      <c r="C32" s="190"/>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564"/>
    </row>
    <row r="33" spans="1:37">
      <c r="B33" s="190" t="s">
        <v>48</v>
      </c>
      <c r="D33" s="190"/>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564"/>
    </row>
    <row r="34" spans="1:37">
      <c r="A34" s="188">
        <v>13</v>
      </c>
      <c r="C34" s="190" t="s">
        <v>45</v>
      </c>
      <c r="D34" s="190"/>
      <c r="E34" s="211">
        <f>'ADJ DETAIL INPUT'!E34</f>
        <v>10666</v>
      </c>
      <c r="F34" s="211">
        <f>'ADJ DETAIL INPUT'!F34</f>
        <v>0</v>
      </c>
      <c r="G34" s="211">
        <f>'ADJ DETAIL INPUT'!G34</f>
        <v>0</v>
      </c>
      <c r="H34" s="211">
        <f>'ADJ DETAIL INPUT'!H34</f>
        <v>0</v>
      </c>
      <c r="I34" s="211">
        <f>'ADJ DETAIL INPUT'!I34</f>
        <v>0</v>
      </c>
      <c r="J34" s="211">
        <f>'ADJ DETAIL INPUT'!J34</f>
        <v>0</v>
      </c>
      <c r="K34" s="211">
        <f>'ADJ DETAIL INPUT'!K34</f>
        <v>0</v>
      </c>
      <c r="L34" s="211">
        <f>'ADJ DETAIL INPUT'!L34</f>
        <v>0</v>
      </c>
      <c r="M34" s="211">
        <f>'ADJ DETAIL INPUT'!M34</f>
        <v>0</v>
      </c>
      <c r="N34" s="211">
        <f>'ADJ DETAIL INPUT'!N34</f>
        <v>0</v>
      </c>
      <c r="O34" s="211">
        <f>'ADJ DETAIL INPUT'!O34</f>
        <v>0</v>
      </c>
      <c r="P34" s="211">
        <f>'ADJ DETAIL INPUT'!P34</f>
        <v>0</v>
      </c>
      <c r="Q34" s="211">
        <f>'ADJ DETAIL INPUT'!Q34</f>
        <v>0</v>
      </c>
      <c r="R34" s="211">
        <f>'ADJ DETAIL INPUT'!R34</f>
        <v>0</v>
      </c>
      <c r="S34" s="211">
        <f>'ADJ DETAIL INPUT'!S34</f>
        <v>0</v>
      </c>
      <c r="T34" s="211">
        <f>'ADJ DETAIL INPUT'!T34</f>
        <v>0</v>
      </c>
      <c r="U34" s="211">
        <f>'ADJ DETAIL INPUT'!U34</f>
        <v>0</v>
      </c>
      <c r="V34" s="211">
        <f>'ADJ DETAIL INPUT'!V34</f>
        <v>0</v>
      </c>
      <c r="W34" s="211">
        <f>'ADJ DETAIL INPUT'!Y34</f>
        <v>343</v>
      </c>
      <c r="X34" s="211">
        <f>'ADJ DETAIL INPUT'!Z34</f>
        <v>0</v>
      </c>
      <c r="Y34" s="211">
        <f>'ADJ DETAIL INPUT'!AA34</f>
        <v>318</v>
      </c>
      <c r="Z34" s="211">
        <f>'ADJ DETAIL INPUT'!AB34</f>
        <v>0</v>
      </c>
      <c r="AA34" s="211">
        <f>'ADJ DETAIL INPUT'!AC34</f>
        <v>0</v>
      </c>
      <c r="AB34" s="211">
        <f>'ADJ DETAIL INPUT'!AD34</f>
        <v>0</v>
      </c>
      <c r="AC34" s="211">
        <f>'ADJ DETAIL INPUT'!AE34</f>
        <v>0</v>
      </c>
      <c r="AD34" s="211">
        <f>'ADJ DETAIL INPUT'!AF34</f>
        <v>0</v>
      </c>
      <c r="AE34" s="211">
        <f>'ADJ DETAIL INPUT'!AH34</f>
        <v>0</v>
      </c>
      <c r="AF34" s="211">
        <f>'ADJ DETAIL INPUT'!AI34</f>
        <v>0</v>
      </c>
      <c r="AG34" s="211">
        <f>'ADJ DETAIL INPUT'!AJ34</f>
        <v>0</v>
      </c>
      <c r="AH34" s="211">
        <f>'ADJ DETAIL INPUT'!AK34</f>
        <v>-42</v>
      </c>
      <c r="AI34" s="211">
        <f>'ADJ DETAIL INPUT'!AL34</f>
        <v>707</v>
      </c>
      <c r="AJ34" s="211">
        <f>'ADJ DETAIL INPUT'!AN34</f>
        <v>0</v>
      </c>
      <c r="AK34" s="564"/>
    </row>
    <row r="35" spans="1:37">
      <c r="A35" s="188">
        <v>14</v>
      </c>
      <c r="C35" s="190" t="s">
        <v>216</v>
      </c>
      <c r="D35" s="190"/>
      <c r="E35" s="213">
        <f>'ADJ DETAIL INPUT'!E35</f>
        <v>8386</v>
      </c>
      <c r="F35" s="213">
        <f>'ADJ DETAIL INPUT'!F35</f>
        <v>0</v>
      </c>
      <c r="G35" s="213">
        <f>'ADJ DETAIL INPUT'!G35</f>
        <v>0</v>
      </c>
      <c r="H35" s="213">
        <f>'ADJ DETAIL INPUT'!H35</f>
        <v>0</v>
      </c>
      <c r="I35" s="213">
        <f>'ADJ DETAIL INPUT'!I35</f>
        <v>0</v>
      </c>
      <c r="J35" s="213">
        <f>'ADJ DETAIL INPUT'!J35</f>
        <v>0</v>
      </c>
      <c r="K35" s="213">
        <f>'ADJ DETAIL INPUT'!K35</f>
        <v>0</v>
      </c>
      <c r="L35" s="213">
        <f>'ADJ DETAIL INPUT'!L35</f>
        <v>0</v>
      </c>
      <c r="M35" s="213">
        <f>'ADJ DETAIL INPUT'!M35</f>
        <v>0</v>
      </c>
      <c r="N35" s="213">
        <f>'ADJ DETAIL INPUT'!N35</f>
        <v>0</v>
      </c>
      <c r="O35" s="213">
        <f>'ADJ DETAIL INPUT'!O35</f>
        <v>0</v>
      </c>
      <c r="P35" s="213">
        <f>'ADJ DETAIL INPUT'!P35</f>
        <v>0</v>
      </c>
      <c r="Q35" s="213">
        <f>'ADJ DETAIL INPUT'!Q35</f>
        <v>-5</v>
      </c>
      <c r="R35" s="213">
        <f>'ADJ DETAIL INPUT'!R35</f>
        <v>0</v>
      </c>
      <c r="S35" s="213">
        <f>'ADJ DETAIL INPUT'!S35</f>
        <v>0</v>
      </c>
      <c r="T35" s="213">
        <f>'ADJ DETAIL INPUT'!T35</f>
        <v>0</v>
      </c>
      <c r="U35" s="213">
        <f>'ADJ DETAIL INPUT'!U35</f>
        <v>0</v>
      </c>
      <c r="V35" s="213">
        <f>'ADJ DETAIL INPUT'!V35</f>
        <v>0</v>
      </c>
      <c r="W35" s="213">
        <f>'ADJ DETAIL INPUT'!Y35</f>
        <v>0</v>
      </c>
      <c r="X35" s="213">
        <f>'ADJ DETAIL INPUT'!Z35</f>
        <v>0</v>
      </c>
      <c r="Y35" s="213">
        <f>'ADJ DETAIL INPUT'!AA35</f>
        <v>0</v>
      </c>
      <c r="Z35" s="213">
        <f>'ADJ DETAIL INPUT'!AB35</f>
        <v>0</v>
      </c>
      <c r="AA35" s="213">
        <f>'ADJ DETAIL INPUT'!AC35</f>
        <v>0</v>
      </c>
      <c r="AB35" s="213">
        <f>'ADJ DETAIL INPUT'!AD35</f>
        <v>0</v>
      </c>
      <c r="AC35" s="213">
        <f>'ADJ DETAIL INPUT'!AE35</f>
        <v>0</v>
      </c>
      <c r="AD35" s="213">
        <f>'ADJ DETAIL INPUT'!AF35</f>
        <v>399</v>
      </c>
      <c r="AE35" s="213">
        <f>'ADJ DETAIL INPUT'!AH35</f>
        <v>461</v>
      </c>
      <c r="AF35" s="213">
        <f>'ADJ DETAIL INPUT'!AI35</f>
        <v>333</v>
      </c>
      <c r="AG35" s="213">
        <f>'ADJ DETAIL INPUT'!AJ35</f>
        <v>0</v>
      </c>
      <c r="AH35" s="213">
        <f>'ADJ DETAIL INPUT'!AK35</f>
        <v>0</v>
      </c>
      <c r="AI35" s="213">
        <f>'ADJ DETAIL INPUT'!AL35</f>
        <v>0</v>
      </c>
      <c r="AJ35" s="213">
        <f>'ADJ DETAIL INPUT'!AN35</f>
        <v>0</v>
      </c>
      <c r="AK35" s="564"/>
    </row>
    <row r="36" spans="1:37">
      <c r="A36" s="188">
        <v>15</v>
      </c>
      <c r="C36" s="190" t="s">
        <v>22</v>
      </c>
      <c r="D36" s="190"/>
      <c r="E36" s="212">
        <f>'ADJ DETAIL INPUT'!E36</f>
        <v>14954</v>
      </c>
      <c r="F36" s="212">
        <f>'ADJ DETAIL INPUT'!F36</f>
        <v>0</v>
      </c>
      <c r="G36" s="212">
        <f>'ADJ DETAIL INPUT'!G36</f>
        <v>0</v>
      </c>
      <c r="H36" s="212">
        <f>'ADJ DETAIL INPUT'!H36</f>
        <v>0</v>
      </c>
      <c r="I36" s="212">
        <f>'ADJ DETAIL INPUT'!I36</f>
        <v>-6183</v>
      </c>
      <c r="J36" s="212">
        <f>'ADJ DETAIL INPUT'!J36</f>
        <v>73</v>
      </c>
      <c r="K36" s="212">
        <f>'ADJ DETAIL INPUT'!K36</f>
        <v>0</v>
      </c>
      <c r="L36" s="212">
        <f>'ADJ DETAIL INPUT'!L36</f>
        <v>0</v>
      </c>
      <c r="M36" s="212">
        <f>'ADJ DETAIL INPUT'!M36</f>
        <v>0</v>
      </c>
      <c r="N36" s="212">
        <f>'ADJ DETAIL INPUT'!N36</f>
        <v>0</v>
      </c>
      <c r="O36" s="212">
        <f>'ADJ DETAIL INPUT'!O36</f>
        <v>0</v>
      </c>
      <c r="P36" s="212">
        <f>'ADJ DETAIL INPUT'!P36</f>
        <v>328</v>
      </c>
      <c r="Q36" s="212">
        <f>'ADJ DETAIL INPUT'!Q36</f>
        <v>0</v>
      </c>
      <c r="R36" s="212">
        <f>'ADJ DETAIL INPUT'!R36</f>
        <v>-82</v>
      </c>
      <c r="S36" s="212">
        <f>'ADJ DETAIL INPUT'!S36</f>
        <v>-232</v>
      </c>
      <c r="T36" s="212">
        <f>'ADJ DETAIL INPUT'!T36</f>
        <v>0</v>
      </c>
      <c r="U36" s="212">
        <f>'ADJ DETAIL INPUT'!U36</f>
        <v>0</v>
      </c>
      <c r="V36" s="212">
        <f>'ADJ DETAIL INPUT'!V36</f>
        <v>0</v>
      </c>
      <c r="W36" s="212">
        <f>'ADJ DETAIL INPUT'!Y36</f>
        <v>0</v>
      </c>
      <c r="X36" s="212">
        <f>'ADJ DETAIL INPUT'!Z36</f>
        <v>0</v>
      </c>
      <c r="Y36" s="212">
        <f>'ADJ DETAIL INPUT'!AA36</f>
        <v>0</v>
      </c>
      <c r="Z36" s="212">
        <f>'ADJ DETAIL INPUT'!AB36</f>
        <v>0</v>
      </c>
      <c r="AA36" s="212">
        <f>'ADJ DETAIL INPUT'!AC36</f>
        <v>461</v>
      </c>
      <c r="AB36" s="212">
        <f>'ADJ DETAIL INPUT'!AD36</f>
        <v>0</v>
      </c>
      <c r="AC36" s="212">
        <f>'ADJ DETAIL INPUT'!AE36</f>
        <v>558</v>
      </c>
      <c r="AD36" s="212">
        <f>'ADJ DETAIL INPUT'!AF36</f>
        <v>0</v>
      </c>
      <c r="AE36" s="212">
        <f>'ADJ DETAIL INPUT'!AH36</f>
        <v>0</v>
      </c>
      <c r="AF36" s="212">
        <f>'ADJ DETAIL INPUT'!AI36</f>
        <v>0</v>
      </c>
      <c r="AG36" s="212">
        <f>'ADJ DETAIL INPUT'!AJ36</f>
        <v>0</v>
      </c>
      <c r="AH36" s="212">
        <f>'ADJ DETAIL INPUT'!AK36</f>
        <v>0</v>
      </c>
      <c r="AI36" s="212">
        <f>'ADJ DETAIL INPUT'!AL36</f>
        <v>0</v>
      </c>
      <c r="AJ36" s="212">
        <f>'ADJ DETAIL INPUT'!AN36</f>
        <v>0</v>
      </c>
      <c r="AK36" s="564"/>
    </row>
    <row r="37" spans="1:37" ht="12.95" customHeight="1">
      <c r="A37" s="188">
        <v>16</v>
      </c>
      <c r="B37" s="190" t="s">
        <v>49</v>
      </c>
      <c r="C37" s="190"/>
      <c r="E37" s="211">
        <f t="shared" ref="E37" si="19">SUM(E34:E36)</f>
        <v>34006</v>
      </c>
      <c r="F37" s="211">
        <f t="shared" ref="F37:AJ37" si="20">SUM(F34:F36)</f>
        <v>0</v>
      </c>
      <c r="G37" s="211">
        <f t="shared" si="20"/>
        <v>0</v>
      </c>
      <c r="H37" s="211">
        <f t="shared" si="20"/>
        <v>0</v>
      </c>
      <c r="I37" s="211">
        <f t="shared" si="20"/>
        <v>-6183</v>
      </c>
      <c r="J37" s="211">
        <f t="shared" si="20"/>
        <v>73</v>
      </c>
      <c r="K37" s="211">
        <f t="shared" si="20"/>
        <v>0</v>
      </c>
      <c r="L37" s="211">
        <f t="shared" si="20"/>
        <v>0</v>
      </c>
      <c r="M37" s="211">
        <f t="shared" si="20"/>
        <v>0</v>
      </c>
      <c r="N37" s="211">
        <f t="shared" si="20"/>
        <v>0</v>
      </c>
      <c r="O37" s="211">
        <f t="shared" si="20"/>
        <v>0</v>
      </c>
      <c r="P37" s="211">
        <f t="shared" si="20"/>
        <v>328</v>
      </c>
      <c r="Q37" s="211">
        <f t="shared" si="20"/>
        <v>-5</v>
      </c>
      <c r="R37" s="211">
        <f t="shared" si="20"/>
        <v>-82</v>
      </c>
      <c r="S37" s="211">
        <f t="shared" ref="S37" si="21">SUM(S34:S36)</f>
        <v>-232</v>
      </c>
      <c r="T37" s="211">
        <f t="shared" si="20"/>
        <v>0</v>
      </c>
      <c r="U37" s="211">
        <f t="shared" si="20"/>
        <v>0</v>
      </c>
      <c r="V37" s="211">
        <f t="shared" si="20"/>
        <v>0</v>
      </c>
      <c r="W37" s="211">
        <f t="shared" si="20"/>
        <v>343</v>
      </c>
      <c r="X37" s="211">
        <f t="shared" ref="X37" si="22">SUM(X34:X36)</f>
        <v>0</v>
      </c>
      <c r="Y37" s="211">
        <f t="shared" si="20"/>
        <v>318</v>
      </c>
      <c r="Z37" s="211">
        <f t="shared" si="20"/>
        <v>0</v>
      </c>
      <c r="AA37" s="211">
        <f t="shared" si="20"/>
        <v>461</v>
      </c>
      <c r="AB37" s="211">
        <f t="shared" si="20"/>
        <v>0</v>
      </c>
      <c r="AC37" s="211">
        <f t="shared" ref="AC37" si="23">SUM(AC34:AC36)</f>
        <v>558</v>
      </c>
      <c r="AD37" s="211">
        <f t="shared" si="20"/>
        <v>399</v>
      </c>
      <c r="AE37" s="211">
        <f t="shared" ref="AE37:AH37" si="24">SUM(AE34:AE36)</f>
        <v>461</v>
      </c>
      <c r="AF37" s="211">
        <f t="shared" si="24"/>
        <v>333</v>
      </c>
      <c r="AG37" s="211">
        <f>SUM(AG34:AG36)</f>
        <v>0</v>
      </c>
      <c r="AH37" s="211">
        <f t="shared" si="24"/>
        <v>-42</v>
      </c>
      <c r="AI37" s="211">
        <f t="shared" ref="AI37" si="25">SUM(AI34:AI36)</f>
        <v>707</v>
      </c>
      <c r="AJ37" s="211">
        <f t="shared" si="20"/>
        <v>0</v>
      </c>
      <c r="AK37" s="564"/>
    </row>
    <row r="38" spans="1:37" ht="12.95" customHeight="1">
      <c r="C38" s="190"/>
      <c r="D38" s="19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564"/>
    </row>
    <row r="39" spans="1:37" ht="12.95" customHeight="1">
      <c r="A39" s="188">
        <v>17</v>
      </c>
      <c r="B39" s="164" t="s">
        <v>50</v>
      </c>
      <c r="C39" s="190"/>
      <c r="D39" s="190"/>
      <c r="E39" s="211">
        <f>'ADJ DETAIL INPUT'!E39</f>
        <v>6550</v>
      </c>
      <c r="F39" s="211">
        <f>'ADJ DETAIL INPUT'!F39</f>
        <v>0</v>
      </c>
      <c r="G39" s="211">
        <f>'ADJ DETAIL INPUT'!G39</f>
        <v>0</v>
      </c>
      <c r="H39" s="211">
        <f>'ADJ DETAIL INPUT'!H39</f>
        <v>0</v>
      </c>
      <c r="I39" s="211">
        <f>'ADJ DETAIL INPUT'!I39</f>
        <v>0</v>
      </c>
      <c r="J39" s="211">
        <f>'ADJ DETAIL INPUT'!J39</f>
        <v>0</v>
      </c>
      <c r="K39" s="211">
        <f>'ADJ DETAIL INPUT'!K39</f>
        <v>-150</v>
      </c>
      <c r="L39" s="211">
        <f>'ADJ DETAIL INPUT'!L39</f>
        <v>0</v>
      </c>
      <c r="M39" s="211">
        <f>'ADJ DETAIL INPUT'!M39</f>
        <v>0</v>
      </c>
      <c r="N39" s="211">
        <f>'ADJ DETAIL INPUT'!N39</f>
        <v>0</v>
      </c>
      <c r="O39" s="211">
        <f>'ADJ DETAIL INPUT'!O39</f>
        <v>0</v>
      </c>
      <c r="P39" s="211">
        <f>'ADJ DETAIL INPUT'!P39</f>
        <v>0</v>
      </c>
      <c r="Q39" s="211">
        <f>'ADJ DETAIL INPUT'!Q39</f>
        <v>0</v>
      </c>
      <c r="R39" s="211">
        <f>'ADJ DETAIL INPUT'!R39</f>
        <v>-12</v>
      </c>
      <c r="S39" s="211">
        <f>'ADJ DETAIL INPUT'!S39</f>
        <v>-34</v>
      </c>
      <c r="T39" s="211">
        <f>'ADJ DETAIL INPUT'!T39</f>
        <v>0</v>
      </c>
      <c r="U39" s="211">
        <f>'ADJ DETAIL INPUT'!U39</f>
        <v>0</v>
      </c>
      <c r="V39" s="211">
        <f>'ADJ DETAIL INPUT'!V39</f>
        <v>0</v>
      </c>
      <c r="W39" s="211">
        <f>'ADJ DETAIL INPUT'!Y39</f>
        <v>186</v>
      </c>
      <c r="X39" s="211">
        <f>'ADJ DETAIL INPUT'!Z39</f>
        <v>0</v>
      </c>
      <c r="Y39" s="211">
        <f>'ADJ DETAIL INPUT'!AA39</f>
        <v>172</v>
      </c>
      <c r="Z39" s="211">
        <f>'ADJ DETAIL INPUT'!AB39</f>
        <v>0</v>
      </c>
      <c r="AA39" s="211">
        <f>'ADJ DETAIL INPUT'!AC39</f>
        <v>0</v>
      </c>
      <c r="AB39" s="211">
        <f>'ADJ DETAIL INPUT'!AD39</f>
        <v>0</v>
      </c>
      <c r="AC39" s="211">
        <f>'ADJ DETAIL INPUT'!AE39</f>
        <v>82</v>
      </c>
      <c r="AD39" s="211">
        <f>'ADJ DETAIL INPUT'!AF39</f>
        <v>0</v>
      </c>
      <c r="AE39" s="211">
        <f>'ADJ DETAIL INPUT'!AH39</f>
        <v>0</v>
      </c>
      <c r="AF39" s="211">
        <f>'ADJ DETAIL INPUT'!AI39</f>
        <v>0</v>
      </c>
      <c r="AG39" s="211">
        <f>'ADJ DETAIL INPUT'!AJ39</f>
        <v>0</v>
      </c>
      <c r="AH39" s="211">
        <f>'ADJ DETAIL INPUT'!AK39</f>
        <v>0</v>
      </c>
      <c r="AI39" s="211">
        <f>'ADJ DETAIL INPUT'!AL39</f>
        <v>0</v>
      </c>
      <c r="AJ39" s="211">
        <f>'ADJ DETAIL INPUT'!AN39</f>
        <v>0</v>
      </c>
      <c r="AK39" s="564"/>
    </row>
    <row r="40" spans="1:37">
      <c r="A40" s="188">
        <v>18</v>
      </c>
      <c r="B40" s="164" t="s">
        <v>51</v>
      </c>
      <c r="C40" s="190"/>
      <c r="D40" s="190"/>
      <c r="E40" s="211">
        <f>'ADJ DETAIL INPUT'!E40</f>
        <v>6427</v>
      </c>
      <c r="F40" s="211">
        <f>'ADJ DETAIL INPUT'!F40</f>
        <v>0</v>
      </c>
      <c r="G40" s="211">
        <f>'ADJ DETAIL INPUT'!G40</f>
        <v>1</v>
      </c>
      <c r="H40" s="211">
        <f>'ADJ DETAIL INPUT'!H40</f>
        <v>0</v>
      </c>
      <c r="I40" s="211">
        <f>'ADJ DETAIL INPUT'!I40</f>
        <v>0</v>
      </c>
      <c r="J40" s="211">
        <f>'ADJ DETAIL INPUT'!J40</f>
        <v>0</v>
      </c>
      <c r="K40" s="211">
        <f>'ADJ DETAIL INPUT'!K40</f>
        <v>0</v>
      </c>
      <c r="L40" s="211">
        <f>'ADJ DETAIL INPUT'!L40</f>
        <v>0</v>
      </c>
      <c r="M40" s="211">
        <f>'ADJ DETAIL INPUT'!M40</f>
        <v>0</v>
      </c>
      <c r="N40" s="211">
        <f>'ADJ DETAIL INPUT'!N40</f>
        <v>0</v>
      </c>
      <c r="O40" s="211">
        <f>'ADJ DETAIL INPUT'!O40</f>
        <v>0</v>
      </c>
      <c r="P40" s="211">
        <f>'ADJ DETAIL INPUT'!P40</f>
        <v>0</v>
      </c>
      <c r="Q40" s="211">
        <f>'ADJ DETAIL INPUT'!Q40</f>
        <v>0</v>
      </c>
      <c r="R40" s="211">
        <f>'ADJ DETAIL INPUT'!R40</f>
        <v>0</v>
      </c>
      <c r="S40" s="211">
        <f>'ADJ DETAIL INPUT'!S40</f>
        <v>-5494</v>
      </c>
      <c r="T40" s="211">
        <f>'ADJ DETAIL INPUT'!T40</f>
        <v>-1</v>
      </c>
      <c r="U40" s="211">
        <f>'ADJ DETAIL INPUT'!U40</f>
        <v>0</v>
      </c>
      <c r="V40" s="211">
        <f>'ADJ DETAIL INPUT'!V40</f>
        <v>0</v>
      </c>
      <c r="W40" s="211">
        <f>'ADJ DETAIL INPUT'!Y40</f>
        <v>17</v>
      </c>
      <c r="X40" s="211">
        <f>'ADJ DETAIL INPUT'!Z40</f>
        <v>0</v>
      </c>
      <c r="Y40" s="211">
        <f>'ADJ DETAIL INPUT'!AA40</f>
        <v>16</v>
      </c>
      <c r="Z40" s="211">
        <f>'ADJ DETAIL INPUT'!AB40</f>
        <v>0</v>
      </c>
      <c r="AA40" s="211">
        <f>'ADJ DETAIL INPUT'!AC40</f>
        <v>0</v>
      </c>
      <c r="AB40" s="211">
        <f>'ADJ DETAIL INPUT'!AD40</f>
        <v>0</v>
      </c>
      <c r="AC40" s="211">
        <f>'ADJ DETAIL INPUT'!AE40</f>
        <v>0</v>
      </c>
      <c r="AD40" s="211">
        <f>'ADJ DETAIL INPUT'!AF40</f>
        <v>0</v>
      </c>
      <c r="AE40" s="211">
        <f>'ADJ DETAIL INPUT'!AH40</f>
        <v>0</v>
      </c>
      <c r="AF40" s="211">
        <f>'ADJ DETAIL INPUT'!AI40</f>
        <v>0</v>
      </c>
      <c r="AG40" s="211">
        <f>'ADJ DETAIL INPUT'!AJ40</f>
        <v>0</v>
      </c>
      <c r="AH40" s="211">
        <f>'ADJ DETAIL INPUT'!AK40</f>
        <v>0</v>
      </c>
      <c r="AI40" s="211">
        <f>'ADJ DETAIL INPUT'!AL40</f>
        <v>0</v>
      </c>
      <c r="AJ40" s="211">
        <f>'ADJ DETAIL INPUT'!AN40</f>
        <v>0</v>
      </c>
      <c r="AK40" s="564"/>
    </row>
    <row r="41" spans="1:37">
      <c r="A41" s="188">
        <v>19</v>
      </c>
      <c r="B41" s="164" t="s">
        <v>52</v>
      </c>
      <c r="C41" s="190"/>
      <c r="D41" s="190"/>
      <c r="E41" s="211">
        <f>'ADJ DETAIL INPUT'!E41</f>
        <v>0</v>
      </c>
      <c r="F41" s="211">
        <f>'ADJ DETAIL INPUT'!F41</f>
        <v>0</v>
      </c>
      <c r="G41" s="211">
        <f>'ADJ DETAIL INPUT'!G41</f>
        <v>0</v>
      </c>
      <c r="H41" s="211">
        <f>'ADJ DETAIL INPUT'!H41</f>
        <v>0</v>
      </c>
      <c r="I41" s="211">
        <f>'ADJ DETAIL INPUT'!I41</f>
        <v>0</v>
      </c>
      <c r="J41" s="211">
        <f>'ADJ DETAIL INPUT'!J41</f>
        <v>0</v>
      </c>
      <c r="K41" s="211">
        <f>'ADJ DETAIL INPUT'!K41</f>
        <v>0</v>
      </c>
      <c r="L41" s="211">
        <f>'ADJ DETAIL INPUT'!L41</f>
        <v>0</v>
      </c>
      <c r="M41" s="211">
        <f>'ADJ DETAIL INPUT'!M41</f>
        <v>0</v>
      </c>
      <c r="N41" s="211">
        <f>'ADJ DETAIL INPUT'!N41</f>
        <v>0</v>
      </c>
      <c r="O41" s="211">
        <f>'ADJ DETAIL INPUT'!O41</f>
        <v>0</v>
      </c>
      <c r="P41" s="211">
        <f>'ADJ DETAIL INPUT'!P41</f>
        <v>0</v>
      </c>
      <c r="Q41" s="211">
        <f>'ADJ DETAIL INPUT'!Q41</f>
        <v>0</v>
      </c>
      <c r="R41" s="211">
        <f>'ADJ DETAIL INPUT'!R41</f>
        <v>0</v>
      </c>
      <c r="S41" s="211">
        <f>'ADJ DETAIL INPUT'!S41</f>
        <v>0</v>
      </c>
      <c r="T41" s="211">
        <f>'ADJ DETAIL INPUT'!T41</f>
        <v>0</v>
      </c>
      <c r="U41" s="211">
        <f>'ADJ DETAIL INPUT'!U41</f>
        <v>0</v>
      </c>
      <c r="V41" s="211">
        <f>'ADJ DETAIL INPUT'!V41</f>
        <v>0</v>
      </c>
      <c r="W41" s="211">
        <f>'ADJ DETAIL INPUT'!Y41</f>
        <v>0.13</v>
      </c>
      <c r="X41" s="211">
        <f>'ADJ DETAIL INPUT'!Z41</f>
        <v>0</v>
      </c>
      <c r="Y41" s="211">
        <f>'ADJ DETAIL INPUT'!AA41</f>
        <v>1</v>
      </c>
      <c r="Z41" s="211">
        <f>'ADJ DETAIL INPUT'!AB41</f>
        <v>0</v>
      </c>
      <c r="AA41" s="211">
        <f>'ADJ DETAIL INPUT'!AC41</f>
        <v>0</v>
      </c>
      <c r="AB41" s="211">
        <f>'ADJ DETAIL INPUT'!AD41</f>
        <v>0</v>
      </c>
      <c r="AC41" s="211">
        <f>'ADJ DETAIL INPUT'!AE41</f>
        <v>0</v>
      </c>
      <c r="AD41" s="211">
        <f>'ADJ DETAIL INPUT'!AF41</f>
        <v>0</v>
      </c>
      <c r="AE41" s="211">
        <f>'ADJ DETAIL INPUT'!AH41</f>
        <v>0</v>
      </c>
      <c r="AF41" s="211">
        <f>'ADJ DETAIL INPUT'!AI41</f>
        <v>0</v>
      </c>
      <c r="AG41" s="211">
        <f>'ADJ DETAIL INPUT'!AJ41</f>
        <v>0</v>
      </c>
      <c r="AH41" s="211">
        <f>'ADJ DETAIL INPUT'!AK41</f>
        <v>0</v>
      </c>
      <c r="AI41" s="211">
        <f>'ADJ DETAIL INPUT'!AL41</f>
        <v>0</v>
      </c>
      <c r="AJ41" s="211">
        <f>'ADJ DETAIL INPUT'!AN41</f>
        <v>0</v>
      </c>
      <c r="AK41" s="564"/>
    </row>
    <row r="42" spans="1:37">
      <c r="C42" s="190"/>
      <c r="D42" s="19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564"/>
    </row>
    <row r="43" spans="1:37">
      <c r="B43" s="164" t="s">
        <v>53</v>
      </c>
      <c r="C43" s="190"/>
      <c r="D43" s="19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564"/>
    </row>
    <row r="44" spans="1:37">
      <c r="A44" s="188">
        <v>20</v>
      </c>
      <c r="C44" s="190" t="s">
        <v>45</v>
      </c>
      <c r="D44" s="190"/>
      <c r="E44" s="211">
        <f>'ADJ DETAIL INPUT'!E44</f>
        <v>11883</v>
      </c>
      <c r="F44" s="211">
        <f>'ADJ DETAIL INPUT'!F44</f>
        <v>0</v>
      </c>
      <c r="G44" s="211">
        <f>'ADJ DETAIL INPUT'!G44</f>
        <v>0</v>
      </c>
      <c r="H44" s="211">
        <f>'ADJ DETAIL INPUT'!H44</f>
        <v>0</v>
      </c>
      <c r="I44" s="211">
        <f>'ADJ DETAIL INPUT'!I44</f>
        <v>0</v>
      </c>
      <c r="J44" s="211">
        <f>'ADJ DETAIL INPUT'!J44</f>
        <v>0</v>
      </c>
      <c r="K44" s="211">
        <f>'ADJ DETAIL INPUT'!K44</f>
        <v>0</v>
      </c>
      <c r="L44" s="211">
        <f>'ADJ DETAIL INPUT'!L44</f>
        <v>32</v>
      </c>
      <c r="M44" s="211">
        <f>'ADJ DETAIL INPUT'!M44</f>
        <v>280</v>
      </c>
      <c r="N44" s="211">
        <f>'ADJ DETAIL INPUT'!N44</f>
        <v>0</v>
      </c>
      <c r="O44" s="211">
        <f>'ADJ DETAIL INPUT'!O44</f>
        <v>-2</v>
      </c>
      <c r="P44" s="211">
        <f>'ADJ DETAIL INPUT'!P44</f>
        <v>0</v>
      </c>
      <c r="Q44" s="211">
        <f>'ADJ DETAIL INPUT'!Q44</f>
        <v>0</v>
      </c>
      <c r="R44" s="211">
        <f>'ADJ DETAIL INPUT'!R44</f>
        <v>-4</v>
      </c>
      <c r="S44" s="211">
        <f>'ADJ DETAIL INPUT'!S44</f>
        <v>-12</v>
      </c>
      <c r="T44" s="211">
        <f>'ADJ DETAIL INPUT'!T44</f>
        <v>6</v>
      </c>
      <c r="U44" s="211">
        <f>'ADJ DETAIL INPUT'!U44</f>
        <v>-333</v>
      </c>
      <c r="V44" s="211">
        <f>'ADJ DETAIL INPUT'!V44</f>
        <v>0</v>
      </c>
      <c r="W44" s="211">
        <f>'ADJ DETAIL INPUT'!Y44</f>
        <v>580</v>
      </c>
      <c r="X44" s="211">
        <f>'ADJ DETAIL INPUT'!Z44</f>
        <v>73</v>
      </c>
      <c r="Y44" s="211">
        <f>'ADJ DETAIL INPUT'!AA44</f>
        <v>185</v>
      </c>
      <c r="Z44" s="211">
        <f>'ADJ DETAIL INPUT'!AB44</f>
        <v>77</v>
      </c>
      <c r="AA44" s="211">
        <f>'ADJ DETAIL INPUT'!AC44</f>
        <v>0</v>
      </c>
      <c r="AB44" s="211">
        <f>'ADJ DETAIL INPUT'!AD44</f>
        <v>412</v>
      </c>
      <c r="AC44" s="211">
        <f>'ADJ DETAIL INPUT'!AE44</f>
        <v>29</v>
      </c>
      <c r="AD44" s="211">
        <f>'ADJ DETAIL INPUT'!AF44</f>
        <v>0</v>
      </c>
      <c r="AE44" s="211">
        <f>'ADJ DETAIL INPUT'!AH44</f>
        <v>0</v>
      </c>
      <c r="AF44" s="211">
        <f>'ADJ DETAIL INPUT'!AI44</f>
        <v>0</v>
      </c>
      <c r="AG44" s="211">
        <f>'ADJ DETAIL INPUT'!AJ44</f>
        <v>0</v>
      </c>
      <c r="AH44" s="211">
        <f>'ADJ DETAIL INPUT'!AK44</f>
        <v>-36</v>
      </c>
      <c r="AI44" s="211">
        <f>'ADJ DETAIL INPUT'!AL44</f>
        <v>0</v>
      </c>
      <c r="AJ44" s="211">
        <f>'ADJ DETAIL INPUT'!AN44</f>
        <v>552</v>
      </c>
      <c r="AK44" s="564"/>
    </row>
    <row r="45" spans="1:37">
      <c r="A45" s="188">
        <v>21</v>
      </c>
      <c r="C45" s="190" t="s">
        <v>216</v>
      </c>
      <c r="D45" s="190"/>
      <c r="E45" s="211">
        <f>'ADJ DETAIL INPUT'!E45</f>
        <v>4316</v>
      </c>
      <c r="F45" s="211">
        <f>'ADJ DETAIL INPUT'!F45</f>
        <v>0</v>
      </c>
      <c r="G45" s="211">
        <f>'ADJ DETAIL INPUT'!G45</f>
        <v>0</v>
      </c>
      <c r="H45" s="211">
        <f>'ADJ DETAIL INPUT'!H45</f>
        <v>0</v>
      </c>
      <c r="I45" s="211">
        <f>'ADJ DETAIL INPUT'!I45</f>
        <v>0</v>
      </c>
      <c r="J45" s="211">
        <f>'ADJ DETAIL INPUT'!J45</f>
        <v>0</v>
      </c>
      <c r="K45" s="211">
        <f>'ADJ DETAIL INPUT'!K45</f>
        <v>0</v>
      </c>
      <c r="L45" s="211">
        <f>'ADJ DETAIL INPUT'!L45</f>
        <v>0</v>
      </c>
      <c r="M45" s="211">
        <f>'ADJ DETAIL INPUT'!M45</f>
        <v>0</v>
      </c>
      <c r="N45" s="211">
        <f>'ADJ DETAIL INPUT'!N45</f>
        <v>0</v>
      </c>
      <c r="O45" s="211">
        <f>'ADJ DETAIL INPUT'!O45</f>
        <v>0</v>
      </c>
      <c r="P45" s="211">
        <f>'ADJ DETAIL INPUT'!P45</f>
        <v>0</v>
      </c>
      <c r="Q45" s="211">
        <f>'ADJ DETAIL INPUT'!Q45</f>
        <v>0</v>
      </c>
      <c r="R45" s="211">
        <f>'ADJ DETAIL INPUT'!R45</f>
        <v>0</v>
      </c>
      <c r="S45" s="211">
        <f>'ADJ DETAIL INPUT'!S45</f>
        <v>0</v>
      </c>
      <c r="T45" s="211">
        <f>'ADJ DETAIL INPUT'!T45</f>
        <v>0</v>
      </c>
      <c r="U45" s="211">
        <f>'ADJ DETAIL INPUT'!U45</f>
        <v>0</v>
      </c>
      <c r="V45" s="211">
        <f>'ADJ DETAIL INPUT'!V45</f>
        <v>0</v>
      </c>
      <c r="W45" s="211">
        <f>'ADJ DETAIL INPUT'!Y45</f>
        <v>0</v>
      </c>
      <c r="X45" s="211">
        <f>'ADJ DETAIL INPUT'!Z45</f>
        <v>0</v>
      </c>
      <c r="Y45" s="211">
        <f>'ADJ DETAIL INPUT'!AA45</f>
        <v>0</v>
      </c>
      <c r="Z45" s="211">
        <f>'ADJ DETAIL INPUT'!AB45</f>
        <v>0</v>
      </c>
      <c r="AA45" s="211">
        <f>'ADJ DETAIL INPUT'!AC45</f>
        <v>0</v>
      </c>
      <c r="AB45" s="211">
        <f>'ADJ DETAIL INPUT'!AD45</f>
        <v>0</v>
      </c>
      <c r="AC45" s="211">
        <f>'ADJ DETAIL INPUT'!AE45</f>
        <v>0</v>
      </c>
      <c r="AD45" s="211">
        <f>'ADJ DETAIL INPUT'!AF45</f>
        <v>708</v>
      </c>
      <c r="AE45" s="211">
        <f>'ADJ DETAIL INPUT'!AH45</f>
        <v>2045</v>
      </c>
      <c r="AF45" s="211">
        <f>'ADJ DETAIL INPUT'!AI45</f>
        <v>570</v>
      </c>
      <c r="AG45" s="211">
        <f>'ADJ DETAIL INPUT'!AJ45</f>
        <v>0</v>
      </c>
      <c r="AH45" s="211">
        <f>'ADJ DETAIL INPUT'!AK45</f>
        <v>0</v>
      </c>
      <c r="AI45" s="211">
        <f>'ADJ DETAIL INPUT'!AL45</f>
        <v>0</v>
      </c>
      <c r="AJ45" s="211">
        <f>'ADJ DETAIL INPUT'!AN45</f>
        <v>0</v>
      </c>
      <c r="AK45" s="564"/>
    </row>
    <row r="46" spans="1:37">
      <c r="A46" s="188">
        <v>22</v>
      </c>
      <c r="C46" s="9" t="s">
        <v>434</v>
      </c>
      <c r="D46" s="190"/>
      <c r="E46" s="211">
        <f>'ADJ DETAIL INPUT'!E46</f>
        <v>11</v>
      </c>
      <c r="F46" s="211">
        <f>'ADJ DETAIL INPUT'!F46</f>
        <v>0</v>
      </c>
      <c r="G46" s="211">
        <f>'ADJ DETAIL INPUT'!G46</f>
        <v>0</v>
      </c>
      <c r="H46" s="211">
        <f>'ADJ DETAIL INPUT'!H46</f>
        <v>0</v>
      </c>
      <c r="I46" s="211">
        <f>'ADJ DETAIL INPUT'!I46</f>
        <v>0</v>
      </c>
      <c r="J46" s="211">
        <f>'ADJ DETAIL INPUT'!J46</f>
        <v>0</v>
      </c>
      <c r="K46" s="211">
        <f>'ADJ DETAIL INPUT'!K46</f>
        <v>0</v>
      </c>
      <c r="L46" s="211">
        <f>'ADJ DETAIL INPUT'!L46</f>
        <v>0</v>
      </c>
      <c r="M46" s="211">
        <f>'ADJ DETAIL INPUT'!M46</f>
        <v>0</v>
      </c>
      <c r="N46" s="211">
        <f>'ADJ DETAIL INPUT'!N46</f>
        <v>0</v>
      </c>
      <c r="O46" s="211">
        <f>'ADJ DETAIL INPUT'!O46</f>
        <v>0</v>
      </c>
      <c r="P46" s="211">
        <f>'ADJ DETAIL INPUT'!P46</f>
        <v>0</v>
      </c>
      <c r="Q46" s="211">
        <f>'ADJ DETAIL INPUT'!Q46</f>
        <v>0</v>
      </c>
      <c r="R46" s="211">
        <f>'ADJ DETAIL INPUT'!R46</f>
        <v>0</v>
      </c>
      <c r="S46" s="211">
        <f>'ADJ DETAIL INPUT'!S46</f>
        <v>0</v>
      </c>
      <c r="T46" s="211">
        <f>'ADJ DETAIL INPUT'!T46</f>
        <v>0</v>
      </c>
      <c r="U46" s="211">
        <f>'ADJ DETAIL INPUT'!U46</f>
        <v>0</v>
      </c>
      <c r="V46" s="211">
        <f>'ADJ DETAIL INPUT'!V46</f>
        <v>0</v>
      </c>
      <c r="W46" s="211">
        <f>'ADJ DETAIL INPUT'!Y46</f>
        <v>0</v>
      </c>
      <c r="X46" s="211">
        <f>'ADJ DETAIL INPUT'!Z46</f>
        <v>0</v>
      </c>
      <c r="Y46" s="211">
        <f>'ADJ DETAIL INPUT'!AA46</f>
        <v>0</v>
      </c>
      <c r="Z46" s="211">
        <f>'ADJ DETAIL INPUT'!AB46</f>
        <v>0</v>
      </c>
      <c r="AA46" s="211">
        <f>'ADJ DETAIL INPUT'!AC46</f>
        <v>0</v>
      </c>
      <c r="AB46" s="211">
        <f>'ADJ DETAIL INPUT'!AD46</f>
        <v>0</v>
      </c>
      <c r="AC46" s="211">
        <f>'ADJ DETAIL INPUT'!AE46</f>
        <v>-11</v>
      </c>
      <c r="AD46" s="211">
        <f>'ADJ DETAIL INPUT'!AF46</f>
        <v>0</v>
      </c>
      <c r="AE46" s="211">
        <f>'ADJ DETAIL INPUT'!AH46</f>
        <v>0</v>
      </c>
      <c r="AF46" s="211">
        <f>'ADJ DETAIL INPUT'!AI46</f>
        <v>0</v>
      </c>
      <c r="AG46" s="211">
        <f>'ADJ DETAIL INPUT'!AJ46</f>
        <v>1143</v>
      </c>
      <c r="AH46" s="211">
        <f>'ADJ DETAIL INPUT'!AK46</f>
        <v>0</v>
      </c>
      <c r="AI46" s="211">
        <f>'ADJ DETAIL INPUT'!AL46</f>
        <v>0</v>
      </c>
      <c r="AJ46" s="211">
        <f>'ADJ DETAIL INPUT'!AN46</f>
        <v>0</v>
      </c>
      <c r="AK46" s="564"/>
    </row>
    <row r="47" spans="1:37">
      <c r="A47" s="188">
        <v>23</v>
      </c>
      <c r="C47" s="190" t="s">
        <v>22</v>
      </c>
      <c r="D47" s="190"/>
      <c r="E47" s="212">
        <f>'ADJ DETAIL INPUT'!E47</f>
        <v>0</v>
      </c>
      <c r="F47" s="212">
        <f>'ADJ DETAIL INPUT'!F47</f>
        <v>0</v>
      </c>
      <c r="G47" s="212">
        <f>'ADJ DETAIL INPUT'!G47</f>
        <v>0</v>
      </c>
      <c r="H47" s="212">
        <f>'ADJ DETAIL INPUT'!H47</f>
        <v>0</v>
      </c>
      <c r="I47" s="212">
        <f>'ADJ DETAIL INPUT'!I47</f>
        <v>0</v>
      </c>
      <c r="J47" s="212">
        <f>'ADJ DETAIL INPUT'!J47</f>
        <v>0</v>
      </c>
      <c r="K47" s="212">
        <f>'ADJ DETAIL INPUT'!K47</f>
        <v>0</v>
      </c>
      <c r="L47" s="212">
        <f>'ADJ DETAIL INPUT'!L47</f>
        <v>0</v>
      </c>
      <c r="M47" s="212">
        <f>'ADJ DETAIL INPUT'!M47</f>
        <v>0</v>
      </c>
      <c r="N47" s="212">
        <f>'ADJ DETAIL INPUT'!N47</f>
        <v>0</v>
      </c>
      <c r="O47" s="212">
        <f>'ADJ DETAIL INPUT'!O47</f>
        <v>0</v>
      </c>
      <c r="P47" s="212">
        <f>'ADJ DETAIL INPUT'!P47</f>
        <v>0</v>
      </c>
      <c r="Q47" s="212">
        <f>'ADJ DETAIL INPUT'!Q47</f>
        <v>0</v>
      </c>
      <c r="R47" s="212">
        <f>'ADJ DETAIL INPUT'!R47</f>
        <v>0</v>
      </c>
      <c r="S47" s="212">
        <f>'ADJ DETAIL INPUT'!S47</f>
        <v>0</v>
      </c>
      <c r="T47" s="212">
        <f>'ADJ DETAIL INPUT'!T47</f>
        <v>0</v>
      </c>
      <c r="U47" s="212">
        <f>'ADJ DETAIL INPUT'!U47</f>
        <v>0</v>
      </c>
      <c r="V47" s="212">
        <f>'ADJ DETAIL INPUT'!V47</f>
        <v>0</v>
      </c>
      <c r="W47" s="212">
        <f>'ADJ DETAIL INPUT'!Y47</f>
        <v>0</v>
      </c>
      <c r="X47" s="212">
        <f>'ADJ DETAIL INPUT'!Z47</f>
        <v>0</v>
      </c>
      <c r="Y47" s="212">
        <f>'ADJ DETAIL INPUT'!AA47</f>
        <v>0</v>
      </c>
      <c r="Z47" s="212">
        <f>'ADJ DETAIL INPUT'!AB47</f>
        <v>0</v>
      </c>
      <c r="AA47" s="212">
        <f>'ADJ DETAIL INPUT'!AC47</f>
        <v>0</v>
      </c>
      <c r="AB47" s="212">
        <f>'ADJ DETAIL INPUT'!AD47</f>
        <v>0</v>
      </c>
      <c r="AC47" s="212">
        <f>'ADJ DETAIL INPUT'!AE47</f>
        <v>0</v>
      </c>
      <c r="AD47" s="212">
        <f>'ADJ DETAIL INPUT'!AF47</f>
        <v>0</v>
      </c>
      <c r="AE47" s="212">
        <f>'ADJ DETAIL INPUT'!AH47</f>
        <v>0</v>
      </c>
      <c r="AF47" s="212">
        <f>'ADJ DETAIL INPUT'!AI47</f>
        <v>0</v>
      </c>
      <c r="AG47" s="212">
        <f>'ADJ DETAIL INPUT'!AJ47</f>
        <v>0</v>
      </c>
      <c r="AH47" s="212">
        <f>'ADJ DETAIL INPUT'!AK47</f>
        <v>0</v>
      </c>
      <c r="AI47" s="212">
        <f>'ADJ DETAIL INPUT'!AL47</f>
        <v>0</v>
      </c>
      <c r="AJ47" s="212">
        <f>'ADJ DETAIL INPUT'!AN47</f>
        <v>0</v>
      </c>
      <c r="AK47" s="564"/>
    </row>
    <row r="48" spans="1:37">
      <c r="A48" s="188">
        <v>24</v>
      </c>
      <c r="B48" s="190" t="s">
        <v>54</v>
      </c>
      <c r="C48" s="190"/>
      <c r="E48" s="212">
        <f>SUM(E44:E47)</f>
        <v>16210</v>
      </c>
      <c r="F48" s="212">
        <f t="shared" ref="F48:AJ48" si="26">SUM(F44:F47)</f>
        <v>0</v>
      </c>
      <c r="G48" s="212">
        <f t="shared" si="26"/>
        <v>0</v>
      </c>
      <c r="H48" s="212">
        <f t="shared" si="26"/>
        <v>0</v>
      </c>
      <c r="I48" s="212">
        <f t="shared" si="26"/>
        <v>0</v>
      </c>
      <c r="J48" s="212">
        <f t="shared" si="26"/>
        <v>0</v>
      </c>
      <c r="K48" s="212">
        <f t="shared" si="26"/>
        <v>0</v>
      </c>
      <c r="L48" s="212">
        <f t="shared" si="26"/>
        <v>32</v>
      </c>
      <c r="M48" s="212">
        <f t="shared" si="26"/>
        <v>280</v>
      </c>
      <c r="N48" s="212">
        <f t="shared" si="26"/>
        <v>0</v>
      </c>
      <c r="O48" s="212">
        <f t="shared" si="26"/>
        <v>-2</v>
      </c>
      <c r="P48" s="212">
        <f t="shared" si="26"/>
        <v>0</v>
      </c>
      <c r="Q48" s="212">
        <f t="shared" si="26"/>
        <v>0</v>
      </c>
      <c r="R48" s="212">
        <f t="shared" si="26"/>
        <v>-4</v>
      </c>
      <c r="S48" s="212">
        <f t="shared" ref="S48" si="27">SUM(S44:S47)</f>
        <v>-12</v>
      </c>
      <c r="T48" s="212">
        <f t="shared" si="26"/>
        <v>6</v>
      </c>
      <c r="U48" s="212">
        <f t="shared" si="26"/>
        <v>-333</v>
      </c>
      <c r="V48" s="212">
        <f t="shared" si="26"/>
        <v>0</v>
      </c>
      <c r="W48" s="212">
        <f t="shared" si="26"/>
        <v>580</v>
      </c>
      <c r="X48" s="212">
        <f t="shared" ref="X48" si="28">SUM(X44:X47)</f>
        <v>73</v>
      </c>
      <c r="Y48" s="212">
        <f t="shared" si="26"/>
        <v>185</v>
      </c>
      <c r="Z48" s="212">
        <f t="shared" si="26"/>
        <v>77</v>
      </c>
      <c r="AA48" s="212">
        <f t="shared" si="26"/>
        <v>0</v>
      </c>
      <c r="AB48" s="212">
        <f t="shared" si="26"/>
        <v>412</v>
      </c>
      <c r="AC48" s="212">
        <f t="shared" ref="AC48" si="29">SUM(AC44:AC47)</f>
        <v>18</v>
      </c>
      <c r="AD48" s="212">
        <f t="shared" si="26"/>
        <v>708</v>
      </c>
      <c r="AE48" s="212">
        <f t="shared" ref="AE48:AH48" si="30">SUM(AE44:AE47)</f>
        <v>2045</v>
      </c>
      <c r="AF48" s="212">
        <f t="shared" si="30"/>
        <v>570</v>
      </c>
      <c r="AG48" s="212">
        <f>SUM(AG44:AG47)</f>
        <v>1143</v>
      </c>
      <c r="AH48" s="212">
        <f t="shared" si="30"/>
        <v>-36</v>
      </c>
      <c r="AI48" s="212">
        <f t="shared" ref="AI48" si="31">SUM(AI44:AI47)</f>
        <v>0</v>
      </c>
      <c r="AJ48" s="212">
        <f t="shared" si="26"/>
        <v>552</v>
      </c>
      <c r="AK48" s="564"/>
    </row>
    <row r="49" spans="1:37" ht="19.5" customHeight="1">
      <c r="A49" s="188">
        <v>25</v>
      </c>
      <c r="B49" s="164" t="s">
        <v>55</v>
      </c>
      <c r="C49" s="190"/>
      <c r="D49" s="190"/>
      <c r="E49" s="212">
        <f t="shared" ref="E49" si="32">E21+E25+E31+E37+E39+E40+E41+E48</f>
        <v>232770</v>
      </c>
      <c r="F49" s="212">
        <f t="shared" ref="F49:AJ49" si="33">F21+F25+F31+F37+F39+F40+F41+F48</f>
        <v>0</v>
      </c>
      <c r="G49" s="212">
        <f t="shared" si="33"/>
        <v>1</v>
      </c>
      <c r="H49" s="212">
        <f t="shared" si="33"/>
        <v>0</v>
      </c>
      <c r="I49" s="212">
        <f t="shared" si="33"/>
        <v>-6183</v>
      </c>
      <c r="J49" s="212">
        <f t="shared" si="33"/>
        <v>80</v>
      </c>
      <c r="K49" s="212">
        <f t="shared" si="33"/>
        <v>-150</v>
      </c>
      <c r="L49" s="212">
        <f t="shared" si="33"/>
        <v>32</v>
      </c>
      <c r="M49" s="212">
        <f t="shared" si="33"/>
        <v>280</v>
      </c>
      <c r="N49" s="212">
        <f t="shared" si="33"/>
        <v>0</v>
      </c>
      <c r="O49" s="212">
        <f t="shared" si="33"/>
        <v>-2</v>
      </c>
      <c r="P49" s="212">
        <f t="shared" si="33"/>
        <v>328</v>
      </c>
      <c r="Q49" s="212">
        <f t="shared" si="33"/>
        <v>-5</v>
      </c>
      <c r="R49" s="212">
        <f t="shared" si="33"/>
        <v>-1376</v>
      </c>
      <c r="S49" s="212">
        <f t="shared" ref="S49" si="34">S21+S25+S31+S37+S39+S40+S41+S48</f>
        <v>-89293</v>
      </c>
      <c r="T49" s="212">
        <f t="shared" si="33"/>
        <v>5</v>
      </c>
      <c r="U49" s="212">
        <f t="shared" si="33"/>
        <v>-333</v>
      </c>
      <c r="V49" s="212">
        <f t="shared" si="33"/>
        <v>0</v>
      </c>
      <c r="W49" s="212">
        <f t="shared" si="33"/>
        <v>1153.5349999999999</v>
      </c>
      <c r="X49" s="212">
        <f t="shared" ref="X49" si="35">X21+X25+X31+X37+X39+X40+X41+X48</f>
        <v>49.962000000000003</v>
      </c>
      <c r="Y49" s="212">
        <f t="shared" si="33"/>
        <v>716.79300000000001</v>
      </c>
      <c r="Z49" s="212">
        <f t="shared" si="33"/>
        <v>77</v>
      </c>
      <c r="AA49" s="212">
        <f t="shared" si="33"/>
        <v>507</v>
      </c>
      <c r="AB49" s="212">
        <f t="shared" si="33"/>
        <v>412</v>
      </c>
      <c r="AC49" s="212">
        <f t="shared" ref="AC49" si="36">AC21+AC25+AC31+AC37+AC39+AC40+AC41+AC48</f>
        <v>6051</v>
      </c>
      <c r="AD49" s="212">
        <f t="shared" si="33"/>
        <v>1121</v>
      </c>
      <c r="AE49" s="212">
        <f t="shared" ref="AE49:AH49" si="37">AE21+AE25+AE31+AE37+AE39+AE40+AE41+AE48</f>
        <v>2518</v>
      </c>
      <c r="AF49" s="212">
        <f t="shared" si="37"/>
        <v>908</v>
      </c>
      <c r="AG49" s="212">
        <f>AG21+AG25+AG31+AG37+AG39+AG40+AG41+AG48</f>
        <v>1143</v>
      </c>
      <c r="AH49" s="212">
        <f t="shared" si="37"/>
        <v>-78</v>
      </c>
      <c r="AI49" s="212">
        <f t="shared" ref="AI49" si="38">AI21+AI25+AI31+AI37+AI39+AI40+AI41+AI48</f>
        <v>707</v>
      </c>
      <c r="AJ49" s="212">
        <f t="shared" si="33"/>
        <v>552</v>
      </c>
      <c r="AK49" s="564"/>
    </row>
    <row r="50" spans="1:37">
      <c r="C50" s="190"/>
      <c r="D50" s="19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564"/>
    </row>
    <row r="51" spans="1:37" ht="12.95" customHeight="1">
      <c r="A51" s="188">
        <v>26</v>
      </c>
      <c r="B51" s="164" t="s">
        <v>56</v>
      </c>
      <c r="C51" s="190"/>
      <c r="D51" s="190"/>
      <c r="E51" s="211">
        <f>E18-E49</f>
        <v>21472</v>
      </c>
      <c r="F51" s="211">
        <f t="shared" ref="F51:AJ51" si="39">F18-F49</f>
        <v>0</v>
      </c>
      <c r="G51" s="211">
        <f t="shared" si="39"/>
        <v>-1</v>
      </c>
      <c r="H51" s="211">
        <f t="shared" si="39"/>
        <v>0</v>
      </c>
      <c r="I51" s="211">
        <f t="shared" si="39"/>
        <v>-11</v>
      </c>
      <c r="J51" s="211">
        <f t="shared" si="39"/>
        <v>-80</v>
      </c>
      <c r="K51" s="211">
        <f t="shared" si="39"/>
        <v>150</v>
      </c>
      <c r="L51" s="211">
        <f t="shared" si="39"/>
        <v>-32</v>
      </c>
      <c r="M51" s="211">
        <f t="shared" si="39"/>
        <v>-280</v>
      </c>
      <c r="N51" s="211">
        <f t="shared" si="39"/>
        <v>0</v>
      </c>
      <c r="O51" s="211">
        <f t="shared" si="39"/>
        <v>2</v>
      </c>
      <c r="P51" s="211">
        <f t="shared" si="39"/>
        <v>-328</v>
      </c>
      <c r="Q51" s="211">
        <f t="shared" si="39"/>
        <v>5</v>
      </c>
      <c r="R51" s="211">
        <f t="shared" si="39"/>
        <v>-764</v>
      </c>
      <c r="S51" s="211">
        <f t="shared" ref="S51" si="40">S18-S49</f>
        <v>0</v>
      </c>
      <c r="T51" s="211">
        <f t="shared" si="39"/>
        <v>-5</v>
      </c>
      <c r="U51" s="211">
        <f t="shared" si="39"/>
        <v>333</v>
      </c>
      <c r="V51" s="211">
        <f t="shared" si="39"/>
        <v>0</v>
      </c>
      <c r="W51" s="211">
        <f t="shared" si="39"/>
        <v>-1153.5349999999999</v>
      </c>
      <c r="X51" s="211">
        <f t="shared" ref="X51" si="41">X18-X49</f>
        <v>-49.962000000000003</v>
      </c>
      <c r="Y51" s="211">
        <f t="shared" si="39"/>
        <v>-716.79300000000001</v>
      </c>
      <c r="Z51" s="211">
        <f t="shared" si="39"/>
        <v>-77</v>
      </c>
      <c r="AA51" s="211">
        <f t="shared" si="39"/>
        <v>-507</v>
      </c>
      <c r="AB51" s="211">
        <f t="shared" si="39"/>
        <v>-412</v>
      </c>
      <c r="AC51" s="211">
        <f t="shared" ref="AC51" si="42">AC18-AC49</f>
        <v>8525</v>
      </c>
      <c r="AD51" s="211">
        <f t="shared" si="39"/>
        <v>-1121</v>
      </c>
      <c r="AE51" s="211">
        <f t="shared" ref="AE51:AH51" si="43">AE18-AE49</f>
        <v>-2518</v>
      </c>
      <c r="AF51" s="211">
        <f t="shared" si="43"/>
        <v>-908</v>
      </c>
      <c r="AG51" s="211">
        <f>AG18-AG49</f>
        <v>-1143</v>
      </c>
      <c r="AH51" s="211">
        <f t="shared" si="43"/>
        <v>78</v>
      </c>
      <c r="AI51" s="211">
        <f t="shared" ref="AI51" si="44">AI18-AI49</f>
        <v>-707</v>
      </c>
      <c r="AJ51" s="211">
        <f t="shared" si="39"/>
        <v>-552</v>
      </c>
      <c r="AK51" s="564"/>
    </row>
    <row r="52" spans="1:37" ht="12.95" customHeight="1">
      <c r="C52" s="190"/>
      <c r="D52" s="19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564"/>
    </row>
    <row r="53" spans="1:37" ht="12.95" customHeight="1">
      <c r="B53" s="164" t="s">
        <v>57</v>
      </c>
      <c r="C53" s="190"/>
      <c r="D53" s="19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564"/>
    </row>
    <row r="54" spans="1:37">
      <c r="A54" s="188">
        <v>27</v>
      </c>
      <c r="B54" s="190" t="s">
        <v>58</v>
      </c>
      <c r="D54" s="190"/>
      <c r="E54" s="211">
        <f>'ADJ DETAIL INPUT'!E54</f>
        <v>4339</v>
      </c>
      <c r="F54" s="211">
        <f>'ADJ DETAIL INPUT'!F54</f>
        <v>0</v>
      </c>
      <c r="G54" s="211">
        <f>'ADJ DETAIL INPUT'!G54</f>
        <v>-0.35</v>
      </c>
      <c r="H54" s="211">
        <f>'ADJ DETAIL INPUT'!H54</f>
        <v>0</v>
      </c>
      <c r="I54" s="211">
        <f>'ADJ DETAIL INPUT'!I54</f>
        <v>-3.8499999999999996</v>
      </c>
      <c r="J54" s="211">
        <f>'ADJ DETAIL INPUT'!J54</f>
        <v>-28</v>
      </c>
      <c r="K54" s="211">
        <f>'ADJ DETAIL INPUT'!K54</f>
        <v>52.5</v>
      </c>
      <c r="L54" s="211">
        <f>'ADJ DETAIL INPUT'!L54</f>
        <v>-11.2</v>
      </c>
      <c r="M54" s="211">
        <f>'ADJ DETAIL INPUT'!M54</f>
        <v>-98</v>
      </c>
      <c r="N54" s="211">
        <f>'ADJ DETAIL INPUT'!N54</f>
        <v>74</v>
      </c>
      <c r="O54" s="211">
        <f>'ADJ DETAIL INPUT'!O54</f>
        <v>0.7</v>
      </c>
      <c r="P54" s="211">
        <f>'ADJ DETAIL INPUT'!P54</f>
        <v>-114.8</v>
      </c>
      <c r="Q54" s="211">
        <f>'ADJ DETAIL INPUT'!Q54</f>
        <v>1.75</v>
      </c>
      <c r="R54" s="211">
        <f>'ADJ DETAIL INPUT'!R54</f>
        <v>-267.39999999999998</v>
      </c>
      <c r="S54" s="211">
        <f>'ADJ DETAIL INPUT'!S54</f>
        <v>0</v>
      </c>
      <c r="T54" s="211">
        <f>'ADJ DETAIL INPUT'!T54</f>
        <v>-1.75</v>
      </c>
      <c r="U54" s="211">
        <f>'ADJ DETAIL INPUT'!U54</f>
        <v>116.55</v>
      </c>
      <c r="V54" s="211">
        <f>'ADJ DETAIL INPUT'!V54</f>
        <v>136</v>
      </c>
      <c r="W54" s="211">
        <f>'ADJ DETAIL INPUT'!Y54</f>
        <v>-403.7372499999999</v>
      </c>
      <c r="X54" s="211">
        <f>'ADJ DETAIL INPUT'!Z54</f>
        <v>-17.486699999999999</v>
      </c>
      <c r="Y54" s="211">
        <f>'ADJ DETAIL INPUT'!AA54</f>
        <v>-250.87754999999999</v>
      </c>
      <c r="Z54" s="211">
        <f>'ADJ DETAIL INPUT'!AB54</f>
        <v>-26.95</v>
      </c>
      <c r="AA54" s="211">
        <f>'ADJ DETAIL INPUT'!AC54</f>
        <v>-177.45</v>
      </c>
      <c r="AB54" s="211">
        <f>'ADJ DETAIL INPUT'!AD54</f>
        <v>-144.19999999999999</v>
      </c>
      <c r="AC54" s="211">
        <f>'ADJ DETAIL INPUT'!AE54</f>
        <v>2983.75</v>
      </c>
      <c r="AD54" s="211">
        <f>'ADJ DETAIL INPUT'!AF54</f>
        <v>-392.34999999999997</v>
      </c>
      <c r="AE54" s="211">
        <f>'ADJ DETAIL INPUT'!AH54</f>
        <v>-881.3</v>
      </c>
      <c r="AF54" s="211">
        <f>'ADJ DETAIL INPUT'!AI54</f>
        <v>-317.79999999999995</v>
      </c>
      <c r="AG54" s="211">
        <f>'ADJ DETAIL INPUT'!AJ54</f>
        <v>-400.04999999999995</v>
      </c>
      <c r="AH54" s="211">
        <f>'ADJ DETAIL INPUT'!AK54</f>
        <v>27.299999999999997</v>
      </c>
      <c r="AI54" s="211">
        <f>'ADJ DETAIL INPUT'!AL54</f>
        <v>-247.45</v>
      </c>
      <c r="AJ54" s="211">
        <f>'ADJ DETAIL INPUT'!AN54</f>
        <v>-193.2</v>
      </c>
      <c r="AK54" s="564"/>
    </row>
    <row r="55" spans="1:37">
      <c r="A55" s="188">
        <v>28</v>
      </c>
      <c r="B55" s="190" t="s">
        <v>195</v>
      </c>
      <c r="D55" s="190"/>
      <c r="E55" s="211">
        <f>'ADJ DETAIL INPUT'!E55</f>
        <v>0</v>
      </c>
      <c r="F55" s="211">
        <f>'ADJ DETAIL INPUT'!F55</f>
        <v>28.758519999999997</v>
      </c>
      <c r="G55" s="211">
        <f>'ADJ DETAIL INPUT'!G55</f>
        <v>0</v>
      </c>
      <c r="H55" s="211">
        <f>'ADJ DETAIL INPUT'!H55</f>
        <v>-98.368934999999993</v>
      </c>
      <c r="I55" s="211">
        <f>'ADJ DETAIL INPUT'!I55</f>
        <v>0</v>
      </c>
      <c r="J55" s="211">
        <f>'ADJ DETAIL INPUT'!J55</f>
        <v>0</v>
      </c>
      <c r="K55" s="211">
        <f>'ADJ DETAIL INPUT'!K55</f>
        <v>0</v>
      </c>
      <c r="L55" s="211">
        <f>'ADJ DETAIL INPUT'!L55</f>
        <v>0</v>
      </c>
      <c r="M55" s="211">
        <f>'ADJ DETAIL INPUT'!M55</f>
        <v>0</v>
      </c>
      <c r="N55" s="211">
        <f>'ADJ DETAIL INPUT'!N55</f>
        <v>0</v>
      </c>
      <c r="O55" s="211">
        <f>'ADJ DETAIL INPUT'!O55</f>
        <v>0</v>
      </c>
      <c r="P55" s="211">
        <f>'ADJ DETAIL INPUT'!P55</f>
        <v>0</v>
      </c>
      <c r="Q55" s="211">
        <f>'ADJ DETAIL INPUT'!Q55</f>
        <v>0</v>
      </c>
      <c r="R55" s="211">
        <f>'ADJ DETAIL INPUT'!R55</f>
        <v>0</v>
      </c>
      <c r="S55" s="211">
        <f>'ADJ DETAIL INPUT'!S55</f>
        <v>0</v>
      </c>
      <c r="T55" s="211">
        <f>'ADJ DETAIL INPUT'!T55</f>
        <v>0</v>
      </c>
      <c r="U55" s="211">
        <f>'ADJ DETAIL INPUT'!U55</f>
        <v>0</v>
      </c>
      <c r="V55" s="211">
        <f>'ADJ DETAIL INPUT'!V55</f>
        <v>0</v>
      </c>
      <c r="W55" s="211">
        <f>'ADJ DETAIL INPUT'!Y55</f>
        <v>0</v>
      </c>
      <c r="X55" s="211">
        <f>'ADJ DETAIL INPUT'!Z55</f>
        <v>0</v>
      </c>
      <c r="Y55" s="211">
        <f>'ADJ DETAIL INPUT'!AA55</f>
        <v>0</v>
      </c>
      <c r="Z55" s="211">
        <f>'ADJ DETAIL INPUT'!AB55</f>
        <v>0</v>
      </c>
      <c r="AA55" s="211">
        <f>'ADJ DETAIL INPUT'!AC55</f>
        <v>0</v>
      </c>
      <c r="AB55" s="211">
        <f>'ADJ DETAIL INPUT'!AD55</f>
        <v>0</v>
      </c>
      <c r="AC55" s="211">
        <f>'ADJ DETAIL INPUT'!AE55</f>
        <v>0</v>
      </c>
      <c r="AD55" s="211">
        <f>'ADJ DETAIL INPUT'!AF55</f>
        <v>-28.075599999999994</v>
      </c>
      <c r="AE55" s="211">
        <f>'ADJ DETAIL INPUT'!AH55</f>
        <v>-272.13413499999996</v>
      </c>
      <c r="AF55" s="211">
        <f>'ADJ DETAIL INPUT'!AI55</f>
        <v>-54.121409999999997</v>
      </c>
      <c r="AG55" s="211">
        <f>'ADJ DETAIL INPUT'!AJ55</f>
        <v>0</v>
      </c>
      <c r="AH55" s="211">
        <f>'ADJ DETAIL INPUT'!AK55</f>
        <v>0</v>
      </c>
      <c r="AI55" s="211">
        <f>'ADJ DETAIL INPUT'!AL55</f>
        <v>0</v>
      </c>
      <c r="AJ55" s="211">
        <f>'ADJ DETAIL INPUT'!AN55</f>
        <v>-75.073774999999998</v>
      </c>
      <c r="AK55" s="564"/>
    </row>
    <row r="56" spans="1:37">
      <c r="A56" s="188">
        <v>29</v>
      </c>
      <c r="B56" s="190" t="s">
        <v>59</v>
      </c>
      <c r="D56" s="190"/>
      <c r="E56" s="211">
        <f>'ADJ DETAIL INPUT'!E56</f>
        <v>2153</v>
      </c>
      <c r="F56" s="211">
        <f>'ADJ DETAIL INPUT'!F56</f>
        <v>0</v>
      </c>
      <c r="G56" s="211">
        <f>'ADJ DETAIL INPUT'!G56</f>
        <v>0</v>
      </c>
      <c r="H56" s="211">
        <f>'ADJ DETAIL INPUT'!H56</f>
        <v>0</v>
      </c>
      <c r="I56" s="211">
        <f>'ADJ DETAIL INPUT'!I56</f>
        <v>0</v>
      </c>
      <c r="J56" s="211">
        <f>'ADJ DETAIL INPUT'!J56</f>
        <v>0</v>
      </c>
      <c r="K56" s="211">
        <f>'ADJ DETAIL INPUT'!K56</f>
        <v>0</v>
      </c>
      <c r="L56" s="211">
        <f>'ADJ DETAIL INPUT'!L56</f>
        <v>0</v>
      </c>
      <c r="M56" s="211">
        <f>'ADJ DETAIL INPUT'!M56</f>
        <v>0</v>
      </c>
      <c r="N56" s="211">
        <f>'ADJ DETAIL INPUT'!N56</f>
        <v>-74</v>
      </c>
      <c r="O56" s="211">
        <f>'ADJ DETAIL INPUT'!O56</f>
        <v>0</v>
      </c>
      <c r="P56" s="211">
        <f>'ADJ DETAIL INPUT'!P56</f>
        <v>0</v>
      </c>
      <c r="Q56" s="211">
        <f>'ADJ DETAIL INPUT'!Q56</f>
        <v>0</v>
      </c>
      <c r="R56" s="211">
        <f>'ADJ DETAIL INPUT'!R56</f>
        <v>0</v>
      </c>
      <c r="S56" s="211">
        <f>'ADJ DETAIL INPUT'!S56</f>
        <v>0</v>
      </c>
      <c r="T56" s="211">
        <f>'ADJ DETAIL INPUT'!T56</f>
        <v>0</v>
      </c>
      <c r="U56" s="211">
        <f>'ADJ DETAIL INPUT'!U56</f>
        <v>0</v>
      </c>
      <c r="V56" s="211">
        <f>'ADJ DETAIL INPUT'!V56</f>
        <v>0</v>
      </c>
      <c r="W56" s="211">
        <f>'ADJ DETAIL INPUT'!Y56</f>
        <v>0</v>
      </c>
      <c r="X56" s="211">
        <f>'ADJ DETAIL INPUT'!Z56</f>
        <v>0</v>
      </c>
      <c r="Y56" s="211">
        <f>'ADJ DETAIL INPUT'!AA56</f>
        <v>0</v>
      </c>
      <c r="Z56" s="211">
        <f>'ADJ DETAIL INPUT'!AB56</f>
        <v>0</v>
      </c>
      <c r="AA56" s="211">
        <f>'ADJ DETAIL INPUT'!AC56</f>
        <v>0</v>
      </c>
      <c r="AB56" s="211">
        <f>'ADJ DETAIL INPUT'!AD56</f>
        <v>0</v>
      </c>
      <c r="AC56" s="211">
        <f>'ADJ DETAIL INPUT'!AE56</f>
        <v>0</v>
      </c>
      <c r="AD56" s="211">
        <f>'ADJ DETAIL INPUT'!AF56</f>
        <v>0</v>
      </c>
      <c r="AE56" s="211">
        <f>'ADJ DETAIL INPUT'!AH56</f>
        <v>0</v>
      </c>
      <c r="AF56" s="211">
        <f>'ADJ DETAIL INPUT'!AI56</f>
        <v>0</v>
      </c>
      <c r="AG56" s="211">
        <f>'ADJ DETAIL INPUT'!AJ56</f>
        <v>0</v>
      </c>
      <c r="AH56" s="211">
        <f>'ADJ DETAIL INPUT'!AK56</f>
        <v>0</v>
      </c>
      <c r="AI56" s="211">
        <f>'ADJ DETAIL INPUT'!AL56</f>
        <v>0</v>
      </c>
      <c r="AJ56" s="211">
        <f>'ADJ DETAIL INPUT'!AN56</f>
        <v>0</v>
      </c>
      <c r="AK56" s="564"/>
    </row>
    <row r="57" spans="1:37">
      <c r="A57" s="188">
        <v>30</v>
      </c>
      <c r="B57" s="190" t="s">
        <v>60</v>
      </c>
      <c r="D57" s="190"/>
      <c r="E57" s="212">
        <f>'ADJ DETAIL INPUT'!E57</f>
        <v>-22</v>
      </c>
      <c r="F57" s="212">
        <f>'ADJ DETAIL INPUT'!F57</f>
        <v>0</v>
      </c>
      <c r="G57" s="212">
        <f>'ADJ DETAIL INPUT'!G57</f>
        <v>0</v>
      </c>
      <c r="H57" s="212">
        <f>'ADJ DETAIL INPUT'!H57</f>
        <v>0</v>
      </c>
      <c r="I57" s="212">
        <f>'ADJ DETAIL INPUT'!I57</f>
        <v>0</v>
      </c>
      <c r="J57" s="212">
        <f>'ADJ DETAIL INPUT'!J57</f>
        <v>0</v>
      </c>
      <c r="K57" s="212">
        <f>'ADJ DETAIL INPUT'!K57</f>
        <v>0</v>
      </c>
      <c r="L57" s="212">
        <f>'ADJ DETAIL INPUT'!L57</f>
        <v>0</v>
      </c>
      <c r="M57" s="212">
        <f>'ADJ DETAIL INPUT'!M57</f>
        <v>0</v>
      </c>
      <c r="N57" s="212">
        <f>'ADJ DETAIL INPUT'!N57</f>
        <v>0</v>
      </c>
      <c r="O57" s="212">
        <f>'ADJ DETAIL INPUT'!O57</f>
        <v>0</v>
      </c>
      <c r="P57" s="212">
        <f>'ADJ DETAIL INPUT'!P57</f>
        <v>0</v>
      </c>
      <c r="Q57" s="212">
        <f>'ADJ DETAIL INPUT'!Q57</f>
        <v>0</v>
      </c>
      <c r="R57" s="212">
        <f>'ADJ DETAIL INPUT'!R57</f>
        <v>0</v>
      </c>
      <c r="S57" s="212">
        <f>'ADJ DETAIL INPUT'!S57</f>
        <v>0</v>
      </c>
      <c r="T57" s="212">
        <f>'ADJ DETAIL INPUT'!T57</f>
        <v>0</v>
      </c>
      <c r="U57" s="212">
        <f>'ADJ DETAIL INPUT'!U57</f>
        <v>0</v>
      </c>
      <c r="V57" s="212">
        <f>'ADJ DETAIL INPUT'!V57</f>
        <v>0</v>
      </c>
      <c r="W57" s="212">
        <f>'ADJ DETAIL INPUT'!Y57</f>
        <v>0</v>
      </c>
      <c r="X57" s="212">
        <f>'ADJ DETAIL INPUT'!Z57</f>
        <v>0</v>
      </c>
      <c r="Y57" s="212">
        <f>'ADJ DETAIL INPUT'!AA57</f>
        <v>0</v>
      </c>
      <c r="Z57" s="212">
        <f>'ADJ DETAIL INPUT'!AB57</f>
        <v>0</v>
      </c>
      <c r="AA57" s="212">
        <f>'ADJ DETAIL INPUT'!AC57</f>
        <v>0</v>
      </c>
      <c r="AB57" s="212">
        <f>'ADJ DETAIL INPUT'!AD57</f>
        <v>0</v>
      </c>
      <c r="AC57" s="212">
        <f>'ADJ DETAIL INPUT'!AE57</f>
        <v>0</v>
      </c>
      <c r="AD57" s="212">
        <f>'ADJ DETAIL INPUT'!AF57</f>
        <v>0</v>
      </c>
      <c r="AE57" s="212">
        <f>'ADJ DETAIL INPUT'!AH57</f>
        <v>0</v>
      </c>
      <c r="AF57" s="212">
        <f>'ADJ DETAIL INPUT'!AI57</f>
        <v>0</v>
      </c>
      <c r="AG57" s="212">
        <f>'ADJ DETAIL INPUT'!AJ57</f>
        <v>0</v>
      </c>
      <c r="AH57" s="212">
        <f>'ADJ DETAIL INPUT'!AK57</f>
        <v>0</v>
      </c>
      <c r="AI57" s="212">
        <f>'ADJ DETAIL INPUT'!AL57</f>
        <v>0</v>
      </c>
      <c r="AJ57" s="212">
        <f>'ADJ DETAIL INPUT'!AN57</f>
        <v>0</v>
      </c>
      <c r="AK57" s="564"/>
    </row>
    <row r="58" spans="1:37">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564"/>
    </row>
    <row r="59" spans="1:37" s="189" customFormat="1" ht="12.75" thickBot="1">
      <c r="A59" s="188">
        <v>31</v>
      </c>
      <c r="B59" s="189" t="s">
        <v>61</v>
      </c>
      <c r="E59" s="335">
        <f>E51-SUM(E54:E57)</f>
        <v>15002</v>
      </c>
      <c r="F59" s="335">
        <f t="shared" ref="F59:AJ59" si="45">F51-SUM(F54:F57)</f>
        <v>-28.758519999999997</v>
      </c>
      <c r="G59" s="335">
        <f t="shared" si="45"/>
        <v>-0.65</v>
      </c>
      <c r="H59" s="335">
        <f t="shared" si="45"/>
        <v>98.368934999999993</v>
      </c>
      <c r="I59" s="335">
        <f t="shared" si="45"/>
        <v>-7.15</v>
      </c>
      <c r="J59" s="335">
        <f t="shared" si="45"/>
        <v>-52</v>
      </c>
      <c r="K59" s="335">
        <f t="shared" si="45"/>
        <v>97.5</v>
      </c>
      <c r="L59" s="335">
        <f t="shared" si="45"/>
        <v>-20.8</v>
      </c>
      <c r="M59" s="335">
        <f t="shared" si="45"/>
        <v>-182</v>
      </c>
      <c r="N59" s="335">
        <f t="shared" si="45"/>
        <v>0</v>
      </c>
      <c r="O59" s="335">
        <f t="shared" si="45"/>
        <v>1.3</v>
      </c>
      <c r="P59" s="335">
        <f t="shared" si="45"/>
        <v>-213.2</v>
      </c>
      <c r="Q59" s="335">
        <f t="shared" si="45"/>
        <v>3.25</v>
      </c>
      <c r="R59" s="335">
        <f t="shared" si="45"/>
        <v>-496.6</v>
      </c>
      <c r="S59" s="335">
        <f t="shared" ref="S59" si="46">S51-SUM(S54:S57)</f>
        <v>0</v>
      </c>
      <c r="T59" s="335">
        <f t="shared" si="45"/>
        <v>-3.25</v>
      </c>
      <c r="U59" s="335">
        <f t="shared" si="45"/>
        <v>216.45</v>
      </c>
      <c r="V59" s="335">
        <f t="shared" si="45"/>
        <v>-136</v>
      </c>
      <c r="W59" s="335">
        <f t="shared" si="45"/>
        <v>-749.79774999999995</v>
      </c>
      <c r="X59" s="335">
        <f t="shared" ref="X59" si="47">X51-SUM(X54:X57)</f>
        <v>-32.475300000000004</v>
      </c>
      <c r="Y59" s="335">
        <f t="shared" si="45"/>
        <v>-465.91545000000002</v>
      </c>
      <c r="Z59" s="335">
        <f t="shared" si="45"/>
        <v>-50.05</v>
      </c>
      <c r="AA59" s="335">
        <f t="shared" si="45"/>
        <v>-329.55</v>
      </c>
      <c r="AB59" s="335">
        <f t="shared" si="45"/>
        <v>-267.8</v>
      </c>
      <c r="AC59" s="335">
        <f t="shared" ref="AC59" si="48">AC51-SUM(AC54:AC57)</f>
        <v>5541.25</v>
      </c>
      <c r="AD59" s="335">
        <f t="shared" si="45"/>
        <v>-700.57439999999997</v>
      </c>
      <c r="AE59" s="335">
        <f t="shared" ref="AE59:AH59" si="49">AE51-SUM(AE54:AE57)</f>
        <v>-1364.565865</v>
      </c>
      <c r="AF59" s="335">
        <f t="shared" si="49"/>
        <v>-536.07859000000008</v>
      </c>
      <c r="AG59" s="335">
        <f>AG51-SUM(AG54:AG57)</f>
        <v>-742.95</v>
      </c>
      <c r="AH59" s="335">
        <f t="shared" si="49"/>
        <v>50.7</v>
      </c>
      <c r="AI59" s="335">
        <f t="shared" ref="AI59" si="50">AI51-SUM(AI54:AI57)</f>
        <v>-459.55</v>
      </c>
      <c r="AJ59" s="335">
        <f t="shared" si="45"/>
        <v>-283.726225</v>
      </c>
      <c r="AK59" s="572"/>
    </row>
    <row r="60" spans="1:37" ht="12.75" thickTop="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564"/>
    </row>
    <row r="61" spans="1:37">
      <c r="B61" s="164" t="s">
        <v>105</v>
      </c>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564"/>
    </row>
    <row r="62" spans="1:37">
      <c r="B62" s="164" t="s">
        <v>106</v>
      </c>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564"/>
    </row>
    <row r="63" spans="1:37">
      <c r="A63" s="188">
        <v>32</v>
      </c>
      <c r="B63" s="190"/>
      <c r="C63" s="190" t="s">
        <v>44</v>
      </c>
      <c r="D63" s="190"/>
      <c r="E63" s="291">
        <f>'ADJ DETAIL INPUT'!E63</f>
        <v>24932</v>
      </c>
      <c r="F63" s="291">
        <f>'ADJ DETAIL INPUT'!F63</f>
        <v>0</v>
      </c>
      <c r="G63" s="291">
        <f>'ADJ DETAIL INPUT'!G63</f>
        <v>0</v>
      </c>
      <c r="H63" s="291">
        <f>'ADJ DETAIL INPUT'!H63</f>
        <v>0</v>
      </c>
      <c r="I63" s="291">
        <f>'ADJ DETAIL INPUT'!I63</f>
        <v>0</v>
      </c>
      <c r="J63" s="291">
        <f>'ADJ DETAIL INPUT'!J63</f>
        <v>0</v>
      </c>
      <c r="K63" s="291">
        <f>'ADJ DETAIL INPUT'!K63</f>
        <v>0</v>
      </c>
      <c r="L63" s="291">
        <f>'ADJ DETAIL INPUT'!L63</f>
        <v>0</v>
      </c>
      <c r="M63" s="291">
        <f>'ADJ DETAIL INPUT'!M63</f>
        <v>0</v>
      </c>
      <c r="N63" s="291">
        <f>'ADJ DETAIL INPUT'!N63</f>
        <v>0</v>
      </c>
      <c r="O63" s="291">
        <f>'ADJ DETAIL INPUT'!O63</f>
        <v>0</v>
      </c>
      <c r="P63" s="291">
        <f>'ADJ DETAIL INPUT'!P63</f>
        <v>0</v>
      </c>
      <c r="Q63" s="291">
        <f>'ADJ DETAIL INPUT'!Q63</f>
        <v>0</v>
      </c>
      <c r="R63" s="291">
        <f>'ADJ DETAIL INPUT'!R63</f>
        <v>0</v>
      </c>
      <c r="S63" s="291">
        <f>'ADJ DETAIL INPUT'!S63</f>
        <v>0</v>
      </c>
      <c r="T63" s="291">
        <f>'ADJ DETAIL INPUT'!T63</f>
        <v>0</v>
      </c>
      <c r="U63" s="291">
        <f>'ADJ DETAIL INPUT'!U63</f>
        <v>0</v>
      </c>
      <c r="V63" s="291">
        <f>'ADJ DETAIL INPUT'!V63</f>
        <v>0</v>
      </c>
      <c r="W63" s="291">
        <f>'ADJ DETAIL INPUT'!Y63</f>
        <v>0</v>
      </c>
      <c r="X63" s="291">
        <f>'ADJ DETAIL INPUT'!Z63</f>
        <v>0</v>
      </c>
      <c r="Y63" s="291">
        <f>'ADJ DETAIL INPUT'!AA63</f>
        <v>0</v>
      </c>
      <c r="Z63" s="291">
        <f>'ADJ DETAIL INPUT'!AB63</f>
        <v>0</v>
      </c>
      <c r="AA63" s="291">
        <f>'ADJ DETAIL INPUT'!AC63</f>
        <v>0</v>
      </c>
      <c r="AB63" s="291">
        <f>'ADJ DETAIL INPUT'!AD63</f>
        <v>0</v>
      </c>
      <c r="AC63" s="291">
        <f>'ADJ DETAIL INPUT'!AE63</f>
        <v>0</v>
      </c>
      <c r="AD63" s="291">
        <f>'ADJ DETAIL INPUT'!AF63</f>
        <v>287</v>
      </c>
      <c r="AE63" s="291">
        <f>'ADJ DETAIL INPUT'!AH63</f>
        <v>769</v>
      </c>
      <c r="AF63" s="291">
        <f>'ADJ DETAIL INPUT'!AI63</f>
        <v>333</v>
      </c>
      <c r="AG63" s="291">
        <f>'ADJ DETAIL INPUT'!AJ63</f>
        <v>0</v>
      </c>
      <c r="AH63" s="291">
        <f>'ADJ DETAIL INPUT'!AK63</f>
        <v>0</v>
      </c>
      <c r="AI63" s="291">
        <f>'ADJ DETAIL INPUT'!AL63</f>
        <v>0</v>
      </c>
      <c r="AJ63" s="291">
        <f>'ADJ DETAIL INPUT'!AN63</f>
        <v>0</v>
      </c>
      <c r="AK63" s="572"/>
    </row>
    <row r="64" spans="1:37">
      <c r="A64" s="188">
        <v>33</v>
      </c>
      <c r="B64" s="190"/>
      <c r="C64" s="190" t="s">
        <v>63</v>
      </c>
      <c r="D64" s="190"/>
      <c r="E64" s="211">
        <f>'ADJ DETAIL INPUT'!E64</f>
        <v>332439</v>
      </c>
      <c r="F64" s="211">
        <f>'ADJ DETAIL INPUT'!F64</f>
        <v>0</v>
      </c>
      <c r="G64" s="211">
        <f>'ADJ DETAIL INPUT'!G64</f>
        <v>0</v>
      </c>
      <c r="H64" s="211">
        <f>'ADJ DETAIL INPUT'!H64</f>
        <v>0</v>
      </c>
      <c r="I64" s="211">
        <f>'ADJ DETAIL INPUT'!I64</f>
        <v>0</v>
      </c>
      <c r="J64" s="211">
        <f>'ADJ DETAIL INPUT'!J64</f>
        <v>0</v>
      </c>
      <c r="K64" s="211">
        <f>'ADJ DETAIL INPUT'!K64</f>
        <v>0</v>
      </c>
      <c r="L64" s="211">
        <f>'ADJ DETAIL INPUT'!L64</f>
        <v>0</v>
      </c>
      <c r="M64" s="211">
        <f>'ADJ DETAIL INPUT'!M64</f>
        <v>0</v>
      </c>
      <c r="N64" s="211">
        <f>'ADJ DETAIL INPUT'!N64</f>
        <v>0</v>
      </c>
      <c r="O64" s="211">
        <f>'ADJ DETAIL INPUT'!O64</f>
        <v>0</v>
      </c>
      <c r="P64" s="211">
        <f>'ADJ DETAIL INPUT'!P64</f>
        <v>0</v>
      </c>
      <c r="Q64" s="211">
        <f>'ADJ DETAIL INPUT'!Q64</f>
        <v>0</v>
      </c>
      <c r="R64" s="211">
        <f>'ADJ DETAIL INPUT'!R64</f>
        <v>0</v>
      </c>
      <c r="S64" s="211">
        <f>'ADJ DETAIL INPUT'!S64</f>
        <v>0</v>
      </c>
      <c r="T64" s="211">
        <f>'ADJ DETAIL INPUT'!T64</f>
        <v>0</v>
      </c>
      <c r="U64" s="211">
        <f>'ADJ DETAIL INPUT'!U64</f>
        <v>0</v>
      </c>
      <c r="V64" s="211">
        <f>'ADJ DETAIL INPUT'!V64</f>
        <v>0</v>
      </c>
      <c r="W64" s="211">
        <f>'ADJ DETAIL INPUT'!Y64</f>
        <v>0</v>
      </c>
      <c r="X64" s="211">
        <f>'ADJ DETAIL INPUT'!Z64</f>
        <v>0</v>
      </c>
      <c r="Y64" s="211">
        <f>'ADJ DETAIL INPUT'!AA64</f>
        <v>0</v>
      </c>
      <c r="Z64" s="211">
        <f>'ADJ DETAIL INPUT'!AB64</f>
        <v>0</v>
      </c>
      <c r="AA64" s="211">
        <f>'ADJ DETAIL INPUT'!AC64</f>
        <v>0</v>
      </c>
      <c r="AB64" s="211">
        <f>'ADJ DETAIL INPUT'!AD64</f>
        <v>0</v>
      </c>
      <c r="AC64" s="211">
        <f>'ADJ DETAIL INPUT'!AE64</f>
        <v>0</v>
      </c>
      <c r="AD64" s="211">
        <f>'ADJ DETAIL INPUT'!AF64</f>
        <v>11785</v>
      </c>
      <c r="AE64" s="211">
        <f>'ADJ DETAIL INPUT'!AH64</f>
        <v>18309</v>
      </c>
      <c r="AF64" s="211">
        <f>'ADJ DETAIL INPUT'!AI64</f>
        <v>9469</v>
      </c>
      <c r="AG64" s="211">
        <f>'ADJ DETAIL INPUT'!AJ64</f>
        <v>0</v>
      </c>
      <c r="AH64" s="211">
        <f>'ADJ DETAIL INPUT'!AK64</f>
        <v>0</v>
      </c>
      <c r="AI64" s="211">
        <f>'ADJ DETAIL INPUT'!AL64</f>
        <v>0</v>
      </c>
      <c r="AJ64" s="211">
        <f>'ADJ DETAIL INPUT'!AN64</f>
        <v>0</v>
      </c>
      <c r="AK64" s="564"/>
    </row>
    <row r="65" spans="1:37">
      <c r="A65" s="188">
        <v>34</v>
      </c>
      <c r="B65" s="190"/>
      <c r="C65" s="190" t="s">
        <v>64</v>
      </c>
      <c r="D65" s="190"/>
      <c r="E65" s="212">
        <f>'ADJ DETAIL INPUT'!E65</f>
        <v>58679</v>
      </c>
      <c r="F65" s="212">
        <f>'ADJ DETAIL INPUT'!F65</f>
        <v>0</v>
      </c>
      <c r="G65" s="212">
        <f>'ADJ DETAIL INPUT'!G65</f>
        <v>0</v>
      </c>
      <c r="H65" s="212">
        <f>'ADJ DETAIL INPUT'!H65</f>
        <v>0</v>
      </c>
      <c r="I65" s="212">
        <f>'ADJ DETAIL INPUT'!I65</f>
        <v>0</v>
      </c>
      <c r="J65" s="212">
        <f>'ADJ DETAIL INPUT'!J65</f>
        <v>0</v>
      </c>
      <c r="K65" s="212">
        <f>'ADJ DETAIL INPUT'!K65</f>
        <v>0</v>
      </c>
      <c r="L65" s="212">
        <f>'ADJ DETAIL INPUT'!L65</f>
        <v>0</v>
      </c>
      <c r="M65" s="212">
        <f>'ADJ DETAIL INPUT'!M65</f>
        <v>0</v>
      </c>
      <c r="N65" s="212">
        <f>'ADJ DETAIL INPUT'!N65</f>
        <v>0</v>
      </c>
      <c r="O65" s="212">
        <f>'ADJ DETAIL INPUT'!O65</f>
        <v>0</v>
      </c>
      <c r="P65" s="212">
        <f>'ADJ DETAIL INPUT'!P65</f>
        <v>0</v>
      </c>
      <c r="Q65" s="212">
        <f>'ADJ DETAIL INPUT'!Q65</f>
        <v>0</v>
      </c>
      <c r="R65" s="212">
        <f>'ADJ DETAIL INPUT'!R65</f>
        <v>0</v>
      </c>
      <c r="S65" s="212">
        <f>'ADJ DETAIL INPUT'!S65</f>
        <v>0</v>
      </c>
      <c r="T65" s="212">
        <f>'ADJ DETAIL INPUT'!T65</f>
        <v>0</v>
      </c>
      <c r="U65" s="212">
        <f>'ADJ DETAIL INPUT'!U65</f>
        <v>0</v>
      </c>
      <c r="V65" s="212">
        <f>'ADJ DETAIL INPUT'!V65</f>
        <v>0</v>
      </c>
      <c r="W65" s="212">
        <f>'ADJ DETAIL INPUT'!Y65</f>
        <v>0</v>
      </c>
      <c r="X65" s="212">
        <f>'ADJ DETAIL INPUT'!Z65</f>
        <v>0</v>
      </c>
      <c r="Y65" s="212">
        <f>'ADJ DETAIL INPUT'!AA65</f>
        <v>0</v>
      </c>
      <c r="Z65" s="212">
        <f>'ADJ DETAIL INPUT'!AB65</f>
        <v>0</v>
      </c>
      <c r="AA65" s="212">
        <f>'ADJ DETAIL INPUT'!AC65</f>
        <v>0</v>
      </c>
      <c r="AB65" s="212">
        <f>'ADJ DETAIL INPUT'!AD65</f>
        <v>0</v>
      </c>
      <c r="AC65" s="212">
        <f>'ADJ DETAIL INPUT'!AE65</f>
        <v>0</v>
      </c>
      <c r="AD65" s="212">
        <f>'ADJ DETAIL INPUT'!AF65</f>
        <v>4378</v>
      </c>
      <c r="AE65" s="212">
        <f>'ADJ DETAIL INPUT'!AH65</f>
        <v>22857</v>
      </c>
      <c r="AF65" s="212">
        <f>'ADJ DETAIL INPUT'!AI65</f>
        <v>4528</v>
      </c>
      <c r="AG65" s="212">
        <f>'ADJ DETAIL INPUT'!AJ65</f>
        <v>0</v>
      </c>
      <c r="AH65" s="212">
        <f>'ADJ DETAIL INPUT'!AK65</f>
        <v>0</v>
      </c>
      <c r="AI65" s="212">
        <f>'ADJ DETAIL INPUT'!AL65</f>
        <v>0</v>
      </c>
      <c r="AJ65" s="212">
        <f>'ADJ DETAIL INPUT'!AN65</f>
        <v>0</v>
      </c>
      <c r="AK65" s="564"/>
    </row>
    <row r="66" spans="1:37" ht="18" customHeight="1">
      <c r="A66" s="188">
        <v>35</v>
      </c>
      <c r="B66" s="190" t="s">
        <v>65</v>
      </c>
      <c r="C66" s="190"/>
      <c r="E66" s="211">
        <f>SUM(E63:E65)</f>
        <v>416050</v>
      </c>
      <c r="F66" s="211">
        <f t="shared" ref="F66:AJ66" si="51">SUM(F63:F65)</f>
        <v>0</v>
      </c>
      <c r="G66" s="211">
        <f t="shared" si="51"/>
        <v>0</v>
      </c>
      <c r="H66" s="211">
        <f t="shared" si="51"/>
        <v>0</v>
      </c>
      <c r="I66" s="211">
        <f t="shared" si="51"/>
        <v>0</v>
      </c>
      <c r="J66" s="211">
        <f t="shared" si="51"/>
        <v>0</v>
      </c>
      <c r="K66" s="211">
        <f t="shared" si="51"/>
        <v>0</v>
      </c>
      <c r="L66" s="211">
        <f t="shared" si="51"/>
        <v>0</v>
      </c>
      <c r="M66" s="211">
        <f t="shared" si="51"/>
        <v>0</v>
      </c>
      <c r="N66" s="211">
        <f t="shared" si="51"/>
        <v>0</v>
      </c>
      <c r="O66" s="211">
        <f t="shared" si="51"/>
        <v>0</v>
      </c>
      <c r="P66" s="211">
        <f t="shared" si="51"/>
        <v>0</v>
      </c>
      <c r="Q66" s="211">
        <f t="shared" si="51"/>
        <v>0</v>
      </c>
      <c r="R66" s="211">
        <f t="shared" si="51"/>
        <v>0</v>
      </c>
      <c r="S66" s="211">
        <f t="shared" ref="S66" si="52">SUM(S63:S65)</f>
        <v>0</v>
      </c>
      <c r="T66" s="211">
        <f t="shared" si="51"/>
        <v>0</v>
      </c>
      <c r="U66" s="211">
        <f t="shared" si="51"/>
        <v>0</v>
      </c>
      <c r="V66" s="211">
        <f t="shared" si="51"/>
        <v>0</v>
      </c>
      <c r="W66" s="211">
        <f t="shared" si="51"/>
        <v>0</v>
      </c>
      <c r="X66" s="211">
        <f t="shared" ref="X66" si="53">SUM(X63:X65)</f>
        <v>0</v>
      </c>
      <c r="Y66" s="211">
        <f t="shared" si="51"/>
        <v>0</v>
      </c>
      <c r="Z66" s="211">
        <f t="shared" si="51"/>
        <v>0</v>
      </c>
      <c r="AA66" s="211">
        <f t="shared" si="51"/>
        <v>0</v>
      </c>
      <c r="AB66" s="211">
        <f t="shared" si="51"/>
        <v>0</v>
      </c>
      <c r="AC66" s="211">
        <f t="shared" ref="AC66" si="54">SUM(AC63:AC65)</f>
        <v>0</v>
      </c>
      <c r="AD66" s="211">
        <f t="shared" si="51"/>
        <v>16450</v>
      </c>
      <c r="AE66" s="211">
        <f t="shared" ref="AE66:AH66" si="55">SUM(AE63:AE65)</f>
        <v>41935</v>
      </c>
      <c r="AF66" s="211">
        <f t="shared" si="55"/>
        <v>14330</v>
      </c>
      <c r="AG66" s="211">
        <f>SUM(AG63:AG65)</f>
        <v>0</v>
      </c>
      <c r="AH66" s="211">
        <f t="shared" si="55"/>
        <v>0</v>
      </c>
      <c r="AI66" s="211">
        <f t="shared" ref="AI66" si="56">SUM(AI63:AI65)</f>
        <v>0</v>
      </c>
      <c r="AJ66" s="211">
        <f t="shared" si="51"/>
        <v>0</v>
      </c>
      <c r="AK66" s="564"/>
    </row>
    <row r="67" spans="1:37" ht="12.75" customHeight="1">
      <c r="B67" s="190"/>
      <c r="C67" s="190"/>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564"/>
    </row>
    <row r="68" spans="1:37">
      <c r="B68" s="190" t="s">
        <v>218</v>
      </c>
      <c r="C68" s="190"/>
      <c r="D68" s="190"/>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564"/>
    </row>
    <row r="69" spans="1:37">
      <c r="A69" s="188">
        <v>36</v>
      </c>
      <c r="B69" s="190"/>
      <c r="C69" s="190" t="s">
        <v>44</v>
      </c>
      <c r="D69" s="190"/>
      <c r="E69" s="211">
        <f>'ADJ DETAIL INPUT'!E69</f>
        <v>-9345</v>
      </c>
      <c r="F69" s="211">
        <f>'ADJ DETAIL INPUT'!F69</f>
        <v>0</v>
      </c>
      <c r="G69" s="211">
        <f>'ADJ DETAIL INPUT'!G69</f>
        <v>0</v>
      </c>
      <c r="H69" s="211">
        <f>'ADJ DETAIL INPUT'!H69</f>
        <v>0</v>
      </c>
      <c r="I69" s="211">
        <f>'ADJ DETAIL INPUT'!I69</f>
        <v>0</v>
      </c>
      <c r="J69" s="211">
        <f>'ADJ DETAIL INPUT'!J69</f>
        <v>0</v>
      </c>
      <c r="K69" s="211">
        <f>'ADJ DETAIL INPUT'!K69</f>
        <v>0</v>
      </c>
      <c r="L69" s="211">
        <f>'ADJ DETAIL INPUT'!L69</f>
        <v>0</v>
      </c>
      <c r="M69" s="211">
        <f>'ADJ DETAIL INPUT'!M69</f>
        <v>0</v>
      </c>
      <c r="N69" s="211">
        <f>'ADJ DETAIL INPUT'!N69</f>
        <v>0</v>
      </c>
      <c r="O69" s="211">
        <f>'ADJ DETAIL INPUT'!O69</f>
        <v>0</v>
      </c>
      <c r="P69" s="211">
        <f>'ADJ DETAIL INPUT'!P69</f>
        <v>0</v>
      </c>
      <c r="Q69" s="211">
        <f>'ADJ DETAIL INPUT'!Q69</f>
        <v>0</v>
      </c>
      <c r="R69" s="211">
        <f>'ADJ DETAIL INPUT'!R69</f>
        <v>0</v>
      </c>
      <c r="S69" s="211">
        <f>'ADJ DETAIL INPUT'!S69</f>
        <v>0</v>
      </c>
      <c r="T69" s="211">
        <f>'ADJ DETAIL INPUT'!T69</f>
        <v>0</v>
      </c>
      <c r="U69" s="211">
        <f>'ADJ DETAIL INPUT'!U69</f>
        <v>0</v>
      </c>
      <c r="V69" s="211">
        <f>'ADJ DETAIL INPUT'!V69</f>
        <v>0</v>
      </c>
      <c r="W69" s="211">
        <f>'ADJ DETAIL INPUT'!Y69</f>
        <v>0</v>
      </c>
      <c r="X69" s="211">
        <f>'ADJ DETAIL INPUT'!Z69</f>
        <v>0</v>
      </c>
      <c r="Y69" s="211">
        <f>'ADJ DETAIL INPUT'!AA69</f>
        <v>0</v>
      </c>
      <c r="Z69" s="211">
        <f>'ADJ DETAIL INPUT'!AB69</f>
        <v>0</v>
      </c>
      <c r="AA69" s="211">
        <f>'ADJ DETAIL INPUT'!AC69</f>
        <v>0</v>
      </c>
      <c r="AB69" s="211">
        <f>'ADJ DETAIL INPUT'!AD69</f>
        <v>0</v>
      </c>
      <c r="AC69" s="211">
        <f>'ADJ DETAIL INPUT'!AE69</f>
        <v>0</v>
      </c>
      <c r="AD69" s="211">
        <f>'ADJ DETAIL INPUT'!AF69</f>
        <v>-299</v>
      </c>
      <c r="AE69" s="211">
        <f>'ADJ DETAIL INPUT'!AH69</f>
        <v>-412</v>
      </c>
      <c r="AF69" s="211">
        <f>'ADJ DETAIL INPUT'!AI69</f>
        <v>-212</v>
      </c>
      <c r="AG69" s="211">
        <f>'ADJ DETAIL INPUT'!AJ69</f>
        <v>0</v>
      </c>
      <c r="AH69" s="211">
        <f>'ADJ DETAIL INPUT'!AK69</f>
        <v>0</v>
      </c>
      <c r="AI69" s="211">
        <f>'ADJ DETAIL INPUT'!AL69</f>
        <v>0</v>
      </c>
      <c r="AJ69" s="211">
        <f>'ADJ DETAIL INPUT'!AN69</f>
        <v>0</v>
      </c>
      <c r="AK69" s="564"/>
    </row>
    <row r="70" spans="1:37">
      <c r="A70" s="188">
        <v>37</v>
      </c>
      <c r="B70" s="190"/>
      <c r="C70" s="190" t="s">
        <v>63</v>
      </c>
      <c r="D70" s="190"/>
      <c r="E70" s="211">
        <f>'ADJ DETAIL INPUT'!E70</f>
        <v>-113282</v>
      </c>
      <c r="F70" s="211">
        <f>'ADJ DETAIL INPUT'!F70</f>
        <v>0</v>
      </c>
      <c r="G70" s="211">
        <f>'ADJ DETAIL INPUT'!G70</f>
        <v>0</v>
      </c>
      <c r="H70" s="211">
        <f>'ADJ DETAIL INPUT'!H70</f>
        <v>0</v>
      </c>
      <c r="I70" s="211">
        <f>'ADJ DETAIL INPUT'!I70</f>
        <v>0</v>
      </c>
      <c r="J70" s="211">
        <f>'ADJ DETAIL INPUT'!J70</f>
        <v>0</v>
      </c>
      <c r="K70" s="211">
        <f>'ADJ DETAIL INPUT'!K70</f>
        <v>0</v>
      </c>
      <c r="L70" s="211">
        <f>'ADJ DETAIL INPUT'!L70</f>
        <v>0</v>
      </c>
      <c r="M70" s="211">
        <f>'ADJ DETAIL INPUT'!M70</f>
        <v>0</v>
      </c>
      <c r="N70" s="211">
        <f>'ADJ DETAIL INPUT'!N70</f>
        <v>0</v>
      </c>
      <c r="O70" s="211">
        <f>'ADJ DETAIL INPUT'!O70</f>
        <v>0</v>
      </c>
      <c r="P70" s="211">
        <f>'ADJ DETAIL INPUT'!P70</f>
        <v>0</v>
      </c>
      <c r="Q70" s="211">
        <f>'ADJ DETAIL INPUT'!Q70</f>
        <v>0</v>
      </c>
      <c r="R70" s="211">
        <f>'ADJ DETAIL INPUT'!R70</f>
        <v>0</v>
      </c>
      <c r="S70" s="211">
        <f>'ADJ DETAIL INPUT'!S70</f>
        <v>0</v>
      </c>
      <c r="T70" s="211">
        <f>'ADJ DETAIL INPUT'!T70</f>
        <v>0</v>
      </c>
      <c r="U70" s="211">
        <f>'ADJ DETAIL INPUT'!U70</f>
        <v>0</v>
      </c>
      <c r="V70" s="211">
        <f>'ADJ DETAIL INPUT'!V70</f>
        <v>0</v>
      </c>
      <c r="W70" s="211">
        <f>'ADJ DETAIL INPUT'!Y70</f>
        <v>0</v>
      </c>
      <c r="X70" s="211">
        <f>'ADJ DETAIL INPUT'!Z70</f>
        <v>0</v>
      </c>
      <c r="Y70" s="211">
        <f>'ADJ DETAIL INPUT'!AA70</f>
        <v>0</v>
      </c>
      <c r="Z70" s="211">
        <f>'ADJ DETAIL INPUT'!AB70</f>
        <v>0</v>
      </c>
      <c r="AA70" s="211">
        <f>'ADJ DETAIL INPUT'!AC70</f>
        <v>0</v>
      </c>
      <c r="AB70" s="211">
        <f>'ADJ DETAIL INPUT'!AD70</f>
        <v>0</v>
      </c>
      <c r="AC70" s="211">
        <f>'ADJ DETAIL INPUT'!AE70</f>
        <v>0</v>
      </c>
      <c r="AD70" s="211">
        <f>'ADJ DETAIL INPUT'!AF70</f>
        <v>-4159</v>
      </c>
      <c r="AE70" s="211">
        <f>'ADJ DETAIL INPUT'!AH70</f>
        <v>-5999</v>
      </c>
      <c r="AF70" s="211">
        <f>'ADJ DETAIL INPUT'!AI70</f>
        <v>-3544</v>
      </c>
      <c r="AG70" s="211">
        <f>'ADJ DETAIL INPUT'!AJ70</f>
        <v>0</v>
      </c>
      <c r="AH70" s="211">
        <f>'ADJ DETAIL INPUT'!AK70</f>
        <v>0</v>
      </c>
      <c r="AI70" s="211">
        <f>'ADJ DETAIL INPUT'!AL70</f>
        <v>0</v>
      </c>
      <c r="AJ70" s="211">
        <f>'ADJ DETAIL INPUT'!AN70</f>
        <v>0</v>
      </c>
      <c r="AK70" s="564"/>
    </row>
    <row r="71" spans="1:37">
      <c r="A71" s="188">
        <v>38</v>
      </c>
      <c r="B71" s="190"/>
      <c r="C71" s="190" t="s">
        <v>64</v>
      </c>
      <c r="D71" s="190"/>
      <c r="E71" s="212">
        <f>'ADJ DETAIL INPUT'!E71</f>
        <v>-16998</v>
      </c>
      <c r="F71" s="212">
        <f>'ADJ DETAIL INPUT'!F71</f>
        <v>0</v>
      </c>
      <c r="G71" s="212">
        <f>'ADJ DETAIL INPUT'!G71</f>
        <v>0</v>
      </c>
      <c r="H71" s="212">
        <f>'ADJ DETAIL INPUT'!H71</f>
        <v>0</v>
      </c>
      <c r="I71" s="212">
        <f>'ADJ DETAIL INPUT'!I71</f>
        <v>0</v>
      </c>
      <c r="J71" s="212">
        <f>'ADJ DETAIL INPUT'!J71</f>
        <v>0</v>
      </c>
      <c r="K71" s="212">
        <f>'ADJ DETAIL INPUT'!K71</f>
        <v>0</v>
      </c>
      <c r="L71" s="212">
        <f>'ADJ DETAIL INPUT'!L71</f>
        <v>0</v>
      </c>
      <c r="M71" s="212">
        <f>'ADJ DETAIL INPUT'!M71</f>
        <v>0</v>
      </c>
      <c r="N71" s="212">
        <f>'ADJ DETAIL INPUT'!N71</f>
        <v>0</v>
      </c>
      <c r="O71" s="212">
        <f>'ADJ DETAIL INPUT'!O71</f>
        <v>0</v>
      </c>
      <c r="P71" s="212">
        <f>'ADJ DETAIL INPUT'!P71</f>
        <v>0</v>
      </c>
      <c r="Q71" s="212">
        <f>'ADJ DETAIL INPUT'!Q71</f>
        <v>0</v>
      </c>
      <c r="R71" s="212">
        <f>'ADJ DETAIL INPUT'!R71</f>
        <v>0</v>
      </c>
      <c r="S71" s="212">
        <f>'ADJ DETAIL INPUT'!S71</f>
        <v>0</v>
      </c>
      <c r="T71" s="212">
        <f>'ADJ DETAIL INPUT'!T71</f>
        <v>0</v>
      </c>
      <c r="U71" s="212">
        <f>'ADJ DETAIL INPUT'!U71</f>
        <v>0</v>
      </c>
      <c r="V71" s="212">
        <f>'ADJ DETAIL INPUT'!V71</f>
        <v>0</v>
      </c>
      <c r="W71" s="212">
        <f>'ADJ DETAIL INPUT'!Y71</f>
        <v>0</v>
      </c>
      <c r="X71" s="212">
        <f>'ADJ DETAIL INPUT'!Z71</f>
        <v>0</v>
      </c>
      <c r="Y71" s="212">
        <f>'ADJ DETAIL INPUT'!AA71</f>
        <v>0</v>
      </c>
      <c r="Z71" s="212">
        <f>'ADJ DETAIL INPUT'!AB71</f>
        <v>0</v>
      </c>
      <c r="AA71" s="212">
        <f>'ADJ DETAIL INPUT'!AC71</f>
        <v>0</v>
      </c>
      <c r="AB71" s="212">
        <f>'ADJ DETAIL INPUT'!AD71</f>
        <v>0</v>
      </c>
      <c r="AC71" s="212">
        <f>'ADJ DETAIL INPUT'!AE71</f>
        <v>0</v>
      </c>
      <c r="AD71" s="212">
        <f>'ADJ DETAIL INPUT'!AF71</f>
        <v>-1684</v>
      </c>
      <c r="AE71" s="212">
        <f>'ADJ DETAIL INPUT'!AH71</f>
        <v>-3791</v>
      </c>
      <c r="AF71" s="212">
        <f>'ADJ DETAIL INPUT'!AI71</f>
        <v>-2910</v>
      </c>
      <c r="AG71" s="212">
        <f>'ADJ DETAIL INPUT'!AJ71</f>
        <v>0</v>
      </c>
      <c r="AH71" s="212">
        <f>'ADJ DETAIL INPUT'!AK71</f>
        <v>0</v>
      </c>
      <c r="AI71" s="212">
        <f>'ADJ DETAIL INPUT'!AL71</f>
        <v>0</v>
      </c>
      <c r="AJ71" s="212">
        <f>'ADJ DETAIL INPUT'!AN71</f>
        <v>0</v>
      </c>
      <c r="AK71" s="564"/>
    </row>
    <row r="72" spans="1:37">
      <c r="A72" s="188">
        <v>39</v>
      </c>
      <c r="B72" s="190" t="s">
        <v>438</v>
      </c>
      <c r="C72" s="190"/>
      <c r="E72" s="214">
        <f>SUM(E69:E71)</f>
        <v>-139625</v>
      </c>
      <c r="F72" s="214">
        <f t="shared" ref="F72:AJ72" si="57">SUM(F69:F71)</f>
        <v>0</v>
      </c>
      <c r="G72" s="214">
        <f t="shared" si="57"/>
        <v>0</v>
      </c>
      <c r="H72" s="214">
        <f t="shared" si="57"/>
        <v>0</v>
      </c>
      <c r="I72" s="214">
        <f t="shared" si="57"/>
        <v>0</v>
      </c>
      <c r="J72" s="214">
        <f t="shared" si="57"/>
        <v>0</v>
      </c>
      <c r="K72" s="214">
        <f t="shared" si="57"/>
        <v>0</v>
      </c>
      <c r="L72" s="214">
        <f t="shared" si="57"/>
        <v>0</v>
      </c>
      <c r="M72" s="214">
        <f t="shared" si="57"/>
        <v>0</v>
      </c>
      <c r="N72" s="214">
        <f t="shared" si="57"/>
        <v>0</v>
      </c>
      <c r="O72" s="214">
        <f t="shared" si="57"/>
        <v>0</v>
      </c>
      <c r="P72" s="214">
        <f t="shared" si="57"/>
        <v>0</v>
      </c>
      <c r="Q72" s="214">
        <f t="shared" si="57"/>
        <v>0</v>
      </c>
      <c r="R72" s="214">
        <f t="shared" si="57"/>
        <v>0</v>
      </c>
      <c r="S72" s="214">
        <f t="shared" ref="S72" si="58">SUM(S69:S71)</f>
        <v>0</v>
      </c>
      <c r="T72" s="214">
        <f t="shared" si="57"/>
        <v>0</v>
      </c>
      <c r="U72" s="214">
        <f t="shared" si="57"/>
        <v>0</v>
      </c>
      <c r="V72" s="214">
        <f t="shared" si="57"/>
        <v>0</v>
      </c>
      <c r="W72" s="214">
        <f t="shared" si="57"/>
        <v>0</v>
      </c>
      <c r="X72" s="214">
        <f t="shared" ref="X72" si="59">SUM(X69:X71)</f>
        <v>0</v>
      </c>
      <c r="Y72" s="214">
        <f t="shared" si="57"/>
        <v>0</v>
      </c>
      <c r="Z72" s="214">
        <f t="shared" si="57"/>
        <v>0</v>
      </c>
      <c r="AA72" s="214">
        <f t="shared" si="57"/>
        <v>0</v>
      </c>
      <c r="AB72" s="214">
        <f t="shared" si="57"/>
        <v>0</v>
      </c>
      <c r="AC72" s="214">
        <f t="shared" ref="AC72" si="60">SUM(AC69:AC71)</f>
        <v>0</v>
      </c>
      <c r="AD72" s="214">
        <f t="shared" si="57"/>
        <v>-6142</v>
      </c>
      <c r="AE72" s="214">
        <f t="shared" ref="AE72:AH72" si="61">SUM(AE69:AE71)</f>
        <v>-10202</v>
      </c>
      <c r="AF72" s="214">
        <f t="shared" si="61"/>
        <v>-6666</v>
      </c>
      <c r="AG72" s="214">
        <f>SUM(AG69:AG71)</f>
        <v>0</v>
      </c>
      <c r="AH72" s="214">
        <f t="shared" si="61"/>
        <v>0</v>
      </c>
      <c r="AI72" s="214">
        <f t="shared" ref="AI72" si="62">SUM(AI69:AI71)</f>
        <v>0</v>
      </c>
      <c r="AJ72" s="214">
        <f t="shared" si="57"/>
        <v>0</v>
      </c>
      <c r="AK72" s="564"/>
    </row>
    <row r="73" spans="1:37">
      <c r="A73" s="188">
        <v>40</v>
      </c>
      <c r="B73" s="190" t="s">
        <v>184</v>
      </c>
      <c r="C73" s="190"/>
      <c r="D73" s="190"/>
      <c r="E73" s="215">
        <f>E66+E72</f>
        <v>276425</v>
      </c>
      <c r="F73" s="215">
        <f t="shared" ref="F73:AJ73" si="63">F66+F72</f>
        <v>0</v>
      </c>
      <c r="G73" s="215">
        <f t="shared" si="63"/>
        <v>0</v>
      </c>
      <c r="H73" s="215">
        <f t="shared" si="63"/>
        <v>0</v>
      </c>
      <c r="I73" s="215">
        <f t="shared" si="63"/>
        <v>0</v>
      </c>
      <c r="J73" s="215">
        <f t="shared" si="63"/>
        <v>0</v>
      </c>
      <c r="K73" s="215">
        <f t="shared" si="63"/>
        <v>0</v>
      </c>
      <c r="L73" s="215">
        <f t="shared" si="63"/>
        <v>0</v>
      </c>
      <c r="M73" s="215">
        <f t="shared" si="63"/>
        <v>0</v>
      </c>
      <c r="N73" s="215">
        <f t="shared" si="63"/>
        <v>0</v>
      </c>
      <c r="O73" s="215">
        <f t="shared" si="63"/>
        <v>0</v>
      </c>
      <c r="P73" s="215">
        <f t="shared" si="63"/>
        <v>0</v>
      </c>
      <c r="Q73" s="215">
        <f t="shared" si="63"/>
        <v>0</v>
      </c>
      <c r="R73" s="215">
        <f t="shared" si="63"/>
        <v>0</v>
      </c>
      <c r="S73" s="215">
        <f t="shared" ref="S73" si="64">S66+S72</f>
        <v>0</v>
      </c>
      <c r="T73" s="215">
        <f t="shared" si="63"/>
        <v>0</v>
      </c>
      <c r="U73" s="215">
        <f t="shared" si="63"/>
        <v>0</v>
      </c>
      <c r="V73" s="215">
        <f t="shared" si="63"/>
        <v>0</v>
      </c>
      <c r="W73" s="215">
        <f t="shared" si="63"/>
        <v>0</v>
      </c>
      <c r="X73" s="215">
        <f t="shared" ref="X73" si="65">X66+X72</f>
        <v>0</v>
      </c>
      <c r="Y73" s="215">
        <f t="shared" si="63"/>
        <v>0</v>
      </c>
      <c r="Z73" s="215">
        <f t="shared" si="63"/>
        <v>0</v>
      </c>
      <c r="AA73" s="215">
        <f t="shared" si="63"/>
        <v>0</v>
      </c>
      <c r="AB73" s="215">
        <f t="shared" si="63"/>
        <v>0</v>
      </c>
      <c r="AC73" s="215">
        <f t="shared" ref="AC73" si="66">AC66+AC72</f>
        <v>0</v>
      </c>
      <c r="AD73" s="215">
        <f t="shared" si="63"/>
        <v>10308</v>
      </c>
      <c r="AE73" s="215">
        <f t="shared" ref="AE73:AH73" si="67">AE66+AE72</f>
        <v>31733</v>
      </c>
      <c r="AF73" s="215">
        <f t="shared" si="67"/>
        <v>7664</v>
      </c>
      <c r="AG73" s="215">
        <f>AG66+AG72</f>
        <v>0</v>
      </c>
      <c r="AH73" s="215">
        <f t="shared" si="67"/>
        <v>0</v>
      </c>
      <c r="AI73" s="215">
        <f t="shared" ref="AI73" si="68">AI66+AI72</f>
        <v>0</v>
      </c>
      <c r="AJ73" s="215">
        <f t="shared" si="63"/>
        <v>0</v>
      </c>
      <c r="AK73" s="564"/>
    </row>
    <row r="74" spans="1:37" s="193" customFormat="1" ht="18.95" customHeight="1">
      <c r="A74" s="191">
        <v>41</v>
      </c>
      <c r="B74" s="192" t="s">
        <v>221</v>
      </c>
      <c r="C74" s="192"/>
      <c r="D74" s="192"/>
      <c r="E74" s="212">
        <f>'ADJ DETAIL INPUT'!E74</f>
        <v>-55323</v>
      </c>
      <c r="F74" s="212">
        <f>'ADJ DETAIL INPUT'!F74</f>
        <v>-3032</v>
      </c>
      <c r="G74" s="212">
        <f>'ADJ DETAIL INPUT'!G74</f>
        <v>0</v>
      </c>
      <c r="H74" s="212">
        <f>'ADJ DETAIL INPUT'!H74</f>
        <v>0</v>
      </c>
      <c r="I74" s="212">
        <f>'ADJ DETAIL INPUT'!I74</f>
        <v>0</v>
      </c>
      <c r="J74" s="212">
        <f>'ADJ DETAIL INPUT'!J74</f>
        <v>0</v>
      </c>
      <c r="K74" s="212">
        <f>'ADJ DETAIL INPUT'!K74</f>
        <v>0</v>
      </c>
      <c r="L74" s="212">
        <f>'ADJ DETAIL INPUT'!L74</f>
        <v>0</v>
      </c>
      <c r="M74" s="212">
        <f>'ADJ DETAIL INPUT'!M74</f>
        <v>0</v>
      </c>
      <c r="N74" s="212">
        <f>'ADJ DETAIL INPUT'!N74</f>
        <v>0</v>
      </c>
      <c r="O74" s="212">
        <f>'ADJ DETAIL INPUT'!O74</f>
        <v>0</v>
      </c>
      <c r="P74" s="212">
        <f>'ADJ DETAIL INPUT'!P74</f>
        <v>0</v>
      </c>
      <c r="Q74" s="212">
        <f>'ADJ DETAIL INPUT'!Q74</f>
        <v>0</v>
      </c>
      <c r="R74" s="212">
        <f>'ADJ DETAIL INPUT'!R74</f>
        <v>0</v>
      </c>
      <c r="S74" s="212">
        <f>'ADJ DETAIL INPUT'!S74</f>
        <v>0</v>
      </c>
      <c r="T74" s="212">
        <f>'ADJ DETAIL INPUT'!T74</f>
        <v>0</v>
      </c>
      <c r="U74" s="212">
        <f>'ADJ DETAIL INPUT'!U74</f>
        <v>0</v>
      </c>
      <c r="V74" s="212">
        <f>'ADJ DETAIL INPUT'!V74</f>
        <v>0</v>
      </c>
      <c r="W74" s="212">
        <f>'ADJ DETAIL INPUT'!Y74</f>
        <v>0</v>
      </c>
      <c r="X74" s="212">
        <f>'ADJ DETAIL INPUT'!Z74</f>
        <v>0</v>
      </c>
      <c r="Y74" s="212">
        <f>'ADJ DETAIL INPUT'!AA74</f>
        <v>0</v>
      </c>
      <c r="Z74" s="212">
        <f>'ADJ DETAIL INPUT'!AB74</f>
        <v>0</v>
      </c>
      <c r="AA74" s="212">
        <f>'ADJ DETAIL INPUT'!AC74</f>
        <v>0</v>
      </c>
      <c r="AB74" s="212">
        <f>'ADJ DETAIL INPUT'!AD74</f>
        <v>0</v>
      </c>
      <c r="AC74" s="212">
        <f>'ADJ DETAIL INPUT'!AE74</f>
        <v>0</v>
      </c>
      <c r="AD74" s="212">
        <f>'ADJ DETAIL INPUT'!AF74</f>
        <v>-7348</v>
      </c>
      <c r="AE74" s="212">
        <f>'ADJ DETAIL INPUT'!AH74</f>
        <v>-3042</v>
      </c>
      <c r="AF74" s="212">
        <f>'ADJ DETAIL INPUT'!AI74</f>
        <v>-1958</v>
      </c>
      <c r="AG74" s="212">
        <f>'ADJ DETAIL INPUT'!AJ74</f>
        <v>0</v>
      </c>
      <c r="AH74" s="212">
        <f>'ADJ DETAIL INPUT'!AK74</f>
        <v>0</v>
      </c>
      <c r="AI74" s="212">
        <f>'ADJ DETAIL INPUT'!AL74</f>
        <v>0</v>
      </c>
      <c r="AJ74" s="212">
        <f>'ADJ DETAIL INPUT'!AN74</f>
        <v>0</v>
      </c>
      <c r="AK74" s="564"/>
    </row>
    <row r="75" spans="1:37" s="193" customFormat="1" ht="18.95" customHeight="1">
      <c r="A75" s="191">
        <v>42</v>
      </c>
      <c r="B75" s="192" t="s">
        <v>219</v>
      </c>
      <c r="C75" s="192"/>
      <c r="D75" s="192"/>
      <c r="E75" s="215">
        <f>E73+E74</f>
        <v>221102</v>
      </c>
      <c r="F75" s="215">
        <f t="shared" ref="F75:AJ75" si="69">F73+F74</f>
        <v>-3032</v>
      </c>
      <c r="G75" s="215">
        <f t="shared" si="69"/>
        <v>0</v>
      </c>
      <c r="H75" s="215">
        <f t="shared" si="69"/>
        <v>0</v>
      </c>
      <c r="I75" s="215">
        <f t="shared" si="69"/>
        <v>0</v>
      </c>
      <c r="J75" s="215">
        <f t="shared" si="69"/>
        <v>0</v>
      </c>
      <c r="K75" s="215">
        <f t="shared" si="69"/>
        <v>0</v>
      </c>
      <c r="L75" s="215">
        <f t="shared" si="69"/>
        <v>0</v>
      </c>
      <c r="M75" s="215">
        <f t="shared" si="69"/>
        <v>0</v>
      </c>
      <c r="N75" s="215">
        <f t="shared" si="69"/>
        <v>0</v>
      </c>
      <c r="O75" s="215">
        <f t="shared" si="69"/>
        <v>0</v>
      </c>
      <c r="P75" s="215">
        <f t="shared" si="69"/>
        <v>0</v>
      </c>
      <c r="Q75" s="215">
        <f t="shared" si="69"/>
        <v>0</v>
      </c>
      <c r="R75" s="215">
        <f t="shared" si="69"/>
        <v>0</v>
      </c>
      <c r="S75" s="215">
        <f t="shared" ref="S75" si="70">S73+S74</f>
        <v>0</v>
      </c>
      <c r="T75" s="215">
        <f t="shared" si="69"/>
        <v>0</v>
      </c>
      <c r="U75" s="215">
        <f t="shared" si="69"/>
        <v>0</v>
      </c>
      <c r="V75" s="215">
        <f t="shared" si="69"/>
        <v>0</v>
      </c>
      <c r="W75" s="215">
        <f t="shared" si="69"/>
        <v>0</v>
      </c>
      <c r="X75" s="215">
        <f t="shared" ref="X75" si="71">X73+X74</f>
        <v>0</v>
      </c>
      <c r="Y75" s="215">
        <f t="shared" si="69"/>
        <v>0</v>
      </c>
      <c r="Z75" s="215">
        <f t="shared" si="69"/>
        <v>0</v>
      </c>
      <c r="AA75" s="215">
        <f t="shared" si="69"/>
        <v>0</v>
      </c>
      <c r="AB75" s="215">
        <f t="shared" si="69"/>
        <v>0</v>
      </c>
      <c r="AC75" s="215">
        <f t="shared" ref="AC75" si="72">AC73+AC74</f>
        <v>0</v>
      </c>
      <c r="AD75" s="215">
        <f t="shared" si="69"/>
        <v>2960</v>
      </c>
      <c r="AE75" s="215">
        <f t="shared" ref="AE75:AH75" si="73">AE73+AE74</f>
        <v>28691</v>
      </c>
      <c r="AF75" s="215">
        <f t="shared" si="73"/>
        <v>5706</v>
      </c>
      <c r="AG75" s="215">
        <f>AG73+AG74</f>
        <v>0</v>
      </c>
      <c r="AH75" s="215">
        <f t="shared" si="73"/>
        <v>0</v>
      </c>
      <c r="AI75" s="215">
        <f t="shared" ref="AI75" si="74">AI73+AI74</f>
        <v>0</v>
      </c>
      <c r="AJ75" s="215">
        <f t="shared" si="69"/>
        <v>0</v>
      </c>
      <c r="AK75" s="564"/>
    </row>
    <row r="76" spans="1:37">
      <c r="A76" s="188">
        <v>43</v>
      </c>
      <c r="B76" s="190" t="s">
        <v>68</v>
      </c>
      <c r="C76" s="190"/>
      <c r="D76" s="190"/>
      <c r="E76" s="211">
        <f>'ADJ DETAIL INPUT'!E76</f>
        <v>12801</v>
      </c>
      <c r="F76" s="211">
        <f>'ADJ DETAIL INPUT'!F76</f>
        <v>0</v>
      </c>
      <c r="G76" s="211">
        <f>'ADJ DETAIL INPUT'!G76</f>
        <v>0</v>
      </c>
      <c r="H76" s="211">
        <f>'ADJ DETAIL INPUT'!H76</f>
        <v>0</v>
      </c>
      <c r="I76" s="211">
        <f>'ADJ DETAIL INPUT'!I76</f>
        <v>0</v>
      </c>
      <c r="J76" s="211">
        <f>'ADJ DETAIL INPUT'!J76</f>
        <v>0</v>
      </c>
      <c r="K76" s="211">
        <f>'ADJ DETAIL INPUT'!K76</f>
        <v>0</v>
      </c>
      <c r="L76" s="211">
        <f>'ADJ DETAIL INPUT'!L76</f>
        <v>0</v>
      </c>
      <c r="M76" s="211">
        <f>'ADJ DETAIL INPUT'!M76</f>
        <v>0</v>
      </c>
      <c r="N76" s="211">
        <f>'ADJ DETAIL INPUT'!N76</f>
        <v>0</v>
      </c>
      <c r="O76" s="211">
        <f>'ADJ DETAIL INPUT'!O76</f>
        <v>0</v>
      </c>
      <c r="P76" s="211">
        <f>'ADJ DETAIL INPUT'!P76</f>
        <v>0</v>
      </c>
      <c r="Q76" s="211">
        <f>'ADJ DETAIL INPUT'!Q76</f>
        <v>0</v>
      </c>
      <c r="R76" s="211">
        <f>'ADJ DETAIL INPUT'!R76</f>
        <v>0</v>
      </c>
      <c r="S76" s="211">
        <f>'ADJ DETAIL INPUT'!S76</f>
        <v>0</v>
      </c>
      <c r="T76" s="211">
        <f>'ADJ DETAIL INPUT'!T76</f>
        <v>0</v>
      </c>
      <c r="U76" s="211">
        <f>'ADJ DETAIL INPUT'!U76</f>
        <v>0</v>
      </c>
      <c r="V76" s="211">
        <f>'ADJ DETAIL INPUT'!V76</f>
        <v>0</v>
      </c>
      <c r="W76" s="211">
        <f>'ADJ DETAIL INPUT'!Y76</f>
        <v>0</v>
      </c>
      <c r="X76" s="211">
        <f>'ADJ DETAIL INPUT'!Z76</f>
        <v>0</v>
      </c>
      <c r="Y76" s="211">
        <f>'ADJ DETAIL INPUT'!AA76</f>
        <v>0</v>
      </c>
      <c r="Z76" s="211">
        <f>'ADJ DETAIL INPUT'!AB76</f>
        <v>0</v>
      </c>
      <c r="AA76" s="211">
        <f>'ADJ DETAIL INPUT'!AC76</f>
        <v>0</v>
      </c>
      <c r="AB76" s="211">
        <f>'ADJ DETAIL INPUT'!AD76</f>
        <v>0</v>
      </c>
      <c r="AC76" s="211">
        <f>'ADJ DETAIL INPUT'!AE76</f>
        <v>0</v>
      </c>
      <c r="AD76" s="211">
        <f>'ADJ DETAIL INPUT'!AF76</f>
        <v>0</v>
      </c>
      <c r="AE76" s="211">
        <f>'ADJ DETAIL INPUT'!AH76</f>
        <v>0</v>
      </c>
      <c r="AF76" s="211">
        <f>'ADJ DETAIL INPUT'!AI76</f>
        <v>0</v>
      </c>
      <c r="AG76" s="211">
        <f>'ADJ DETAIL INPUT'!AJ76</f>
        <v>0</v>
      </c>
      <c r="AH76" s="211">
        <f>'ADJ DETAIL INPUT'!AK76</f>
        <v>0</v>
      </c>
      <c r="AI76" s="211">
        <f>'ADJ DETAIL INPUT'!AL76</f>
        <v>0</v>
      </c>
      <c r="AJ76" s="211">
        <f>'ADJ DETAIL INPUT'!AN76</f>
        <v>0</v>
      </c>
      <c r="AK76" s="564"/>
    </row>
    <row r="77" spans="1:37" s="193" customFormat="1">
      <c r="A77" s="191">
        <v>44</v>
      </c>
      <c r="B77" s="192" t="s">
        <v>69</v>
      </c>
      <c r="C77" s="192"/>
      <c r="D77" s="192"/>
      <c r="E77" s="211">
        <f>'ADJ DETAIL INPUT'!E77</f>
        <v>0</v>
      </c>
      <c r="F77" s="211">
        <f>'ADJ DETAIL INPUT'!F77</f>
        <v>0</v>
      </c>
      <c r="G77" s="211">
        <f>'ADJ DETAIL INPUT'!G77</f>
        <v>0</v>
      </c>
      <c r="H77" s="211">
        <f>'ADJ DETAIL INPUT'!H77</f>
        <v>0</v>
      </c>
      <c r="I77" s="211">
        <f>'ADJ DETAIL INPUT'!I77</f>
        <v>0</v>
      </c>
      <c r="J77" s="211">
        <f>'ADJ DETAIL INPUT'!J77</f>
        <v>0</v>
      </c>
      <c r="K77" s="211">
        <f>'ADJ DETAIL INPUT'!K77</f>
        <v>0</v>
      </c>
      <c r="L77" s="211">
        <f>'ADJ DETAIL INPUT'!L77</f>
        <v>0</v>
      </c>
      <c r="M77" s="211">
        <f>'ADJ DETAIL INPUT'!M77</f>
        <v>0</v>
      </c>
      <c r="N77" s="211">
        <f>'ADJ DETAIL INPUT'!N77</f>
        <v>0</v>
      </c>
      <c r="O77" s="211">
        <f>'ADJ DETAIL INPUT'!O77</f>
        <v>0</v>
      </c>
      <c r="P77" s="211">
        <f>'ADJ DETAIL INPUT'!P77</f>
        <v>0</v>
      </c>
      <c r="Q77" s="211">
        <f>'ADJ DETAIL INPUT'!Q77</f>
        <v>0</v>
      </c>
      <c r="R77" s="211">
        <f>'ADJ DETAIL INPUT'!R77</f>
        <v>0</v>
      </c>
      <c r="S77" s="211">
        <f>'ADJ DETAIL INPUT'!S77</f>
        <v>0</v>
      </c>
      <c r="T77" s="211">
        <f>'ADJ DETAIL INPUT'!T77</f>
        <v>0</v>
      </c>
      <c r="U77" s="211">
        <f>'ADJ DETAIL INPUT'!U77</f>
        <v>0</v>
      </c>
      <c r="V77" s="211">
        <f>'ADJ DETAIL INPUT'!V77</f>
        <v>0</v>
      </c>
      <c r="W77" s="211">
        <f>'ADJ DETAIL INPUT'!Y77</f>
        <v>0</v>
      </c>
      <c r="X77" s="211">
        <f>'ADJ DETAIL INPUT'!Z77</f>
        <v>0</v>
      </c>
      <c r="Y77" s="211">
        <f>'ADJ DETAIL INPUT'!AA77</f>
        <v>0</v>
      </c>
      <c r="Z77" s="211">
        <f>'ADJ DETAIL INPUT'!AB77</f>
        <v>0</v>
      </c>
      <c r="AA77" s="211">
        <f>'ADJ DETAIL INPUT'!AC77</f>
        <v>0</v>
      </c>
      <c r="AB77" s="211">
        <f>'ADJ DETAIL INPUT'!AD77</f>
        <v>0</v>
      </c>
      <c r="AC77" s="211">
        <f>'ADJ DETAIL INPUT'!AE77</f>
        <v>0</v>
      </c>
      <c r="AD77" s="211">
        <f>'ADJ DETAIL INPUT'!AF77</f>
        <v>0</v>
      </c>
      <c r="AE77" s="211">
        <f>'ADJ DETAIL INPUT'!AH77</f>
        <v>0</v>
      </c>
      <c r="AF77" s="211">
        <f>'ADJ DETAIL INPUT'!AI77</f>
        <v>0</v>
      </c>
      <c r="AG77" s="211">
        <f>'ADJ DETAIL INPUT'!AJ77</f>
        <v>0</v>
      </c>
      <c r="AH77" s="211">
        <f>'ADJ DETAIL INPUT'!AK77</f>
        <v>0</v>
      </c>
      <c r="AI77" s="211">
        <f>'ADJ DETAIL INPUT'!AL77</f>
        <v>0</v>
      </c>
      <c r="AJ77" s="211">
        <f>'ADJ DETAIL INPUT'!AN77</f>
        <v>0</v>
      </c>
      <c r="AK77" s="564"/>
    </row>
    <row r="78" spans="1:37" s="193" customFormat="1">
      <c r="A78" s="191">
        <v>45</v>
      </c>
      <c r="B78" s="192" t="s">
        <v>441</v>
      </c>
      <c r="C78" s="192"/>
      <c r="D78" s="192"/>
      <c r="E78" s="211">
        <f>'ADJ DETAIL INPUT'!E78</f>
        <v>-428</v>
      </c>
      <c r="F78" s="211">
        <f>'ADJ DETAIL INPUT'!F78</f>
        <v>0</v>
      </c>
      <c r="G78" s="211">
        <f>'ADJ DETAIL INPUT'!G78</f>
        <v>0</v>
      </c>
      <c r="H78" s="211">
        <f>'ADJ DETAIL INPUT'!H78</f>
        <v>0</v>
      </c>
      <c r="I78" s="211">
        <f>'ADJ DETAIL INPUT'!I78</f>
        <v>0</v>
      </c>
      <c r="J78" s="211">
        <f>'ADJ DETAIL INPUT'!J78</f>
        <v>0</v>
      </c>
      <c r="K78" s="211">
        <f>'ADJ DETAIL INPUT'!K78</f>
        <v>0</v>
      </c>
      <c r="L78" s="211">
        <f>'ADJ DETAIL INPUT'!L78</f>
        <v>0</v>
      </c>
      <c r="M78" s="211">
        <f>'ADJ DETAIL INPUT'!M78</f>
        <v>0</v>
      </c>
      <c r="N78" s="211">
        <f>'ADJ DETAIL INPUT'!N78</f>
        <v>0</v>
      </c>
      <c r="O78" s="211">
        <f>'ADJ DETAIL INPUT'!O78</f>
        <v>0</v>
      </c>
      <c r="P78" s="211">
        <f>'ADJ DETAIL INPUT'!P78</f>
        <v>0</v>
      </c>
      <c r="Q78" s="211">
        <f>'ADJ DETAIL INPUT'!Q78</f>
        <v>0</v>
      </c>
      <c r="R78" s="211">
        <f>'ADJ DETAIL INPUT'!R78</f>
        <v>0</v>
      </c>
      <c r="S78" s="211">
        <f>'ADJ DETAIL INPUT'!S78</f>
        <v>0</v>
      </c>
      <c r="T78" s="211">
        <f>'ADJ DETAIL INPUT'!T78</f>
        <v>0</v>
      </c>
      <c r="U78" s="211">
        <f>'ADJ DETAIL INPUT'!U78</f>
        <v>0</v>
      </c>
      <c r="V78" s="211">
        <f>'ADJ DETAIL INPUT'!V78</f>
        <v>0</v>
      </c>
      <c r="W78" s="211">
        <f>'ADJ DETAIL INPUT'!Y78</f>
        <v>0</v>
      </c>
      <c r="X78" s="211">
        <f>'ADJ DETAIL INPUT'!Z78</f>
        <v>0</v>
      </c>
      <c r="Y78" s="211">
        <f>'ADJ DETAIL INPUT'!AA78</f>
        <v>0</v>
      </c>
      <c r="Z78" s="211">
        <f>'ADJ DETAIL INPUT'!AB78</f>
        <v>0</v>
      </c>
      <c r="AA78" s="211">
        <f>'ADJ DETAIL INPUT'!AC78</f>
        <v>0</v>
      </c>
      <c r="AB78" s="211">
        <f>'ADJ DETAIL INPUT'!AD78</f>
        <v>0</v>
      </c>
      <c r="AC78" s="211">
        <f>'ADJ DETAIL INPUT'!AE78</f>
        <v>0</v>
      </c>
      <c r="AD78" s="211">
        <f>'ADJ DETAIL INPUT'!AF78</f>
        <v>0</v>
      </c>
      <c r="AE78" s="211">
        <f>'ADJ DETAIL INPUT'!AH78</f>
        <v>0</v>
      </c>
      <c r="AF78" s="211">
        <f>'ADJ DETAIL INPUT'!AI78</f>
        <v>0</v>
      </c>
      <c r="AG78" s="211">
        <f>'ADJ DETAIL INPUT'!AJ78</f>
        <v>0</v>
      </c>
      <c r="AH78" s="211">
        <f>'ADJ DETAIL INPUT'!AK78</f>
        <v>0</v>
      </c>
      <c r="AI78" s="211">
        <f>'ADJ DETAIL INPUT'!AL78</f>
        <v>0</v>
      </c>
      <c r="AJ78" s="211">
        <f>'ADJ DETAIL INPUT'!AN78</f>
        <v>7915</v>
      </c>
      <c r="AK78" s="564"/>
    </row>
    <row r="79" spans="1:37">
      <c r="A79" s="188">
        <v>46</v>
      </c>
      <c r="B79" s="190" t="s">
        <v>187</v>
      </c>
      <c r="C79" s="190"/>
      <c r="D79" s="190"/>
      <c r="E79" s="212">
        <f>'ADJ DETAIL INPUT'!E79</f>
        <v>0</v>
      </c>
      <c r="F79" s="212">
        <f>'ADJ DETAIL INPUT'!F79</f>
        <v>0</v>
      </c>
      <c r="G79" s="212">
        <f>'ADJ DETAIL INPUT'!G79</f>
        <v>0</v>
      </c>
      <c r="H79" s="212">
        <f>'ADJ DETAIL INPUT'!H79</f>
        <v>10371</v>
      </c>
      <c r="I79" s="212">
        <f>'ADJ DETAIL INPUT'!I79</f>
        <v>0</v>
      </c>
      <c r="J79" s="212">
        <f>'ADJ DETAIL INPUT'!J79</f>
        <v>0</v>
      </c>
      <c r="K79" s="212">
        <f>'ADJ DETAIL INPUT'!K79</f>
        <v>0</v>
      </c>
      <c r="L79" s="212">
        <f>'ADJ DETAIL INPUT'!L79</f>
        <v>0</v>
      </c>
      <c r="M79" s="212">
        <f>'ADJ DETAIL INPUT'!M79</f>
        <v>0</v>
      </c>
      <c r="N79" s="212">
        <f>'ADJ DETAIL INPUT'!N79</f>
        <v>0</v>
      </c>
      <c r="O79" s="212">
        <f>'ADJ DETAIL INPUT'!O79</f>
        <v>0</v>
      </c>
      <c r="P79" s="212">
        <f>'ADJ DETAIL INPUT'!P79</f>
        <v>0</v>
      </c>
      <c r="Q79" s="212">
        <f>'ADJ DETAIL INPUT'!Q79</f>
        <v>0</v>
      </c>
      <c r="R79" s="212">
        <f>'ADJ DETAIL INPUT'!R79</f>
        <v>0</v>
      </c>
      <c r="S79" s="212">
        <f>'ADJ DETAIL INPUT'!S79</f>
        <v>0</v>
      </c>
      <c r="T79" s="212">
        <f>'ADJ DETAIL INPUT'!T79</f>
        <v>0</v>
      </c>
      <c r="U79" s="212">
        <f>'ADJ DETAIL INPUT'!U79</f>
        <v>0</v>
      </c>
      <c r="V79" s="212">
        <f>'ADJ DETAIL INPUT'!V79</f>
        <v>0</v>
      </c>
      <c r="W79" s="212">
        <f>'ADJ DETAIL INPUT'!Y79</f>
        <v>0</v>
      </c>
      <c r="X79" s="212">
        <f>'ADJ DETAIL INPUT'!Z79</f>
        <v>0</v>
      </c>
      <c r="Y79" s="212">
        <f>'ADJ DETAIL INPUT'!AA79</f>
        <v>0</v>
      </c>
      <c r="Z79" s="212">
        <f>'ADJ DETAIL INPUT'!AB79</f>
        <v>0</v>
      </c>
      <c r="AA79" s="212">
        <f>'ADJ DETAIL INPUT'!AC79</f>
        <v>0</v>
      </c>
      <c r="AB79" s="212">
        <f>'ADJ DETAIL INPUT'!AD79</f>
        <v>0</v>
      </c>
      <c r="AC79" s="212">
        <f>'ADJ DETAIL INPUT'!AE79</f>
        <v>0</v>
      </c>
      <c r="AD79" s="212">
        <f>'ADJ DETAIL INPUT'!AF79</f>
        <v>0</v>
      </c>
      <c r="AE79" s="212">
        <f>'ADJ DETAIL INPUT'!AH79</f>
        <v>0</v>
      </c>
      <c r="AF79" s="212">
        <f>'ADJ DETAIL INPUT'!AI79</f>
        <v>0</v>
      </c>
      <c r="AG79" s="212">
        <f>'ADJ DETAIL INPUT'!AJ79</f>
        <v>0</v>
      </c>
      <c r="AH79" s="212">
        <f>'ADJ DETAIL INPUT'!AK79</f>
        <v>0</v>
      </c>
      <c r="AI79" s="212">
        <f>'ADJ DETAIL INPUT'!AL79</f>
        <v>0</v>
      </c>
      <c r="AJ79" s="212">
        <f>'ADJ DETAIL INPUT'!AN79</f>
        <v>0</v>
      </c>
      <c r="AK79" s="564"/>
    </row>
    <row r="81" spans="1:37">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564"/>
    </row>
    <row r="82" spans="1:37" s="334" customFormat="1" ht="12.75" thickBot="1">
      <c r="A82" s="170">
        <v>47</v>
      </c>
      <c r="B82" s="334" t="s">
        <v>70</v>
      </c>
      <c r="E82" s="336">
        <f>E75+E76+E77+E79+E78</f>
        <v>233475</v>
      </c>
      <c r="F82" s="336">
        <f t="shared" ref="F82:AJ82" si="75">F75+F76+F77+F79+F78</f>
        <v>-3032</v>
      </c>
      <c r="G82" s="336">
        <f t="shared" si="75"/>
        <v>0</v>
      </c>
      <c r="H82" s="336">
        <f t="shared" si="75"/>
        <v>10371</v>
      </c>
      <c r="I82" s="336">
        <f t="shared" si="75"/>
        <v>0</v>
      </c>
      <c r="J82" s="336">
        <f t="shared" si="75"/>
        <v>0</v>
      </c>
      <c r="K82" s="336">
        <f t="shared" si="75"/>
        <v>0</v>
      </c>
      <c r="L82" s="336">
        <f t="shared" si="75"/>
        <v>0</v>
      </c>
      <c r="M82" s="336">
        <f t="shared" si="75"/>
        <v>0</v>
      </c>
      <c r="N82" s="336">
        <f t="shared" si="75"/>
        <v>0</v>
      </c>
      <c r="O82" s="336">
        <f t="shared" si="75"/>
        <v>0</v>
      </c>
      <c r="P82" s="336">
        <f t="shared" si="75"/>
        <v>0</v>
      </c>
      <c r="Q82" s="336">
        <f t="shared" si="75"/>
        <v>0</v>
      </c>
      <c r="R82" s="336">
        <f t="shared" si="75"/>
        <v>0</v>
      </c>
      <c r="S82" s="336">
        <f t="shared" ref="S82" si="76">S75+S76+S77+S79+S78</f>
        <v>0</v>
      </c>
      <c r="T82" s="336">
        <f t="shared" si="75"/>
        <v>0</v>
      </c>
      <c r="U82" s="336">
        <f t="shared" si="75"/>
        <v>0</v>
      </c>
      <c r="V82" s="336">
        <f t="shared" si="75"/>
        <v>0</v>
      </c>
      <c r="W82" s="336">
        <f t="shared" si="75"/>
        <v>0</v>
      </c>
      <c r="X82" s="336">
        <f t="shared" ref="X82" si="77">X75+X76+X77+X79+X78</f>
        <v>0</v>
      </c>
      <c r="Y82" s="336">
        <f t="shared" si="75"/>
        <v>0</v>
      </c>
      <c r="Z82" s="336">
        <f t="shared" si="75"/>
        <v>0</v>
      </c>
      <c r="AA82" s="336">
        <f t="shared" si="75"/>
        <v>0</v>
      </c>
      <c r="AB82" s="336">
        <f t="shared" si="75"/>
        <v>0</v>
      </c>
      <c r="AC82" s="336">
        <f t="shared" ref="AC82" si="78">AC75+AC76+AC77+AC79+AC78</f>
        <v>0</v>
      </c>
      <c r="AD82" s="336">
        <f t="shared" si="75"/>
        <v>2960</v>
      </c>
      <c r="AE82" s="336">
        <f t="shared" ref="AE82:AH82" si="79">AE75+AE76+AE77+AE79+AE78</f>
        <v>28691</v>
      </c>
      <c r="AF82" s="336">
        <f t="shared" si="79"/>
        <v>5706</v>
      </c>
      <c r="AG82" s="336">
        <f>AG75+AG76+AG77+AG79+AG78</f>
        <v>0</v>
      </c>
      <c r="AH82" s="336">
        <f t="shared" si="79"/>
        <v>0</v>
      </c>
      <c r="AI82" s="336">
        <f t="shared" ref="AI82" si="80">AI75+AI76+AI77+AI79+AI78</f>
        <v>0</v>
      </c>
      <c r="AJ82" s="336">
        <f t="shared" si="75"/>
        <v>7915</v>
      </c>
      <c r="AK82" s="573"/>
    </row>
    <row r="83" spans="1:37" ht="18" customHeight="1" thickTop="1">
      <c r="E83" s="290"/>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564"/>
    </row>
    <row r="84" spans="1:37">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564"/>
    </row>
    <row r="85" spans="1:37">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564"/>
    </row>
    <row r="86" spans="1:37" s="195" customFormat="1">
      <c r="A86" s="194"/>
      <c r="D86" s="196"/>
      <c r="E86" s="345"/>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564"/>
    </row>
    <row r="87" spans="1:37" s="195" customFormat="1">
      <c r="A87" s="198"/>
      <c r="D87" s="196"/>
      <c r="E87" s="34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564"/>
    </row>
    <row r="88" spans="1:37" s="195" customFormat="1">
      <c r="A88" s="198"/>
      <c r="D88" s="196"/>
      <c r="E88" s="216"/>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564"/>
    </row>
    <row r="89" spans="1:37" s="195" customFormat="1">
      <c r="A89" s="198"/>
      <c r="D89" s="19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565"/>
    </row>
    <row r="90" spans="1:37" s="195" customFormat="1">
      <c r="A90" s="198"/>
      <c r="D90" s="19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565"/>
    </row>
    <row r="91" spans="1:37" s="195" customFormat="1">
      <c r="A91" s="198"/>
      <c r="D91" s="196"/>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566"/>
    </row>
    <row r="92" spans="1:37" s="195" customFormat="1">
      <c r="A92" s="194"/>
      <c r="D92" s="196"/>
      <c r="E92" s="197"/>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566"/>
    </row>
    <row r="93" spans="1:37" s="195" customFormat="1">
      <c r="A93" s="198"/>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566"/>
    </row>
    <row r="94" spans="1:37" s="195" customFormat="1">
      <c r="A94" s="198"/>
      <c r="D94" s="196"/>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566"/>
    </row>
    <row r="95" spans="1:37" s="195" customFormat="1">
      <c r="A95" s="198"/>
      <c r="D95" s="196"/>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566"/>
    </row>
    <row r="96" spans="1:37" s="195" customFormat="1">
      <c r="A96" s="198"/>
      <c r="D96" s="199"/>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566"/>
    </row>
    <row r="97" spans="1:37" s="195" customFormat="1">
      <c r="A97" s="198"/>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567"/>
    </row>
    <row r="98" spans="1:37" s="195" customFormat="1">
      <c r="A98" s="198"/>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567"/>
    </row>
  </sheetData>
  <pageMargins left="0.75" right="0.5" top="0.72" bottom="0.84" header="0.5" footer="0.5"/>
  <pageSetup scale="68" firstPageNumber="4" fitToWidth="2" orientation="portrait" r:id="rId1"/>
  <headerFooter scaleWithDoc="0" alignWithMargins="0"/>
  <colBreaks count="32" manualBreakCount="32">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brk id="17" max="1048575" man="1"/>
    <brk id="18" max="1048575" man="1"/>
    <brk id="19" max="1048575" man="1"/>
    <brk id="20" max="1048575" man="1"/>
    <brk id="21" max="1048575" man="1"/>
    <brk id="22" max="1048575" man="1"/>
    <brk id="23" max="1048575" man="1"/>
    <brk id="24" max="1048575" man="1"/>
    <brk id="25" max="1048575" man="1"/>
    <brk id="26" max="1048575" man="1"/>
    <brk id="27" max="1048575" man="1"/>
    <brk id="28" max="1048575" man="1"/>
    <brk id="29" max="1048575" man="1"/>
    <brk id="30" max="1048575" man="1"/>
    <brk id="31" max="1048575" man="1"/>
    <brk id="32" max="1048575" man="1"/>
    <brk id="33" max="1048575" man="1"/>
    <brk id="34" max="1048575" man="1"/>
    <brk id="35" max="1048575" man="1"/>
    <brk id="36" max="1048575" man="1"/>
  </colBreaks>
</worksheet>
</file>

<file path=xl/worksheets/sheet6.xml><?xml version="1.0" encoding="utf-8"?>
<worksheet xmlns="http://schemas.openxmlformats.org/spreadsheetml/2006/main" xmlns:r="http://schemas.openxmlformats.org/officeDocument/2006/relationships">
  <sheetPr codeName="Sheet3">
    <pageSetUpPr fitToPage="1"/>
  </sheetPr>
  <dimension ref="A1:M66"/>
  <sheetViews>
    <sheetView view="pageBreakPreview" zoomScale="115" zoomScaleNormal="100" zoomScaleSheetLayoutView="115" workbookViewId="0">
      <selection activeCell="C63" sqref="C63"/>
    </sheetView>
  </sheetViews>
  <sheetFormatPr defaultColWidth="11.42578125" defaultRowHeight="12.75"/>
  <cols>
    <col min="1" max="1" width="6.42578125" style="36" customWidth="1"/>
    <col min="2" max="2" width="8.5703125" style="276" bestFit="1" customWidth="1"/>
    <col min="3" max="3" width="41.85546875" style="36" customWidth="1"/>
    <col min="4" max="5" width="11.42578125" style="36" customWidth="1"/>
    <col min="6" max="6" width="7.7109375" style="389" customWidth="1"/>
    <col min="7" max="7" width="7.28515625" style="388" hidden="1" customWidth="1"/>
    <col min="8" max="8" width="10.5703125" style="389" hidden="1" customWidth="1"/>
    <col min="9" max="9" width="7.28515625" style="389" bestFit="1" customWidth="1"/>
    <col min="10" max="10" width="8.42578125" style="389" bestFit="1" customWidth="1"/>
    <col min="11" max="11" width="9" style="36" customWidth="1"/>
    <col min="12" max="12" width="11.42578125" style="36" customWidth="1"/>
    <col min="13" max="16384" width="11.42578125" style="36"/>
  </cols>
  <sheetData>
    <row r="1" spans="1:12">
      <c r="A1" s="657" t="str">
        <f>'ADJ DETAIL INPUT'!A2</f>
        <v>AVISTA UTILITIES</v>
      </c>
      <c r="B1" s="657"/>
      <c r="C1" s="657"/>
      <c r="D1" s="657"/>
      <c r="E1" s="657"/>
      <c r="F1" s="657"/>
      <c r="G1" s="141"/>
      <c r="H1" s="36"/>
      <c r="I1" s="388"/>
      <c r="K1" s="128"/>
      <c r="L1" s="50"/>
    </row>
    <row r="2" spans="1:12">
      <c r="A2" s="667" t="s">
        <v>71</v>
      </c>
      <c r="B2" s="667"/>
      <c r="C2" s="667"/>
      <c r="D2" s="667"/>
      <c r="E2" s="667"/>
      <c r="F2" s="667"/>
      <c r="G2" s="141"/>
      <c r="H2" s="36"/>
      <c r="K2" s="128"/>
      <c r="L2" s="49"/>
    </row>
    <row r="3" spans="1:12" s="49" customFormat="1">
      <c r="A3" s="666" t="s">
        <v>155</v>
      </c>
      <c r="B3" s="666"/>
      <c r="C3" s="666"/>
      <c r="D3" s="666"/>
      <c r="E3" s="666"/>
      <c r="F3" s="666"/>
      <c r="G3" s="388"/>
      <c r="H3" s="389"/>
      <c r="I3" s="390"/>
      <c r="J3" s="390"/>
      <c r="K3" s="51"/>
      <c r="L3" s="52"/>
    </row>
    <row r="4" spans="1:12" s="49" customFormat="1">
      <c r="A4" s="666" t="str">
        <f>'PROP0SED RATES-2016'!A5</f>
        <v>TWELVE MONTHS ENDED SEPTEMBER 30, 2014</v>
      </c>
      <c r="B4" s="666"/>
      <c r="C4" s="666"/>
      <c r="D4" s="666"/>
      <c r="E4" s="666"/>
      <c r="F4" s="666"/>
      <c r="G4" s="388"/>
      <c r="H4" s="389"/>
      <c r="I4" s="390"/>
      <c r="J4" s="390"/>
      <c r="K4" s="51"/>
      <c r="L4" s="52"/>
    </row>
    <row r="5" spans="1:12" s="49" customFormat="1">
      <c r="A5" s="36"/>
      <c r="B5" s="276"/>
      <c r="C5" s="36"/>
      <c r="D5" s="391"/>
      <c r="E5" s="391" t="s">
        <v>71</v>
      </c>
      <c r="F5" s="389"/>
      <c r="G5" s="388"/>
      <c r="H5" s="389"/>
      <c r="I5" s="390"/>
      <c r="J5" s="390"/>
      <c r="K5" s="51"/>
      <c r="L5" s="53"/>
    </row>
    <row r="6" spans="1:12">
      <c r="A6" s="391" t="s">
        <v>72</v>
      </c>
      <c r="B6" s="391" t="s">
        <v>252</v>
      </c>
      <c r="C6" s="391" t="s">
        <v>73</v>
      </c>
      <c r="D6" s="391" t="s">
        <v>74</v>
      </c>
      <c r="E6" s="391" t="s">
        <v>20</v>
      </c>
      <c r="F6" s="59" t="s">
        <v>75</v>
      </c>
      <c r="G6" s="152" t="s">
        <v>123</v>
      </c>
      <c r="H6" s="391" t="s">
        <v>124</v>
      </c>
      <c r="I6" s="379" t="s">
        <v>193</v>
      </c>
      <c r="J6" s="379" t="s">
        <v>194</v>
      </c>
      <c r="K6" s="380" t="s">
        <v>442</v>
      </c>
      <c r="L6" s="390"/>
    </row>
    <row r="7" spans="1:12">
      <c r="A7" s="374" t="s">
        <v>461</v>
      </c>
      <c r="B7" s="390"/>
      <c r="C7" s="390"/>
      <c r="D7" s="390"/>
      <c r="E7" s="390"/>
      <c r="F7" s="390"/>
      <c r="G7" s="373"/>
      <c r="H7" s="390"/>
      <c r="I7" s="390"/>
      <c r="J7" s="390"/>
      <c r="K7" s="49"/>
      <c r="L7" s="390"/>
    </row>
    <row r="8" spans="1:12">
      <c r="A8" s="457">
        <f>'ADJ DETAIL INPUT'!E$11</f>
        <v>1</v>
      </c>
      <c r="B8" s="278" t="str">
        <f>'ADJ DETAIL INPUT'!E$12</f>
        <v>G-ROO</v>
      </c>
      <c r="C8" s="55" t="str">
        <f>TRIM(CONCATENATE('ADJ DETAIL INPUT'!E$8," ",'ADJ DETAIL INPUT'!E$9," ",'ADJ DETAIL INPUT'!E$10))</f>
        <v>Per Results Report</v>
      </c>
      <c r="D8" s="56">
        <f>'ADJ DETAIL INPUT'!E$59</f>
        <v>15002</v>
      </c>
      <c r="E8" s="56">
        <f>'ADJ DETAIL INPUT'!E$82</f>
        <v>233475</v>
      </c>
      <c r="G8" s="388" t="s">
        <v>183</v>
      </c>
      <c r="I8" s="576" t="s">
        <v>133</v>
      </c>
      <c r="J8" s="550"/>
      <c r="K8" s="547" t="s">
        <v>125</v>
      </c>
      <c r="L8" s="52"/>
    </row>
    <row r="9" spans="1:12">
      <c r="A9" s="457">
        <f>'ADJ DETAIL INPUT'!F$11</f>
        <v>1.01</v>
      </c>
      <c r="B9" s="278" t="str">
        <f>'ADJ DETAIL INPUT'!F$12</f>
        <v>G-DFIT</v>
      </c>
      <c r="C9" s="55" t="str">
        <f>TRIM(CONCATENATE('ADJ DETAIL INPUT'!F$8," ",'ADJ DETAIL INPUT'!F$9," ",'ADJ DETAIL INPUT'!F$10))</f>
        <v>Deferred FIT Rate Base</v>
      </c>
      <c r="D9" s="157">
        <f>'ADJ DETAIL INPUT'!F$59</f>
        <v>-28.758519999999997</v>
      </c>
      <c r="E9" s="157">
        <f>'ADJ DETAIL INPUT'!F$82</f>
        <v>-3032</v>
      </c>
      <c r="G9" s="388" t="s">
        <v>129</v>
      </c>
      <c r="H9" s="36"/>
      <c r="I9" s="574" t="s">
        <v>133</v>
      </c>
      <c r="J9" s="550"/>
      <c r="K9" s="547" t="s">
        <v>125</v>
      </c>
      <c r="L9" s="52"/>
    </row>
    <row r="10" spans="1:12">
      <c r="A10" s="457">
        <f>'ADJ DETAIL INPUT'!G$11</f>
        <v>1.02</v>
      </c>
      <c r="B10" s="278" t="str">
        <f>'ADJ DETAIL INPUT'!G$12</f>
        <v>G-DDC</v>
      </c>
      <c r="C10" s="55" t="str">
        <f>TRIM(CONCATENATE('ADJ DETAIL INPUT'!G$8," ",'ADJ DETAIL INPUT'!G$9," ",'ADJ DETAIL INPUT'!G$10))</f>
        <v>Deferred Debits and Credits</v>
      </c>
      <c r="D10" s="157">
        <f>'ADJ DETAIL INPUT'!G$59</f>
        <v>-0.65</v>
      </c>
      <c r="E10" s="157">
        <f>'ADJ DETAIL INPUT'!G$82</f>
        <v>0</v>
      </c>
      <c r="G10" s="388" t="s">
        <v>183</v>
      </c>
      <c r="I10" s="578" t="s">
        <v>473</v>
      </c>
      <c r="J10" s="550"/>
      <c r="K10" s="547" t="s">
        <v>125</v>
      </c>
      <c r="L10" s="52"/>
    </row>
    <row r="11" spans="1:12">
      <c r="A11" s="457">
        <f>'ADJ DETAIL INPUT'!H$11</f>
        <v>1.03</v>
      </c>
      <c r="B11" s="278" t="str">
        <f>'ADJ DETAIL INPUT'!H$12</f>
        <v>G-WC</v>
      </c>
      <c r="C11" s="55" t="str">
        <f>TRIM(CONCATENATE('ADJ DETAIL INPUT'!H$8," ",'ADJ DETAIL INPUT'!H$9," ",'ADJ DETAIL INPUT'!H$10))</f>
        <v>Working Capital</v>
      </c>
      <c r="D11" s="157">
        <f>'ADJ DETAIL INPUT'!H$59</f>
        <v>98.368934999999993</v>
      </c>
      <c r="E11" s="157">
        <f>'ADJ DETAIL INPUT'!H$82</f>
        <v>10371</v>
      </c>
      <c r="G11" s="388" t="s">
        <v>183</v>
      </c>
      <c r="I11" s="580" t="s">
        <v>475</v>
      </c>
      <c r="J11" s="580"/>
      <c r="K11" s="547" t="s">
        <v>125</v>
      </c>
      <c r="L11" s="52"/>
    </row>
    <row r="12" spans="1:12">
      <c r="A12" s="457">
        <f>'ADJ DETAIL INPUT'!I$11</f>
        <v>2.0099999999999998</v>
      </c>
      <c r="B12" s="278" t="str">
        <f>'ADJ DETAIL INPUT'!I$12</f>
        <v>G-EBO</v>
      </c>
      <c r="C12" s="55" t="str">
        <f>TRIM(CONCATENATE('ADJ DETAIL INPUT'!I$8," ",'ADJ DETAIL INPUT'!I$9," ",'ADJ DETAIL INPUT'!I$10))</f>
        <v>Eliminate B &amp; O Taxes</v>
      </c>
      <c r="D12" s="157">
        <f>'ADJ DETAIL INPUT'!I$59</f>
        <v>-7.15</v>
      </c>
      <c r="E12" s="157">
        <f>'ADJ DETAIL INPUT'!I$82</f>
        <v>0</v>
      </c>
      <c r="G12" s="388" t="s">
        <v>183</v>
      </c>
      <c r="I12" s="550" t="s">
        <v>475</v>
      </c>
      <c r="K12" s="547" t="s">
        <v>125</v>
      </c>
      <c r="L12" s="52"/>
    </row>
    <row r="13" spans="1:12">
      <c r="A13" s="457">
        <f>'ADJ DETAIL INPUT'!J$11</f>
        <v>2.0199999999999996</v>
      </c>
      <c r="B13" s="278" t="str">
        <f>'ADJ DETAIL INPUT'!J$12</f>
        <v>G-RPT</v>
      </c>
      <c r="C13" s="55" t="str">
        <f>TRIM(CONCATENATE('ADJ DETAIL INPUT'!J$8," ",'ADJ DETAIL INPUT'!J$9," ",'ADJ DETAIL INPUT'!J$10))</f>
        <v>Restate Property Tax</v>
      </c>
      <c r="D13" s="157">
        <f>'ADJ DETAIL INPUT'!J$59</f>
        <v>-52</v>
      </c>
      <c r="E13" s="157">
        <f>'ADJ DETAIL INPUT'!J$82</f>
        <v>0</v>
      </c>
      <c r="G13" s="388" t="s">
        <v>183</v>
      </c>
      <c r="I13" s="579" t="s">
        <v>473</v>
      </c>
      <c r="J13" s="550"/>
      <c r="K13" s="547" t="s">
        <v>125</v>
      </c>
      <c r="L13" s="52"/>
    </row>
    <row r="14" spans="1:12">
      <c r="A14" s="457">
        <f>'ADJ DETAIL INPUT'!K$11</f>
        <v>2.0299999999999994</v>
      </c>
      <c r="B14" s="278" t="str">
        <f>'ADJ DETAIL INPUT'!K$12</f>
        <v>G-UE</v>
      </c>
      <c r="C14" s="55" t="str">
        <f>TRIM(CONCATENATE('ADJ DETAIL INPUT'!K$8," ",'ADJ DETAIL INPUT'!K$9," ",'ADJ DETAIL INPUT'!K$10))</f>
        <v>Uncollectible Expense</v>
      </c>
      <c r="D14" s="157">
        <f>'ADJ DETAIL INPUT'!K$59</f>
        <v>97.5</v>
      </c>
      <c r="E14" s="157">
        <f>'ADJ DETAIL INPUT'!K$82</f>
        <v>0</v>
      </c>
      <c r="G14" s="388" t="s">
        <v>183</v>
      </c>
      <c r="I14" s="577" t="s">
        <v>475</v>
      </c>
      <c r="J14" s="577"/>
      <c r="K14" s="547" t="s">
        <v>125</v>
      </c>
      <c r="L14" s="52"/>
    </row>
    <row r="15" spans="1:12">
      <c r="A15" s="457">
        <f>'ADJ DETAIL INPUT'!L$11</f>
        <v>2.0399999999999991</v>
      </c>
      <c r="B15" s="278" t="str">
        <f>'ADJ DETAIL INPUT'!L$12</f>
        <v>G-RE</v>
      </c>
      <c r="C15" s="55" t="str">
        <f>TRIM(CONCATENATE('ADJ DETAIL INPUT'!L$8," ",'ADJ DETAIL INPUT'!L$9," ",'ADJ DETAIL INPUT'!L$10))</f>
        <v>Regulatory Expense</v>
      </c>
      <c r="D15" s="157">
        <f>'ADJ DETAIL INPUT'!L$59</f>
        <v>-20.8</v>
      </c>
      <c r="E15" s="157">
        <f>'ADJ DETAIL INPUT'!L$82</f>
        <v>0</v>
      </c>
      <c r="G15" s="388" t="s">
        <v>172</v>
      </c>
      <c r="I15" s="577" t="s">
        <v>475</v>
      </c>
      <c r="J15" s="577"/>
      <c r="K15" s="547" t="s">
        <v>125</v>
      </c>
      <c r="L15" s="52"/>
    </row>
    <row r="16" spans="1:12">
      <c r="A16" s="457">
        <f>'ADJ DETAIL INPUT'!M$11</f>
        <v>2.0499999999999989</v>
      </c>
      <c r="B16" s="278" t="str">
        <f>'ADJ DETAIL INPUT'!M$12</f>
        <v>G-ID</v>
      </c>
      <c r="C16" s="55" t="str">
        <f>TRIM(CONCATENATE('ADJ DETAIL INPUT'!M$8," ",'ADJ DETAIL INPUT'!M$9," ",'ADJ DETAIL INPUT'!M$10))</f>
        <v>Injuries and Damages</v>
      </c>
      <c r="D16" s="157">
        <f>'ADJ DETAIL INPUT'!M$59</f>
        <v>-182</v>
      </c>
      <c r="E16" s="157">
        <f>'ADJ DETAIL INPUT'!M$82</f>
        <v>0</v>
      </c>
      <c r="G16" s="388" t="s">
        <v>172</v>
      </c>
      <c r="I16" s="578" t="s">
        <v>473</v>
      </c>
      <c r="J16" s="550"/>
      <c r="K16" s="547" t="s">
        <v>125</v>
      </c>
      <c r="L16" s="52"/>
    </row>
    <row r="17" spans="1:12">
      <c r="A17" s="457">
        <f>'ADJ DETAIL INPUT'!N$11</f>
        <v>2.0599999999999987</v>
      </c>
      <c r="B17" s="278" t="str">
        <f>'ADJ DETAIL INPUT'!N$12</f>
        <v>G-FIT</v>
      </c>
      <c r="C17" s="55" t="str">
        <f>TRIM(CONCATENATE('ADJ DETAIL INPUT'!N$8," ",'ADJ DETAIL INPUT'!N$9," ",'ADJ DETAIL INPUT'!N$10))</f>
        <v>FIT / DFIT Expense</v>
      </c>
      <c r="D17" s="458">
        <f>'ADJ DETAIL INPUT'!N$59</f>
        <v>0</v>
      </c>
      <c r="E17" s="157">
        <f>'ADJ DETAIL INPUT'!N$82</f>
        <v>0</v>
      </c>
      <c r="G17" s="388" t="s">
        <v>129</v>
      </c>
      <c r="H17" s="36"/>
      <c r="I17" s="595" t="s">
        <v>133</v>
      </c>
      <c r="J17" s="550"/>
      <c r="K17" s="547" t="s">
        <v>125</v>
      </c>
      <c r="L17" s="52"/>
    </row>
    <row r="18" spans="1:12">
      <c r="A18" s="457">
        <f>'ADJ DETAIL INPUT'!O$11</f>
        <v>2.0699999999999985</v>
      </c>
      <c r="B18" s="278" t="str">
        <f>'ADJ DETAIL INPUT'!O$12</f>
        <v>G-OSC</v>
      </c>
      <c r="C18" s="55" t="str">
        <f>TRIM(CONCATENATE('ADJ DETAIL INPUT'!O$8," ",'ADJ DETAIL INPUT'!O$9," ",'ADJ DETAIL INPUT'!O$10))</f>
        <v>Office Space Charges to Subs</v>
      </c>
      <c r="D18" s="157">
        <f>'ADJ DETAIL INPUT'!O$59</f>
        <v>1.3</v>
      </c>
      <c r="E18" s="157">
        <f>'ADJ DETAIL INPUT'!O$82</f>
        <v>0</v>
      </c>
      <c r="G18" s="388" t="s">
        <v>183</v>
      </c>
      <c r="H18" s="36"/>
      <c r="I18" s="582" t="s">
        <v>475</v>
      </c>
      <c r="J18" s="582"/>
      <c r="K18" s="547" t="s">
        <v>125</v>
      </c>
      <c r="L18" s="52"/>
    </row>
    <row r="19" spans="1:12">
      <c r="A19" s="457">
        <f>'ADJ DETAIL INPUT'!P$11</f>
        <v>2.0799999999999983</v>
      </c>
      <c r="B19" s="278" t="str">
        <f>'ADJ DETAIL INPUT'!P$12</f>
        <v>G-RET</v>
      </c>
      <c r="C19" s="55" t="str">
        <f>TRIM(CONCATENATE('ADJ DETAIL INPUT'!P$8," ",'ADJ DETAIL INPUT'!P$9," ",'ADJ DETAIL INPUT'!P$10))</f>
        <v>Restate Excise Taxes</v>
      </c>
      <c r="D19" s="157">
        <f>'ADJ DETAIL INPUT'!P$59</f>
        <v>-213.2</v>
      </c>
      <c r="E19" s="157">
        <f>'ADJ DETAIL INPUT'!P$82</f>
        <v>0</v>
      </c>
      <c r="G19" s="388" t="s">
        <v>183</v>
      </c>
      <c r="H19" s="36"/>
      <c r="I19" s="577" t="s">
        <v>475</v>
      </c>
      <c r="J19" s="577"/>
      <c r="K19" s="547" t="s">
        <v>125</v>
      </c>
      <c r="L19" s="52"/>
    </row>
    <row r="20" spans="1:12">
      <c r="A20" s="457">
        <f>'ADJ DETAIL INPUT'!Q$11</f>
        <v>2.0899999999999981</v>
      </c>
      <c r="B20" s="278" t="str">
        <f>'ADJ DETAIL INPUT'!Q$12</f>
        <v>G-NGL</v>
      </c>
      <c r="C20" s="55" t="str">
        <f>TRIM(CONCATENATE('ADJ DETAIL INPUT'!Q$8," ",'ADJ DETAIL INPUT'!Q$9," ",'ADJ DETAIL INPUT'!Q$10))</f>
        <v>Net Gains/Losses</v>
      </c>
      <c r="D20" s="157">
        <f>'ADJ DETAIL INPUT'!Q$59</f>
        <v>3.25</v>
      </c>
      <c r="E20" s="157">
        <f>'ADJ DETAIL INPUT'!Q$82</f>
        <v>0</v>
      </c>
      <c r="G20" s="388" t="s">
        <v>172</v>
      </c>
      <c r="I20" s="581" t="s">
        <v>475</v>
      </c>
      <c r="J20" s="581"/>
      <c r="K20" s="547" t="s">
        <v>125</v>
      </c>
      <c r="L20" s="52"/>
    </row>
    <row r="21" spans="1:12">
      <c r="A21" s="457">
        <f>'ADJ DETAIL INPUT'!R$11</f>
        <v>2.0999999999999979</v>
      </c>
      <c r="B21" s="278" t="str">
        <f>'ADJ DETAIL INPUT'!R$12</f>
        <v>G-RNGC</v>
      </c>
      <c r="C21" s="55" t="str">
        <f>TRIM(CONCATENATE('ADJ DETAIL INPUT'!R$8," ",'ADJ DETAIL INPUT'!R$9," ",'ADJ DETAIL INPUT'!R$10))</f>
        <v>Weather Normalization / Gas Cost Adjust</v>
      </c>
      <c r="D21" s="157">
        <f>'ADJ DETAIL INPUT'!R$59</f>
        <v>-496.6</v>
      </c>
      <c r="E21" s="157">
        <f>'ADJ DETAIL INPUT'!R$82</f>
        <v>0</v>
      </c>
      <c r="G21" s="388" t="s">
        <v>186</v>
      </c>
      <c r="H21" s="36"/>
      <c r="I21" s="585" t="s">
        <v>526</v>
      </c>
      <c r="J21" s="550"/>
      <c r="K21" s="547" t="s">
        <v>125</v>
      </c>
      <c r="L21" s="52"/>
    </row>
    <row r="22" spans="1:12" s="547" customFormat="1">
      <c r="A22" s="560">
        <f>'ADJ DETAIL INPUT'!S$11</f>
        <v>2.1099999999999977</v>
      </c>
      <c r="B22" s="561" t="str">
        <f>'ADJ DETAIL INPUT'!S$12</f>
        <v>G-EAS</v>
      </c>
      <c r="C22" s="553" t="str">
        <f>TRIM(CONCATENATE('ADJ DETAIL INPUT'!S$8," ",'ADJ DETAIL INPUT'!S$9," ",'ADJ DETAIL INPUT'!S$10))</f>
        <v>Eliminate Adder Schedules</v>
      </c>
      <c r="D22" s="554">
        <f>'ADJ DETAIL INPUT'!S$59</f>
        <v>0</v>
      </c>
      <c r="E22" s="554">
        <f>'ADJ DETAIL INPUT'!S$82</f>
        <v>0</v>
      </c>
      <c r="F22" s="550"/>
      <c r="G22" s="548" t="s">
        <v>186</v>
      </c>
      <c r="I22" s="585" t="s">
        <v>526</v>
      </c>
      <c r="J22" s="550"/>
      <c r="K22" s="547" t="s">
        <v>125</v>
      </c>
      <c r="L22" s="552"/>
    </row>
    <row r="23" spans="1:12" s="121" customFormat="1">
      <c r="A23" s="457">
        <f>'ADJ DETAIL INPUT'!T$11</f>
        <v>2.1199999999999974</v>
      </c>
      <c r="B23" s="278" t="str">
        <f>'ADJ DETAIL INPUT'!T$12</f>
        <v>G-MR</v>
      </c>
      <c r="C23" s="459" t="str">
        <f>TRIM(CONCATENATE('ADJ DETAIL INPUT'!T$8," ",'ADJ DETAIL INPUT'!T$9," ",'ADJ DETAIL INPUT'!T$10))</f>
        <v>Misc Restating Adjustments</v>
      </c>
      <c r="D23" s="458">
        <f>'ADJ DETAIL INPUT'!T$59</f>
        <v>-3.25</v>
      </c>
      <c r="E23" s="458">
        <f>'ADJ DETAIL INPUT'!T$82</f>
        <v>0</v>
      </c>
      <c r="F23" s="57"/>
      <c r="G23" s="388" t="s">
        <v>185</v>
      </c>
      <c r="H23" s="389"/>
      <c r="I23" s="586" t="s">
        <v>473</v>
      </c>
      <c r="J23" s="550"/>
      <c r="K23" s="547" t="s">
        <v>125</v>
      </c>
      <c r="L23" s="120"/>
    </row>
    <row r="24" spans="1:12" s="121" customFormat="1" ht="14.25" customHeight="1">
      <c r="A24" s="457">
        <f>'ADJ DETAIL INPUT'!U$11</f>
        <v>2.1299999999999972</v>
      </c>
      <c r="B24" s="278" t="str">
        <f>'ADJ DETAIL INPUT'!U$12</f>
        <v>G-RI</v>
      </c>
      <c r="C24" s="459" t="str">
        <f>TRIM(CONCATENATE('ADJ DETAIL INPUT'!U$8," ",'ADJ DETAIL INPUT'!U$9," ",'ADJ DETAIL INPUT'!U$10))</f>
        <v>Restating Incentive Adjustment</v>
      </c>
      <c r="D24" s="458">
        <f>'ADJ DETAIL INPUT'!U$59</f>
        <v>216.45</v>
      </c>
      <c r="E24" s="458">
        <f>'ADJ DETAIL INPUT'!U$82</f>
        <v>0</v>
      </c>
      <c r="F24" s="57"/>
      <c r="G24" s="153"/>
      <c r="H24" s="57"/>
      <c r="I24" s="589" t="s">
        <v>255</v>
      </c>
      <c r="J24" s="550"/>
      <c r="K24" s="547" t="s">
        <v>125</v>
      </c>
      <c r="L24" s="120"/>
    </row>
    <row r="25" spans="1:12" s="121" customFormat="1">
      <c r="A25" s="457">
        <f>'ADJ DETAIL INPUT'!V$11</f>
        <v>2.139999999999997</v>
      </c>
      <c r="B25" s="278" t="str">
        <f>'ADJ DETAIL INPUT'!V$12</f>
        <v>G-DI</v>
      </c>
      <c r="C25" s="459" t="str">
        <f>TRIM(CONCATENATE('ADJ DETAIL INPUT'!V$8," ",'ADJ DETAIL INPUT'!V$9," ",'ADJ DETAIL INPUT'!V$10))</f>
        <v>Restate Debt Interest</v>
      </c>
      <c r="D25" s="458">
        <f>'ADJ DETAIL INPUT'!V$59</f>
        <v>-136</v>
      </c>
      <c r="E25" s="458">
        <f>'ADJ DETAIL INPUT'!V$82</f>
        <v>0</v>
      </c>
      <c r="F25" s="57"/>
      <c r="G25" s="153"/>
      <c r="H25" s="57" t="s">
        <v>125</v>
      </c>
      <c r="I25" s="597" t="s">
        <v>531</v>
      </c>
      <c r="J25" s="550"/>
      <c r="K25" s="547" t="s">
        <v>125</v>
      </c>
      <c r="L25" s="120"/>
    </row>
    <row r="26" spans="1:12" hidden="1">
      <c r="A26" s="457" t="e">
        <f>'ADJ DETAIL INPUT'!W$11</f>
        <v>#REF!</v>
      </c>
      <c r="B26" s="278" t="str">
        <f>'ADJ DETAIL INPUT'!W$12</f>
        <v>OPEN</v>
      </c>
      <c r="C26" s="55" t="str">
        <f>TRIM(CONCATENATE('ADJ DETAIL INPUT'!W$8," ",'ADJ DETAIL INPUT'!W$9," ",'ADJ DETAIL INPUT'!W$10))</f>
        <v>OPEN</v>
      </c>
      <c r="D26" s="157">
        <f>'ADJ DETAIL INPUT'!W$59</f>
        <v>0</v>
      </c>
      <c r="E26" s="157">
        <f>'ADJ DETAIL INPUT'!W$82</f>
        <v>0</v>
      </c>
      <c r="G26" s="388" t="s">
        <v>183</v>
      </c>
      <c r="H26" s="36"/>
      <c r="J26" s="550"/>
      <c r="K26" s="49"/>
      <c r="L26" s="52"/>
    </row>
    <row r="27" spans="1:12" ht="6.75" customHeight="1">
      <c r="A27" s="457"/>
      <c r="B27" s="278"/>
      <c r="C27" s="55"/>
      <c r="D27" s="157"/>
      <c r="E27" s="157"/>
      <c r="J27" s="550"/>
      <c r="K27" s="49"/>
      <c r="L27" s="52"/>
    </row>
    <row r="28" spans="1:12" ht="13.5" thickBot="1">
      <c r="A28" s="209"/>
      <c r="B28" s="277"/>
      <c r="C28" s="36" t="s">
        <v>76</v>
      </c>
      <c r="D28" s="58">
        <f>SUM(D8:D27)</f>
        <v>14278.460415000001</v>
      </c>
      <c r="E28" s="58">
        <f>SUM(E8:E27)</f>
        <v>240814</v>
      </c>
      <c r="F28" s="387"/>
      <c r="H28" s="460" t="str">
        <f>'ADJ DETAIL INPUT'!X83</f>
        <v>(1)</v>
      </c>
      <c r="I28" s="390"/>
      <c r="J28" s="551"/>
      <c r="K28" s="49"/>
      <c r="L28" s="52"/>
    </row>
    <row r="29" spans="1:12" ht="13.5" customHeight="1" thickTop="1">
      <c r="A29" s="156" t="s">
        <v>460</v>
      </c>
      <c r="B29" s="278"/>
      <c r="D29" s="55"/>
      <c r="H29" s="36"/>
      <c r="I29" s="390"/>
      <c r="J29" s="551"/>
      <c r="K29" s="49"/>
      <c r="L29" s="52"/>
    </row>
    <row r="30" spans="1:12">
      <c r="A30" s="457">
        <f>'ADJ DETAIL INPUT'!Y$11</f>
        <v>3</v>
      </c>
      <c r="B30" s="278" t="str">
        <f>'ADJ DETAIL INPUT'!Y$12</f>
        <v>G-PLN</v>
      </c>
      <c r="C30" s="55" t="str">
        <f>TRIM(CONCATENATE('ADJ DETAIL INPUT'!Y$8," ",'ADJ DETAIL INPUT'!Y$9," ",'ADJ DETAIL INPUT'!Y$10))</f>
        <v>Pro Forma Labor Non-Exec</v>
      </c>
      <c r="D30" s="157">
        <f>'ADJ DETAIL INPUT'!Y$59</f>
        <v>-749.79774999999995</v>
      </c>
      <c r="E30" s="157">
        <f>'ADJ DETAIL INPUT'!Y$82</f>
        <v>0</v>
      </c>
      <c r="G30" s="388" t="s">
        <v>172</v>
      </c>
      <c r="I30" s="589" t="s">
        <v>255</v>
      </c>
      <c r="J30" s="550"/>
      <c r="K30" s="547" t="s">
        <v>125</v>
      </c>
      <c r="L30" s="52"/>
    </row>
    <row r="31" spans="1:12" ht="13.5" customHeight="1">
      <c r="A31" s="457">
        <f>'ADJ DETAIL INPUT'!Z$11</f>
        <v>3.01</v>
      </c>
      <c r="B31" s="278" t="str">
        <f>'ADJ DETAIL INPUT'!Z$12</f>
        <v>G-PLE</v>
      </c>
      <c r="C31" s="55" t="str">
        <f>TRIM(CONCATENATE('ADJ DETAIL INPUT'!Z$8," ",'ADJ DETAIL INPUT'!Z$9," ",'ADJ DETAIL INPUT'!Z$10))</f>
        <v>Pro Forma Labor Exec</v>
      </c>
      <c r="D31" s="157">
        <f>'ADJ DETAIL INPUT'!Z$59</f>
        <v>-32.475300000000004</v>
      </c>
      <c r="E31" s="157">
        <f>'ADJ DETAIL INPUT'!Z$82</f>
        <v>0</v>
      </c>
      <c r="G31" s="388" t="s">
        <v>172</v>
      </c>
      <c r="I31" s="589" t="s">
        <v>255</v>
      </c>
      <c r="J31" s="550"/>
      <c r="K31" s="547" t="s">
        <v>125</v>
      </c>
      <c r="L31" s="52"/>
    </row>
    <row r="32" spans="1:12">
      <c r="A32" s="457">
        <f>'ADJ DETAIL INPUT'!AA$11</f>
        <v>3.0199999999999996</v>
      </c>
      <c r="B32" s="278" t="str">
        <f>'ADJ DETAIL INPUT'!AA$12</f>
        <v>G-PEB</v>
      </c>
      <c r="C32" s="55" t="str">
        <f>TRIM(CONCATENATE('ADJ DETAIL INPUT'!AA$8," ",'ADJ DETAIL INPUT'!AA$9," ",'ADJ DETAIL INPUT'!AA$10))</f>
        <v>Pro Forma Employee Benefits</v>
      </c>
      <c r="D32" s="157">
        <f>'ADJ DETAIL INPUT'!AA$59</f>
        <v>-465.91545000000002</v>
      </c>
      <c r="E32" s="157">
        <f>'ADJ DETAIL INPUT'!AA$82</f>
        <v>0</v>
      </c>
      <c r="G32" s="388" t="s">
        <v>172</v>
      </c>
      <c r="I32" s="589" t="s">
        <v>255</v>
      </c>
      <c r="J32" s="550"/>
      <c r="K32" s="547" t="s">
        <v>125</v>
      </c>
      <c r="L32" s="52"/>
    </row>
    <row r="33" spans="1:13">
      <c r="A33" s="457">
        <f>'ADJ DETAIL INPUT'!AB$11</f>
        <v>3.0299999999999994</v>
      </c>
      <c r="B33" s="278" t="str">
        <f>'ADJ DETAIL INPUT'!AB$12</f>
        <v>G-PI</v>
      </c>
      <c r="C33" s="55" t="str">
        <f>TRIM(CONCATENATE('ADJ DETAIL INPUT'!AB$8," ",'ADJ DETAIL INPUT'!AB$9," ",'ADJ DETAIL INPUT'!AB$10))</f>
        <v>Pro Forma Insurance</v>
      </c>
      <c r="D33" s="157">
        <f>'ADJ DETAIL INPUT'!AB$59</f>
        <v>-50.05</v>
      </c>
      <c r="E33" s="157">
        <f>'ADJ DETAIL INPUT'!AB$82</f>
        <v>0</v>
      </c>
      <c r="G33" s="388" t="s">
        <v>133</v>
      </c>
      <c r="I33" s="588" t="s">
        <v>475</v>
      </c>
      <c r="J33" s="588"/>
      <c r="K33" s="547" t="s">
        <v>125</v>
      </c>
      <c r="L33" s="120"/>
      <c r="M33" s="121"/>
    </row>
    <row r="34" spans="1:13">
      <c r="A34" s="457">
        <f>'ADJ DETAIL INPUT'!AC$11</f>
        <v>3.0399999999999991</v>
      </c>
      <c r="B34" s="278" t="str">
        <f>'ADJ DETAIL INPUT'!AC$12</f>
        <v>G-PPT</v>
      </c>
      <c r="C34" s="55" t="str">
        <f>TRIM(CONCATENATE('ADJ DETAIL INPUT'!AC$8," ",'ADJ DETAIL INPUT'!AC$9," ",'ADJ DETAIL INPUT'!AC$10))</f>
        <v>Pro Forma Property Tax</v>
      </c>
      <c r="D34" s="157">
        <f>'ADJ DETAIL INPUT'!AC$59</f>
        <v>-329.55</v>
      </c>
      <c r="E34" s="157">
        <f>'ADJ DETAIL INPUT'!AC$82</f>
        <v>0</v>
      </c>
      <c r="G34" s="388" t="s">
        <v>133</v>
      </c>
      <c r="I34" s="590" t="s">
        <v>473</v>
      </c>
      <c r="J34" s="550"/>
      <c r="K34" s="547" t="s">
        <v>125</v>
      </c>
      <c r="L34" s="120"/>
      <c r="M34" s="121"/>
    </row>
    <row r="35" spans="1:13">
      <c r="A35" s="457">
        <f>'ADJ DETAIL INPUT'!AD$11</f>
        <v>3.0499999999999989</v>
      </c>
      <c r="B35" s="278" t="str">
        <f>'ADJ DETAIL INPUT'!AD$12</f>
        <v>G-ISIT</v>
      </c>
      <c r="C35" s="459" t="str">
        <f>TRIM(CONCATENATE('ADJ DETAIL INPUT'!AD$8," ",'ADJ DETAIL INPUT'!AD$9," ",'ADJ DETAIL INPUT'!AD$10))</f>
        <v>Pro Forma Information Tech/Serv Exp</v>
      </c>
      <c r="D35" s="157">
        <f>'ADJ DETAIL INPUT'!AD$59</f>
        <v>-267.8</v>
      </c>
      <c r="E35" s="157">
        <f>'ADJ DETAIL INPUT'!AD$82</f>
        <v>0</v>
      </c>
      <c r="G35" s="388" t="s">
        <v>172</v>
      </c>
      <c r="I35" s="596" t="s">
        <v>475</v>
      </c>
      <c r="J35" s="596"/>
      <c r="K35" s="547" t="s">
        <v>125</v>
      </c>
      <c r="L35" s="120"/>
      <c r="M35" s="121"/>
    </row>
    <row r="36" spans="1:13" s="547" customFormat="1">
      <c r="A36" s="560">
        <f>'ADJ DETAIL INPUT'!AE$11</f>
        <v>3.0599999999999987</v>
      </c>
      <c r="B36" s="561" t="str">
        <f>'ADJ DETAIL INPUT'!AE$12</f>
        <v>G-PREV</v>
      </c>
      <c r="C36" s="558" t="str">
        <f>TRIM(CONCATENATE('ADJ DETAIL INPUT'!AE$8," ",'ADJ DETAIL INPUT'!AE$9," ",'ADJ DETAIL INPUT'!AE$10))</f>
        <v>Pro Forma Revenue Normalization</v>
      </c>
      <c r="D36" s="554">
        <f>'ADJ DETAIL INPUT'!AE$59</f>
        <v>5541.25</v>
      </c>
      <c r="E36" s="554">
        <f>'ADJ DETAIL INPUT'!AE$82</f>
        <v>0</v>
      </c>
      <c r="F36" s="550"/>
      <c r="G36" s="548" t="s">
        <v>172</v>
      </c>
      <c r="H36" s="550"/>
      <c r="I36" s="587" t="s">
        <v>529</v>
      </c>
      <c r="J36" s="550"/>
      <c r="K36" s="547" t="s">
        <v>125</v>
      </c>
      <c r="L36" s="120"/>
      <c r="M36" s="557"/>
    </row>
    <row r="37" spans="1:13">
      <c r="A37" s="560">
        <f>'ADJ DETAIL INPUT'!AF$11</f>
        <v>3.0699999999999985</v>
      </c>
      <c r="B37" s="466" t="str">
        <f>'ADJ DETAIL INPUT'!AF$12</f>
        <v>G-CAP14</v>
      </c>
      <c r="C37" s="555" t="str">
        <f>TRIM(CONCATENATE('ADJ DETAIL INPUT'!AF$8," ",'ADJ DETAIL INPUT'!AF$9," ",'ADJ DETAIL INPUT'!AF$10))</f>
        <v>Planned Capital Add Dec 2014 EOP</v>
      </c>
      <c r="D37" s="552">
        <f>'ADJ DETAIL INPUT'!AF$59</f>
        <v>-700.57439999999997</v>
      </c>
      <c r="E37" s="552">
        <f>'ADJ DETAIL INPUT'!AF$82</f>
        <v>2960</v>
      </c>
      <c r="G37" s="388" t="s">
        <v>182</v>
      </c>
      <c r="I37" s="551" t="s">
        <v>474</v>
      </c>
      <c r="K37" s="547" t="s">
        <v>125</v>
      </c>
      <c r="L37" s="52"/>
    </row>
    <row r="38" spans="1:13" ht="14.25" customHeight="1" thickBot="1">
      <c r="A38" s="457"/>
      <c r="B38" s="278"/>
      <c r="C38" s="459"/>
      <c r="D38" s="157"/>
      <c r="E38" s="157"/>
      <c r="I38" s="36"/>
      <c r="J38" s="547"/>
      <c r="K38" s="49"/>
      <c r="L38" s="120"/>
      <c r="M38" s="121"/>
    </row>
    <row r="39" spans="1:13">
      <c r="A39" s="562" t="s">
        <v>462</v>
      </c>
      <c r="B39" s="461"/>
      <c r="C39" s="462"/>
      <c r="D39" s="463"/>
      <c r="E39" s="464"/>
      <c r="J39" s="550"/>
      <c r="K39" s="49"/>
      <c r="L39" s="52"/>
    </row>
    <row r="40" spans="1:13">
      <c r="A40" s="465">
        <f>'ADJ DETAIL INPUT'!AH$11</f>
        <v>4.01</v>
      </c>
      <c r="B40" s="466" t="str">
        <f>'ADJ DETAIL INPUT'!AH$12</f>
        <v>G-CAP15</v>
      </c>
      <c r="C40" s="555" t="str">
        <f>TRIM(CONCATENATE('ADJ DETAIL INPUT'!AH$8," ",'ADJ DETAIL INPUT'!AH$9," ",'ADJ DETAIL INPUT'!AH$10))</f>
        <v>Planned Capital Add 2015 EOP</v>
      </c>
      <c r="D40" s="552">
        <f>'ADJ DETAIL INPUT'!AH$59</f>
        <v>-1364.565865</v>
      </c>
      <c r="E40" s="467">
        <f>'ADJ DETAIL INPUT'!AH$82</f>
        <v>28691</v>
      </c>
      <c r="G40" s="388" t="s">
        <v>182</v>
      </c>
      <c r="I40" s="551" t="s">
        <v>474</v>
      </c>
      <c r="K40" s="547" t="s">
        <v>125</v>
      </c>
      <c r="L40" s="52"/>
    </row>
    <row r="41" spans="1:13">
      <c r="A41" s="465">
        <f>'ADJ DETAIL INPUT'!AI$11</f>
        <v>4.0199999999999996</v>
      </c>
      <c r="B41" s="466" t="str">
        <f>'ADJ DETAIL INPUT'!AI$12</f>
        <v>G-CAP16</v>
      </c>
      <c r="C41" s="555" t="str">
        <f>TRIM(CONCATENATE('ADJ DETAIL INPUT'!AI$8," ",'ADJ DETAIL INPUT'!AI$9," ",'ADJ DETAIL INPUT'!AI$10))</f>
        <v>Planned Capital Add 2016 AMA</v>
      </c>
      <c r="D41" s="552">
        <f>'ADJ DETAIL INPUT'!AI$59</f>
        <v>-536.07859000000008</v>
      </c>
      <c r="E41" s="467">
        <f>'ADJ DETAIL INPUT'!AI$82</f>
        <v>5706</v>
      </c>
      <c r="G41" s="388" t="s">
        <v>182</v>
      </c>
      <c r="I41" s="551" t="s">
        <v>474</v>
      </c>
      <c r="K41" s="547" t="s">
        <v>125</v>
      </c>
      <c r="L41" s="52"/>
    </row>
    <row r="42" spans="1:13" s="547" customFormat="1">
      <c r="A42" s="465">
        <f>'ADJ DETAIL INPUT'!AJ$11</f>
        <v>4.0299999999999994</v>
      </c>
      <c r="B42" s="466" t="str">
        <f>'ADJ DETAIL INPUT'!AJ$12</f>
        <v>G-PCD</v>
      </c>
      <c r="C42" s="555" t="str">
        <f>TRIM(CONCATENATE('ADJ DETAIL INPUT'!AJ$8," ",'ADJ DETAIL INPUT'!AJ$9," ",'ADJ DETAIL INPUT'!AJ$10))</f>
        <v>Project Compass Deferral, Regulatory Amortization</v>
      </c>
      <c r="D42" s="552">
        <f>'ADJ DETAIL INPUT'!AJ$59</f>
        <v>-742.95</v>
      </c>
      <c r="E42" s="467">
        <f>'ADJ DETAIL INPUT'!AJ$82</f>
        <v>0</v>
      </c>
      <c r="F42" s="550"/>
      <c r="G42" s="548" t="s">
        <v>182</v>
      </c>
      <c r="H42" s="550"/>
      <c r="I42" s="550" t="s">
        <v>474</v>
      </c>
      <c r="K42" s="547" t="s">
        <v>125</v>
      </c>
      <c r="L42" s="552"/>
    </row>
    <row r="43" spans="1:13">
      <c r="A43" s="465">
        <f>'ADJ DETAIL INPUT'!AK$11</f>
        <v>4.0399999999999991</v>
      </c>
      <c r="B43" s="466" t="str">
        <f>'ADJ DETAIL INPUT'!AK$12</f>
        <v>G-OFF</v>
      </c>
      <c r="C43" s="555" t="str">
        <f>TRIM(CONCATENATE('ADJ DETAIL INPUT'!AK$8," ",'ADJ DETAIL INPUT'!AK$9," ",'ADJ DETAIL INPUT'!AK$10))</f>
        <v>O&amp;M Offsets</v>
      </c>
      <c r="D43" s="552">
        <f>'ADJ DETAIL INPUT'!AK$59</f>
        <v>50.7</v>
      </c>
      <c r="E43" s="467">
        <f>'ADJ DETAIL INPUT'!AK$82</f>
        <v>0</v>
      </c>
      <c r="G43" s="388" t="s">
        <v>182</v>
      </c>
      <c r="I43" s="550" t="s">
        <v>473</v>
      </c>
      <c r="J43" s="36"/>
      <c r="K43" s="547" t="s">
        <v>125</v>
      </c>
      <c r="L43" s="52"/>
    </row>
    <row r="44" spans="1:13">
      <c r="A44" s="465">
        <f>'ADJ DETAIL INPUT'!AL$11</f>
        <v>4.0499999999999989</v>
      </c>
      <c r="B44" s="278" t="str">
        <f>'ADJ DETAIL INPUT'!AL$12</f>
        <v>G-PFAT</v>
      </c>
      <c r="C44" s="55" t="str">
        <f>TRIM(CONCATENATE('ADJ DETAIL INPUT'!AL$8," ",'ADJ DETAIL INPUT'!AL$9," ",'ADJ DETAIL INPUT'!AL$10))</f>
        <v>Pro Forma Atmospheric Testing</v>
      </c>
      <c r="D44" s="157">
        <f>'ADJ DETAIL INPUT'!AL$59</f>
        <v>-459.55</v>
      </c>
      <c r="E44" s="467">
        <f>'ADJ DETAIL INPUT'!AL$82</f>
        <v>0</v>
      </c>
      <c r="G44" s="388" t="s">
        <v>182</v>
      </c>
      <c r="I44" s="601" t="s">
        <v>125</v>
      </c>
      <c r="J44" s="577"/>
      <c r="K44" s="547" t="s">
        <v>125</v>
      </c>
      <c r="L44" s="52"/>
    </row>
    <row r="45" spans="1:13" ht="13.5" thickBot="1">
      <c r="A45" s="468">
        <f>'ADJ DETAIL INPUT'!AN$11</f>
        <v>4.0599999999999987</v>
      </c>
      <c r="B45" s="469" t="str">
        <f>'ADJ DETAIL INPUT'!AN$12</f>
        <v>G-REC</v>
      </c>
      <c r="C45" s="470" t="str">
        <f>TRIM(CONCATENATE('ADJ DETAIL INPUT'!AN$8," ",'ADJ DETAIL INPUT'!AN$9," ",'ADJ DETAIL INPUT'!AN$10))</f>
        <v>Reconcile Pro Forma To Attrition</v>
      </c>
      <c r="D45" s="471">
        <f>'ADJ DETAIL INPUT'!AN$59</f>
        <v>-283.726225</v>
      </c>
      <c r="E45" s="472">
        <f>'ADJ DETAIL INPUT'!AN$82</f>
        <v>7915</v>
      </c>
      <c r="G45" s="388" t="s">
        <v>182</v>
      </c>
      <c r="I45" s="547" t="s">
        <v>125</v>
      </c>
      <c r="K45" s="547" t="s">
        <v>125</v>
      </c>
      <c r="L45" s="52"/>
    </row>
    <row r="46" spans="1:13">
      <c r="A46" s="372" t="s">
        <v>463</v>
      </c>
      <c r="B46" s="278"/>
      <c r="C46" s="55"/>
      <c r="D46" s="157"/>
      <c r="E46" s="157"/>
      <c r="J46" s="550"/>
      <c r="K46" s="49"/>
      <c r="L46" s="52"/>
    </row>
    <row r="47" spans="1:13" s="121" customFormat="1" ht="3" customHeight="1">
      <c r="A47" s="473"/>
      <c r="B47" s="474"/>
      <c r="C47" s="459"/>
      <c r="D47" s="458"/>
      <c r="E47" s="458"/>
      <c r="F47" s="57"/>
      <c r="G47" s="156"/>
      <c r="H47" s="57"/>
      <c r="J47" s="557"/>
      <c r="K47" s="119"/>
      <c r="L47" s="120"/>
    </row>
    <row r="48" spans="1:13" ht="14.25" thickBot="1">
      <c r="A48" s="389"/>
      <c r="C48" s="36" t="s">
        <v>127</v>
      </c>
      <c r="D48" s="58">
        <f>SUM(D28:D47)</f>
        <v>13887.376835000001</v>
      </c>
      <c r="E48" s="58">
        <f>SUM(E28:E47)</f>
        <v>286086</v>
      </c>
      <c r="F48" s="60">
        <f>D48/E48</f>
        <v>4.8542664915445011E-2</v>
      </c>
      <c r="G48" s="154"/>
      <c r="H48" s="475">
        <f>'ADJ DETAIL INPUT'!AG83</f>
        <v>0</v>
      </c>
      <c r="J48" s="550"/>
      <c r="K48" s="49"/>
      <c r="L48" s="52"/>
    </row>
    <row r="49" spans="1:12" ht="12.75" customHeight="1" thickTop="1">
      <c r="A49" s="389"/>
      <c r="D49" s="55"/>
      <c r="J49" s="550"/>
      <c r="K49" s="49"/>
      <c r="L49" s="52"/>
    </row>
    <row r="50" spans="1:12" ht="12.75" customHeight="1">
      <c r="A50" s="389"/>
      <c r="C50" s="36" t="s">
        <v>146</v>
      </c>
      <c r="D50" s="55"/>
      <c r="H50" s="475"/>
      <c r="I50" s="550" t="s">
        <v>475</v>
      </c>
      <c r="K50" s="547" t="s">
        <v>125</v>
      </c>
      <c r="L50" s="52"/>
    </row>
    <row r="51" spans="1:12" ht="12.75" customHeight="1">
      <c r="A51" s="54"/>
      <c r="B51" s="476"/>
      <c r="C51" s="55"/>
      <c r="D51" s="55"/>
      <c r="J51" s="390"/>
      <c r="K51" s="49"/>
      <c r="L51" s="52"/>
    </row>
    <row r="52" spans="1:12" ht="12.75" customHeight="1">
      <c r="A52" s="54"/>
      <c r="B52" s="476"/>
      <c r="C52" s="55"/>
      <c r="D52" s="55"/>
      <c r="J52" s="390"/>
      <c r="K52" s="49"/>
      <c r="L52" s="52"/>
    </row>
    <row r="53" spans="1:12" ht="12.75" customHeight="1">
      <c r="A53" s="54"/>
      <c r="B53" s="476"/>
      <c r="C53" s="55"/>
      <c r="D53" s="55"/>
      <c r="J53" s="390"/>
      <c r="K53" s="49"/>
      <c r="L53" s="52"/>
    </row>
    <row r="54" spans="1:12" ht="12.75" customHeight="1">
      <c r="A54" s="54"/>
      <c r="B54" s="476"/>
      <c r="C54" s="55"/>
      <c r="D54" s="55"/>
      <c r="J54" s="390"/>
      <c r="K54" s="49"/>
      <c r="L54" s="52"/>
    </row>
    <row r="55" spans="1:12" ht="12.75" customHeight="1">
      <c r="A55" s="54"/>
      <c r="B55" s="476"/>
      <c r="C55" s="55"/>
      <c r="D55" s="55"/>
      <c r="J55" s="390"/>
      <c r="K55" s="49"/>
      <c r="L55" s="52"/>
    </row>
    <row r="56" spans="1:12" ht="12.75" customHeight="1">
      <c r="A56" s="54"/>
      <c r="B56" s="476"/>
      <c r="C56" s="55"/>
      <c r="D56" s="55"/>
      <c r="J56" s="390"/>
      <c r="K56" s="49"/>
      <c r="L56" s="52"/>
    </row>
    <row r="57" spans="1:12" ht="12.75" customHeight="1">
      <c r="A57" s="54"/>
      <c r="B57" s="476"/>
      <c r="C57" s="55"/>
      <c r="D57" s="55"/>
      <c r="I57" s="390"/>
      <c r="J57" s="390"/>
      <c r="K57" s="49"/>
      <c r="L57" s="52"/>
    </row>
    <row r="58" spans="1:12" ht="12.75" customHeight="1">
      <c r="A58" s="54"/>
      <c r="B58" s="476"/>
      <c r="H58" s="54"/>
      <c r="I58" s="390"/>
      <c r="J58" s="390"/>
      <c r="K58" s="49"/>
      <c r="L58" s="52"/>
    </row>
    <row r="59" spans="1:12" ht="12.75" customHeight="1">
      <c r="C59" s="49"/>
      <c r="F59" s="36"/>
      <c r="I59" s="390"/>
      <c r="J59" s="390"/>
      <c r="K59" s="51"/>
      <c r="L59" s="51"/>
    </row>
    <row r="60" spans="1:12" ht="12.75" customHeight="1">
      <c r="F60" s="36"/>
      <c r="I60" s="390"/>
      <c r="J60" s="390"/>
      <c r="K60" s="51"/>
      <c r="L60" s="51"/>
    </row>
    <row r="61" spans="1:12" ht="12.75" customHeight="1">
      <c r="C61" s="49"/>
      <c r="F61" s="36"/>
      <c r="I61" s="390"/>
      <c r="J61" s="390"/>
      <c r="K61" s="51"/>
      <c r="L61" s="51"/>
    </row>
    <row r="62" spans="1:12" ht="12.75" customHeight="1">
      <c r="C62" s="49"/>
      <c r="F62" s="36"/>
      <c r="I62" s="390"/>
      <c r="J62" s="390"/>
      <c r="K62" s="51"/>
      <c r="L62" s="51"/>
    </row>
    <row r="63" spans="1:12" ht="12.75" customHeight="1"/>
    <row r="64" spans="1:12" ht="12.75" customHeight="1"/>
    <row r="65" ht="12.75" customHeight="1"/>
    <row r="66"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orientation="portrait" horizontalDpi="4294967292" r:id="rId3"/>
  <headerFooter alignWithMargins="0"/>
</worksheet>
</file>

<file path=xl/worksheets/sheet7.xml><?xml version="1.0" encoding="utf-8"?>
<worksheet xmlns="http://schemas.openxmlformats.org/spreadsheetml/2006/main" xmlns:r="http://schemas.openxmlformats.org/officeDocument/2006/relationships">
  <dimension ref="A1:K156"/>
  <sheetViews>
    <sheetView zoomScaleNormal="100" workbookViewId="0">
      <selection activeCell="A5" sqref="A5:H5"/>
    </sheetView>
  </sheetViews>
  <sheetFormatPr defaultColWidth="10.7109375" defaultRowHeight="12.75"/>
  <cols>
    <col min="1" max="1" width="8.28515625" style="225" customWidth="1"/>
    <col min="2" max="2" width="18.7109375" style="226" customWidth="1"/>
    <col min="3" max="4" width="10.7109375" style="219" customWidth="1"/>
    <col min="5" max="5" width="10.140625" style="219" customWidth="1"/>
    <col min="6" max="6" width="14.7109375" style="227" customWidth="1"/>
    <col min="7" max="7" width="11.140625" style="219" bestFit="1" customWidth="1"/>
    <col min="8" max="8" width="2.140625" style="219" customWidth="1"/>
    <col min="9" max="9" width="14.140625" style="219" customWidth="1"/>
    <col min="10" max="10" width="19.140625" style="219" customWidth="1"/>
    <col min="11" max="16384" width="10.7109375" style="219"/>
  </cols>
  <sheetData>
    <row r="1" spans="1:11">
      <c r="A1" s="671" t="s">
        <v>113</v>
      </c>
      <c r="B1" s="671"/>
      <c r="C1" s="671"/>
      <c r="D1" s="671"/>
      <c r="E1" s="671"/>
      <c r="F1" s="671"/>
      <c r="G1" s="671"/>
      <c r="H1" s="671"/>
    </row>
    <row r="2" spans="1:11">
      <c r="A2" s="672" t="s">
        <v>128</v>
      </c>
      <c r="B2" s="672"/>
      <c r="C2" s="672"/>
      <c r="D2" s="672"/>
      <c r="E2" s="672"/>
      <c r="F2" s="672"/>
      <c r="G2" s="672"/>
      <c r="H2" s="672"/>
    </row>
    <row r="3" spans="1:11">
      <c r="A3" s="672" t="s">
        <v>253</v>
      </c>
      <c r="B3" s="672"/>
      <c r="C3" s="672"/>
      <c r="D3" s="672"/>
      <c r="E3" s="672"/>
      <c r="F3" s="672"/>
      <c r="G3" s="672"/>
      <c r="H3" s="672"/>
    </row>
    <row r="4" spans="1:11">
      <c r="A4" s="673" t="str">
        <f>'ROO INPUT'!A5:C5</f>
        <v>TWELVE MONTHS ENDED SEPTEMBER 30, 2014</v>
      </c>
      <c r="B4" s="673"/>
      <c r="C4" s="673"/>
      <c r="D4" s="673"/>
      <c r="E4" s="673"/>
      <c r="F4" s="673"/>
      <c r="G4" s="673"/>
      <c r="H4" s="673"/>
    </row>
    <row r="5" spans="1:11">
      <c r="A5" s="674" t="s">
        <v>116</v>
      </c>
      <c r="B5" s="674"/>
      <c r="C5" s="674"/>
      <c r="D5" s="674"/>
      <c r="E5" s="674"/>
      <c r="F5" s="674"/>
      <c r="G5" s="674"/>
      <c r="H5" s="674"/>
    </row>
    <row r="6" spans="1:11" ht="13.5" thickBot="1">
      <c r="A6" s="220"/>
      <c r="B6" s="221"/>
      <c r="C6" s="222"/>
      <c r="D6" s="223"/>
      <c r="E6" s="223"/>
      <c r="F6" s="223"/>
      <c r="I6" s="224" t="s">
        <v>224</v>
      </c>
    </row>
    <row r="7" spans="1:11" ht="13.5" thickBot="1">
      <c r="C7" s="227"/>
      <c r="D7" s="227"/>
      <c r="E7" s="668" t="s">
        <v>128</v>
      </c>
      <c r="F7" s="669"/>
      <c r="G7" s="670"/>
      <c r="I7" s="224" t="s">
        <v>225</v>
      </c>
    </row>
    <row r="8" spans="1:11">
      <c r="C8" s="227"/>
      <c r="D8" s="227"/>
      <c r="E8" s="225">
        <f>'ADJ DETAIL INPUT'!V11</f>
        <v>2.139999999999997</v>
      </c>
      <c r="F8" s="341"/>
      <c r="G8" s="341"/>
      <c r="I8" s="224"/>
    </row>
    <row r="9" spans="1:11">
      <c r="C9" s="227"/>
      <c r="D9" s="227"/>
      <c r="E9" s="228" t="s">
        <v>21</v>
      </c>
      <c r="F9" s="224" t="s">
        <v>444</v>
      </c>
      <c r="G9" s="224" t="s">
        <v>445</v>
      </c>
      <c r="I9" s="224" t="s">
        <v>226</v>
      </c>
    </row>
    <row r="10" spans="1:11">
      <c r="B10" s="229" t="s">
        <v>117</v>
      </c>
      <c r="C10" s="227"/>
      <c r="D10" s="227"/>
      <c r="E10" s="230" t="s">
        <v>227</v>
      </c>
      <c r="F10" s="231" t="s">
        <v>118</v>
      </c>
      <c r="G10" s="231" t="s">
        <v>228</v>
      </c>
      <c r="I10" s="231" t="str">
        <f>F10</f>
        <v>Adjustments</v>
      </c>
    </row>
    <row r="11" spans="1:11">
      <c r="A11" s="225">
        <f>'ADJ SUMMARY'!A8</f>
        <v>1</v>
      </c>
      <c r="B11" s="226" t="str">
        <f>'ADJ SUMMARY'!C8</f>
        <v>Per Results Report</v>
      </c>
      <c r="C11" s="227"/>
      <c r="D11" s="227"/>
      <c r="E11" s="232">
        <f>'ADJ SUMMARY'!E8</f>
        <v>233475</v>
      </c>
      <c r="F11" s="232"/>
      <c r="G11" s="279">
        <f>SUM(E11:F11)</f>
        <v>233475</v>
      </c>
      <c r="H11" s="279"/>
      <c r="I11" s="279">
        <f>ROUND(E11*$E$48*-$E$55,0)-(E52*-E55)</f>
        <v>135.94999999999982</v>
      </c>
    </row>
    <row r="12" spans="1:11">
      <c r="A12" s="225">
        <f>'ADJ SUMMARY'!A9</f>
        <v>1.01</v>
      </c>
      <c r="B12" s="226" t="str">
        <f>'ADJ SUMMARY'!C9</f>
        <v>Deferred FIT Rate Base</v>
      </c>
      <c r="C12" s="227"/>
      <c r="D12" s="227"/>
      <c r="E12" s="279"/>
      <c r="F12" s="232">
        <f>'ADJ SUMMARY'!E9</f>
        <v>-3032</v>
      </c>
      <c r="G12" s="279">
        <f>SUM(E12:F12)</f>
        <v>-3032</v>
      </c>
      <c r="H12" s="279"/>
      <c r="I12" s="279">
        <f t="shared" ref="I12:I24" si="0">ROUND(F12*$E$48*-$E$55,0)</f>
        <v>29</v>
      </c>
    </row>
    <row r="13" spans="1:11">
      <c r="A13" s="225">
        <f>'ADJ SUMMARY'!A10</f>
        <v>1.02</v>
      </c>
      <c r="B13" s="226" t="str">
        <f>'ADJ SUMMARY'!C10</f>
        <v>Deferred Debits and Credits</v>
      </c>
      <c r="C13" s="227"/>
      <c r="D13" s="227"/>
      <c r="E13" s="279"/>
      <c r="F13" s="232">
        <f>'ADJ SUMMARY'!E10</f>
        <v>0</v>
      </c>
      <c r="G13" s="279">
        <f t="shared" ref="G13:G32" si="1">SUM(E13:F13)</f>
        <v>0</v>
      </c>
      <c r="H13" s="279"/>
      <c r="I13" s="279">
        <f t="shared" si="0"/>
        <v>0</v>
      </c>
    </row>
    <row r="14" spans="1:11">
      <c r="A14" s="225">
        <f>'ADJ SUMMARY'!A11</f>
        <v>1.03</v>
      </c>
      <c r="B14" s="226" t="str">
        <f>'ADJ SUMMARY'!C11</f>
        <v>Working Capital</v>
      </c>
      <c r="C14" s="227"/>
      <c r="D14" s="227"/>
      <c r="E14" s="279"/>
      <c r="F14" s="232">
        <f>'ADJ SUMMARY'!E11</f>
        <v>10371</v>
      </c>
      <c r="G14" s="279">
        <f t="shared" si="1"/>
        <v>10371</v>
      </c>
      <c r="H14" s="279"/>
      <c r="I14" s="279">
        <f t="shared" si="0"/>
        <v>-98</v>
      </c>
      <c r="J14" s="279">
        <f>SUM(I11:I14)</f>
        <v>66.949999999999818</v>
      </c>
    </row>
    <row r="15" spans="1:11">
      <c r="A15" s="225">
        <f>'ADJ SUMMARY'!A12</f>
        <v>2.0099999999999998</v>
      </c>
      <c r="B15" s="226" t="str">
        <f>'ADJ SUMMARY'!C12</f>
        <v>Eliminate B &amp; O Taxes</v>
      </c>
      <c r="C15" s="227"/>
      <c r="D15" s="227"/>
      <c r="E15" s="279"/>
      <c r="F15" s="232">
        <f>'ADJ SUMMARY'!E12</f>
        <v>0</v>
      </c>
      <c r="G15" s="279">
        <f>SUM(E15:F15)</f>
        <v>0</v>
      </c>
      <c r="H15" s="279"/>
      <c r="I15" s="279">
        <f t="shared" si="0"/>
        <v>0</v>
      </c>
      <c r="J15" s="340"/>
      <c r="K15" s="344"/>
    </row>
    <row r="16" spans="1:11">
      <c r="A16" s="225">
        <f>'ADJ SUMMARY'!A13</f>
        <v>2.0199999999999996</v>
      </c>
      <c r="B16" s="226" t="str">
        <f>'ADJ SUMMARY'!C13</f>
        <v>Restate Property Tax</v>
      </c>
      <c r="C16" s="227"/>
      <c r="D16" s="227"/>
      <c r="E16" s="279"/>
      <c r="F16" s="232">
        <f>'ADJ SUMMARY'!E13</f>
        <v>0</v>
      </c>
      <c r="G16" s="279">
        <f t="shared" ref="G16:G28" si="2">SUM(E16:F16)</f>
        <v>0</v>
      </c>
      <c r="H16" s="279"/>
      <c r="I16" s="279">
        <f t="shared" si="0"/>
        <v>0</v>
      </c>
      <c r="J16" s="340"/>
      <c r="K16" s="344"/>
    </row>
    <row r="17" spans="1:11">
      <c r="A17" s="225">
        <f>'ADJ SUMMARY'!A14</f>
        <v>2.0299999999999994</v>
      </c>
      <c r="B17" s="226" t="str">
        <f>'ADJ SUMMARY'!C14</f>
        <v>Uncollectible Expense</v>
      </c>
      <c r="C17" s="227"/>
      <c r="D17" s="227"/>
      <c r="E17" s="279"/>
      <c r="F17" s="232">
        <f>'ADJ SUMMARY'!E14</f>
        <v>0</v>
      </c>
      <c r="G17" s="279">
        <f t="shared" si="2"/>
        <v>0</v>
      </c>
      <c r="H17" s="279"/>
      <c r="I17" s="279">
        <f t="shared" si="0"/>
        <v>0</v>
      </c>
      <c r="J17" s="340"/>
      <c r="K17" s="344"/>
    </row>
    <row r="18" spans="1:11">
      <c r="A18" s="225">
        <f>'ADJ SUMMARY'!A15</f>
        <v>2.0399999999999991</v>
      </c>
      <c r="B18" s="226" t="str">
        <f>'ADJ SUMMARY'!C15</f>
        <v>Regulatory Expense</v>
      </c>
      <c r="C18" s="227"/>
      <c r="D18" s="227"/>
      <c r="E18" s="279"/>
      <c r="F18" s="232">
        <f>'ADJ SUMMARY'!E15</f>
        <v>0</v>
      </c>
      <c r="G18" s="279">
        <f t="shared" si="2"/>
        <v>0</v>
      </c>
      <c r="H18" s="279"/>
      <c r="I18" s="279">
        <f t="shared" si="0"/>
        <v>0</v>
      </c>
      <c r="J18" s="340"/>
      <c r="K18" s="344"/>
    </row>
    <row r="19" spans="1:11">
      <c r="A19" s="225">
        <f>'ADJ SUMMARY'!A16</f>
        <v>2.0499999999999989</v>
      </c>
      <c r="B19" s="226" t="str">
        <f>'ADJ SUMMARY'!C16</f>
        <v>Injuries and Damages</v>
      </c>
      <c r="C19" s="227"/>
      <c r="D19" s="227"/>
      <c r="E19" s="279"/>
      <c r="F19" s="232">
        <f>'ADJ SUMMARY'!E16</f>
        <v>0</v>
      </c>
      <c r="G19" s="279">
        <f t="shared" si="2"/>
        <v>0</v>
      </c>
      <c r="H19" s="279"/>
      <c r="I19" s="279">
        <f t="shared" si="0"/>
        <v>0</v>
      </c>
      <c r="J19" s="340"/>
      <c r="K19" s="344"/>
    </row>
    <row r="20" spans="1:11">
      <c r="A20" s="225">
        <f>'ADJ SUMMARY'!A17</f>
        <v>2.0599999999999987</v>
      </c>
      <c r="B20" s="226" t="str">
        <f>'ADJ SUMMARY'!C17</f>
        <v>FIT / DFIT Expense</v>
      </c>
      <c r="C20" s="227"/>
      <c r="D20" s="227"/>
      <c r="E20" s="279"/>
      <c r="F20" s="232">
        <f>'ADJ SUMMARY'!E17</f>
        <v>0</v>
      </c>
      <c r="G20" s="279">
        <f t="shared" si="2"/>
        <v>0</v>
      </c>
      <c r="H20" s="279"/>
      <c r="I20" s="279">
        <f t="shared" si="0"/>
        <v>0</v>
      </c>
      <c r="J20" s="340"/>
      <c r="K20" s="344"/>
    </row>
    <row r="21" spans="1:11">
      <c r="A21" s="225">
        <f>'ADJ SUMMARY'!A18</f>
        <v>2.0699999999999985</v>
      </c>
      <c r="B21" s="226" t="str">
        <f>'ADJ SUMMARY'!C18</f>
        <v>Office Space Charges to Subs</v>
      </c>
      <c r="C21" s="227"/>
      <c r="D21" s="227"/>
      <c r="E21" s="279"/>
      <c r="F21" s="232">
        <f>'ADJ SUMMARY'!E18</f>
        <v>0</v>
      </c>
      <c r="G21" s="279">
        <f t="shared" si="2"/>
        <v>0</v>
      </c>
      <c r="H21" s="279"/>
      <c r="I21" s="279">
        <f t="shared" si="0"/>
        <v>0</v>
      </c>
      <c r="J21" s="340"/>
      <c r="K21" s="344"/>
    </row>
    <row r="22" spans="1:11">
      <c r="A22" s="225">
        <f>'ADJ SUMMARY'!A19</f>
        <v>2.0799999999999983</v>
      </c>
      <c r="B22" s="226" t="str">
        <f>'ADJ SUMMARY'!C19</f>
        <v>Restate Excise Taxes</v>
      </c>
      <c r="C22" s="227"/>
      <c r="D22" s="227"/>
      <c r="E22" s="279"/>
      <c r="F22" s="232">
        <f>'ADJ SUMMARY'!E19</f>
        <v>0</v>
      </c>
      <c r="G22" s="279">
        <f t="shared" si="2"/>
        <v>0</v>
      </c>
      <c r="H22" s="279"/>
      <c r="I22" s="279">
        <f t="shared" si="0"/>
        <v>0</v>
      </c>
      <c r="J22" s="340"/>
      <c r="K22" s="344"/>
    </row>
    <row r="23" spans="1:11">
      <c r="A23" s="225">
        <f>'ADJ SUMMARY'!A20</f>
        <v>2.0899999999999981</v>
      </c>
      <c r="B23" s="226" t="str">
        <f>'ADJ SUMMARY'!C20</f>
        <v>Net Gains/Losses</v>
      </c>
      <c r="C23" s="227"/>
      <c r="D23" s="227"/>
      <c r="E23" s="279"/>
      <c r="F23" s="232">
        <f>'ADJ SUMMARY'!E20</f>
        <v>0</v>
      </c>
      <c r="G23" s="279">
        <f t="shared" si="2"/>
        <v>0</v>
      </c>
      <c r="H23" s="279"/>
      <c r="I23" s="279">
        <f t="shared" si="0"/>
        <v>0</v>
      </c>
      <c r="J23" s="340"/>
      <c r="K23" s="344"/>
    </row>
    <row r="24" spans="1:11">
      <c r="A24" s="225">
        <f>'ADJ SUMMARY'!A21</f>
        <v>2.0999999999999979</v>
      </c>
      <c r="B24" s="226" t="str">
        <f>'ADJ SUMMARY'!C21</f>
        <v>Weather Normalization / Gas Cost Adjust</v>
      </c>
      <c r="C24" s="227"/>
      <c r="D24" s="227"/>
      <c r="E24" s="279"/>
      <c r="F24" s="232">
        <f>'ADJ SUMMARY'!E21</f>
        <v>0</v>
      </c>
      <c r="G24" s="279">
        <f t="shared" si="2"/>
        <v>0</v>
      </c>
      <c r="H24" s="279"/>
      <c r="I24" s="279">
        <f t="shared" si="0"/>
        <v>0</v>
      </c>
      <c r="J24" s="340"/>
      <c r="K24" s="344"/>
    </row>
    <row r="25" spans="1:11">
      <c r="A25" s="225">
        <f>'ADJ SUMMARY'!A22</f>
        <v>2.1099999999999977</v>
      </c>
      <c r="B25" s="226" t="str">
        <f>'ADJ SUMMARY'!C22</f>
        <v>Eliminate Adder Schedules</v>
      </c>
      <c r="C25" s="227"/>
      <c r="D25" s="227"/>
      <c r="E25" s="279"/>
      <c r="F25" s="232">
        <f>'ADJ SUMMARY'!E22</f>
        <v>0</v>
      </c>
      <c r="G25" s="279">
        <f t="shared" ref="G25" si="3">SUM(E25:F25)</f>
        <v>0</v>
      </c>
      <c r="H25" s="279"/>
      <c r="I25" s="279">
        <f t="shared" ref="I25" si="4">ROUND(F25*$E$48*-$E$55,0)</f>
        <v>0</v>
      </c>
      <c r="J25" s="340"/>
      <c r="K25" s="344"/>
    </row>
    <row r="26" spans="1:11">
      <c r="A26" s="225">
        <f>'ADJ SUMMARY'!A23</f>
        <v>2.1199999999999974</v>
      </c>
      <c r="B26" s="226" t="str">
        <f>'ADJ SUMMARY'!C23</f>
        <v>Misc Restating Adjustments</v>
      </c>
      <c r="C26" s="227"/>
      <c r="D26" s="227"/>
      <c r="E26" s="279"/>
      <c r="F26" s="232">
        <f>'ADJ SUMMARY'!E23</f>
        <v>0</v>
      </c>
      <c r="G26" s="279">
        <f t="shared" si="2"/>
        <v>0</v>
      </c>
      <c r="H26" s="279"/>
      <c r="I26" s="279">
        <f t="shared" ref="I26:I32" si="5">ROUND(F26*$E$48*-$E$55,0)</f>
        <v>0</v>
      </c>
      <c r="J26" s="340"/>
      <c r="K26" s="344"/>
    </row>
    <row r="27" spans="1:11">
      <c r="A27" s="225">
        <f>'ADJ SUMMARY'!A24</f>
        <v>2.1299999999999972</v>
      </c>
      <c r="B27" s="226" t="str">
        <f>'ADJ SUMMARY'!C24</f>
        <v>Restating Incentive Adjustment</v>
      </c>
      <c r="C27" s="227"/>
      <c r="D27" s="227"/>
      <c r="E27" s="279"/>
      <c r="F27" s="232">
        <f>'ADJ SUMMARY'!E24</f>
        <v>0</v>
      </c>
      <c r="G27" s="279">
        <f t="shared" si="2"/>
        <v>0</v>
      </c>
      <c r="H27" s="279"/>
      <c r="I27" s="279">
        <f t="shared" si="5"/>
        <v>0</v>
      </c>
      <c r="J27" s="340"/>
      <c r="K27" s="344"/>
    </row>
    <row r="28" spans="1:11">
      <c r="A28" s="225">
        <f>'ADJ SUMMARY'!A25</f>
        <v>2.139999999999997</v>
      </c>
      <c r="B28" s="226" t="str">
        <f>'ADJ SUMMARY'!C25</f>
        <v>Restate Debt Interest</v>
      </c>
      <c r="C28" s="227"/>
      <c r="D28" s="227"/>
      <c r="E28" s="279"/>
      <c r="F28" s="232">
        <f>'ADJ SUMMARY'!E25</f>
        <v>0</v>
      </c>
      <c r="G28" s="279">
        <f t="shared" si="2"/>
        <v>0</v>
      </c>
      <c r="H28" s="279"/>
      <c r="I28" s="279">
        <f t="shared" si="5"/>
        <v>0</v>
      </c>
      <c r="J28" s="340"/>
      <c r="K28" s="344"/>
    </row>
    <row r="29" spans="1:11" ht="16.5" customHeight="1">
      <c r="A29" s="225">
        <f>'ADJ SUMMARY'!A30</f>
        <v>3</v>
      </c>
      <c r="B29" s="226" t="str">
        <f>'ADJ SUMMARY'!C30</f>
        <v>Pro Forma Labor Non-Exec</v>
      </c>
      <c r="C29" s="227"/>
      <c r="D29" s="227"/>
      <c r="E29" s="279"/>
      <c r="F29" s="232">
        <f>'ADJ SUMMARY'!E30</f>
        <v>0</v>
      </c>
      <c r="G29" s="279">
        <f t="shared" si="1"/>
        <v>0</v>
      </c>
      <c r="H29" s="279"/>
      <c r="I29" s="279">
        <f t="shared" si="5"/>
        <v>0</v>
      </c>
    </row>
    <row r="30" spans="1:11">
      <c r="A30" s="225">
        <f>'ADJ SUMMARY'!A31</f>
        <v>3.01</v>
      </c>
      <c r="B30" s="226" t="str">
        <f>'ADJ SUMMARY'!C31</f>
        <v>Pro Forma Labor Exec</v>
      </c>
      <c r="C30" s="227"/>
      <c r="D30" s="227"/>
      <c r="E30" s="279"/>
      <c r="F30" s="232">
        <f>'ADJ SUMMARY'!E31</f>
        <v>0</v>
      </c>
      <c r="G30" s="279">
        <f t="shared" si="1"/>
        <v>0</v>
      </c>
      <c r="H30" s="279"/>
      <c r="I30" s="279">
        <f t="shared" si="5"/>
        <v>0</v>
      </c>
    </row>
    <row r="31" spans="1:11">
      <c r="A31" s="225">
        <f>'ADJ SUMMARY'!A32</f>
        <v>3.0199999999999996</v>
      </c>
      <c r="B31" s="226" t="str">
        <f>'ADJ SUMMARY'!C32</f>
        <v>Pro Forma Employee Benefits</v>
      </c>
      <c r="C31" s="227"/>
      <c r="D31" s="227"/>
      <c r="E31" s="279"/>
      <c r="F31" s="232">
        <f>'ADJ SUMMARY'!E32</f>
        <v>0</v>
      </c>
      <c r="G31" s="279">
        <f t="shared" si="1"/>
        <v>0</v>
      </c>
      <c r="H31" s="279"/>
      <c r="I31" s="279">
        <f t="shared" si="5"/>
        <v>0</v>
      </c>
    </row>
    <row r="32" spans="1:11">
      <c r="A32" s="225">
        <f>'ADJ SUMMARY'!A33</f>
        <v>3.0299999999999994</v>
      </c>
      <c r="B32" s="226" t="str">
        <f>'ADJ SUMMARY'!C33</f>
        <v>Pro Forma Insurance</v>
      </c>
      <c r="C32" s="227"/>
      <c r="D32" s="227"/>
      <c r="E32" s="279"/>
      <c r="F32" s="232">
        <f>'ADJ SUMMARY'!E33</f>
        <v>0</v>
      </c>
      <c r="G32" s="279">
        <f t="shared" si="1"/>
        <v>0</v>
      </c>
      <c r="H32" s="279"/>
      <c r="I32" s="279">
        <f t="shared" si="5"/>
        <v>0</v>
      </c>
    </row>
    <row r="33" spans="1:10">
      <c r="A33" s="225">
        <f>'ADJ SUMMARY'!A34</f>
        <v>3.0399999999999991</v>
      </c>
      <c r="B33" s="226" t="str">
        <f>'ADJ SUMMARY'!C34</f>
        <v>Pro Forma Property Tax</v>
      </c>
      <c r="C33" s="227"/>
      <c r="D33" s="227"/>
      <c r="E33" s="279"/>
      <c r="F33" s="232">
        <f>'ADJ SUMMARY'!E34</f>
        <v>0</v>
      </c>
      <c r="G33" s="279">
        <f t="shared" ref="G33:G35" si="6">SUM(E33:F33)</f>
        <v>0</v>
      </c>
      <c r="H33" s="279"/>
      <c r="I33" s="279">
        <f t="shared" ref="I33:I35" si="7">ROUND(F33*$E$48*-$E$55,0)</f>
        <v>0</v>
      </c>
    </row>
    <row r="34" spans="1:10">
      <c r="A34" s="225">
        <f>'ADJ SUMMARY'!A35</f>
        <v>3.0499999999999989</v>
      </c>
      <c r="B34" s="226" t="str">
        <f>'ADJ SUMMARY'!C35</f>
        <v>Pro Forma Information Tech/Serv Exp</v>
      </c>
      <c r="C34" s="227"/>
      <c r="D34" s="227"/>
      <c r="E34" s="279"/>
      <c r="F34" s="232">
        <f>'ADJ SUMMARY'!E35</f>
        <v>0</v>
      </c>
      <c r="G34" s="279">
        <f t="shared" si="6"/>
        <v>0</v>
      </c>
      <c r="H34" s="279"/>
      <c r="I34" s="279">
        <f t="shared" si="7"/>
        <v>0</v>
      </c>
    </row>
    <row r="35" spans="1:10">
      <c r="A35" s="225">
        <f>'ADJ SUMMARY'!A36</f>
        <v>3.0599999999999987</v>
      </c>
      <c r="B35" s="226" t="str">
        <f>'ADJ SUMMARY'!C36</f>
        <v>Pro Forma Revenue Normalization</v>
      </c>
      <c r="C35" s="227"/>
      <c r="D35" s="227"/>
      <c r="E35" s="279"/>
      <c r="F35" s="232">
        <f>'ADJ SUMMARY'!E36</f>
        <v>0</v>
      </c>
      <c r="G35" s="279">
        <f t="shared" si="6"/>
        <v>0</v>
      </c>
      <c r="H35" s="279"/>
      <c r="I35" s="279">
        <f t="shared" si="7"/>
        <v>0</v>
      </c>
    </row>
    <row r="36" spans="1:10">
      <c r="A36" s="225">
        <f>'ADJ SUMMARY'!A37</f>
        <v>3.0699999999999985</v>
      </c>
      <c r="B36" s="226" t="str">
        <f>'ADJ SUMMARY'!C37</f>
        <v>Planned Capital Add Dec 2014 EOP</v>
      </c>
      <c r="C36" s="227"/>
      <c r="D36" s="227"/>
      <c r="E36" s="279"/>
      <c r="F36" s="232">
        <f>'ADJ SUMMARY'!E37</f>
        <v>2960</v>
      </c>
      <c r="G36" s="279">
        <f t="shared" ref="G36" si="8">SUM(E36:F36)</f>
        <v>2960</v>
      </c>
      <c r="H36" s="279"/>
      <c r="I36" s="279">
        <f t="shared" ref="I36:I42" si="9">ROUND(F36*$E$48*-$E$55,0)</f>
        <v>-28</v>
      </c>
      <c r="J36" s="279"/>
    </row>
    <row r="37" spans="1:10">
      <c r="A37" s="225">
        <f>'ADJ SUMMARY'!A40</f>
        <v>4.01</v>
      </c>
      <c r="B37" s="226" t="str">
        <f>'ADJ SUMMARY'!C40</f>
        <v>Planned Capital Add 2015 EOP</v>
      </c>
      <c r="C37" s="227"/>
      <c r="D37" s="227"/>
      <c r="E37" s="279"/>
      <c r="F37" s="232">
        <f>'ADJ SUMMARY'!E40</f>
        <v>28691</v>
      </c>
      <c r="G37" s="279">
        <f t="shared" ref="G37:G41" si="10">SUM(E37:F37)</f>
        <v>28691</v>
      </c>
      <c r="H37" s="279"/>
      <c r="I37" s="279">
        <f t="shared" si="9"/>
        <v>-272</v>
      </c>
      <c r="J37" s="279"/>
    </row>
    <row r="38" spans="1:10">
      <c r="A38" s="225">
        <f>'ADJ SUMMARY'!A41</f>
        <v>4.0199999999999996</v>
      </c>
      <c r="B38" s="226" t="str">
        <f>'ADJ SUMMARY'!C41</f>
        <v>Planned Capital Add 2016 AMA</v>
      </c>
      <c r="C38" s="227"/>
      <c r="D38" s="227"/>
      <c r="E38" s="279"/>
      <c r="F38" s="232">
        <f>'ADJ SUMMARY'!E41</f>
        <v>5706</v>
      </c>
      <c r="G38" s="279">
        <f t="shared" si="10"/>
        <v>5706</v>
      </c>
      <c r="H38" s="279"/>
      <c r="I38" s="279">
        <f t="shared" si="9"/>
        <v>-54</v>
      </c>
      <c r="J38" s="279"/>
    </row>
    <row r="39" spans="1:10">
      <c r="A39" s="225">
        <f>'ADJ SUMMARY'!A42</f>
        <v>4.0299999999999994</v>
      </c>
      <c r="B39" s="226" t="str">
        <f>'ADJ SUMMARY'!C42</f>
        <v>Project Compass Deferral, Regulatory Amortization</v>
      </c>
      <c r="C39" s="227"/>
      <c r="D39" s="227"/>
      <c r="E39" s="279"/>
      <c r="F39" s="232">
        <f>'ADJ SUMMARY'!E42</f>
        <v>0</v>
      </c>
      <c r="G39" s="279">
        <f t="shared" ref="G39" si="11">SUM(E39:F39)</f>
        <v>0</v>
      </c>
      <c r="H39" s="279"/>
      <c r="I39" s="279">
        <f t="shared" ref="I39" si="12">ROUND(F39*$E$48*-$E$55,0)</f>
        <v>0</v>
      </c>
      <c r="J39" s="279"/>
    </row>
    <row r="40" spans="1:10">
      <c r="A40" s="225">
        <f>'ADJ SUMMARY'!A43</f>
        <v>4.0399999999999991</v>
      </c>
      <c r="B40" s="226" t="str">
        <f>'ADJ SUMMARY'!C43</f>
        <v>O&amp;M Offsets</v>
      </c>
      <c r="C40" s="227"/>
      <c r="D40" s="227"/>
      <c r="E40" s="279"/>
      <c r="F40" s="232">
        <f>'ADJ SUMMARY'!E43</f>
        <v>0</v>
      </c>
      <c r="G40" s="279">
        <f>SUM(E40:F40)</f>
        <v>0</v>
      </c>
      <c r="H40" s="279"/>
      <c r="I40" s="279">
        <f t="shared" si="9"/>
        <v>0</v>
      </c>
      <c r="J40" s="279"/>
    </row>
    <row r="41" spans="1:10">
      <c r="A41" s="225">
        <f>'ADJ SUMMARY'!A45</f>
        <v>4.0599999999999987</v>
      </c>
      <c r="B41" s="226" t="str">
        <f>'ADJ SUMMARY'!C45</f>
        <v>Reconcile Pro Forma To Attrition</v>
      </c>
      <c r="C41" s="227"/>
      <c r="D41" s="227"/>
      <c r="E41" s="279"/>
      <c r="F41" s="232">
        <f>'ADJ SUMMARY'!E45</f>
        <v>7915</v>
      </c>
      <c r="G41" s="279">
        <f t="shared" si="10"/>
        <v>7915</v>
      </c>
      <c r="H41" s="279"/>
      <c r="I41" s="279">
        <f t="shared" si="9"/>
        <v>-75</v>
      </c>
      <c r="J41" s="279"/>
    </row>
    <row r="42" spans="1:10">
      <c r="A42" s="225">
        <f>'ADJ SUMMARY'!A44</f>
        <v>4.0499999999999989</v>
      </c>
      <c r="B42" s="226" t="str">
        <f>'ADJ SUMMARY'!C44</f>
        <v>Pro Forma Atmospheric Testing</v>
      </c>
      <c r="C42" s="227"/>
      <c r="D42" s="227"/>
      <c r="E42" s="279"/>
      <c r="F42" s="232">
        <f>'ADJ SUMMARY'!E44</f>
        <v>0</v>
      </c>
      <c r="G42" s="279">
        <f t="shared" ref="G42" si="13">SUM(E42:F42)</f>
        <v>0</v>
      </c>
      <c r="H42" s="279"/>
      <c r="I42" s="279">
        <f t="shared" si="9"/>
        <v>0</v>
      </c>
      <c r="J42" s="279"/>
    </row>
    <row r="43" spans="1:10">
      <c r="B43" s="233"/>
      <c r="C43" s="227"/>
      <c r="D43" s="227"/>
      <c r="E43" s="357"/>
      <c r="F43" s="358"/>
      <c r="G43" s="359"/>
      <c r="H43" s="357"/>
      <c r="I43" s="357"/>
    </row>
    <row r="44" spans="1:10">
      <c r="B44" s="233"/>
      <c r="C44" s="227"/>
      <c r="D44" s="227"/>
      <c r="E44" s="280">
        <f>SUM(E11:E43)</f>
        <v>233475</v>
      </c>
      <c r="F44" s="280">
        <f>SUM(F11:F43)</f>
        <v>52611</v>
      </c>
      <c r="G44" s="280">
        <f>SUM(G11:G43)</f>
        <v>286086</v>
      </c>
      <c r="H44" s="280"/>
      <c r="I44" s="280"/>
    </row>
    <row r="45" spans="1:10">
      <c r="B45" s="233"/>
      <c r="C45" s="227"/>
      <c r="D45" s="227"/>
      <c r="E45" s="280"/>
      <c r="F45" s="281"/>
      <c r="G45" s="282"/>
      <c r="H45" s="279"/>
      <c r="I45" s="279"/>
    </row>
    <row r="46" spans="1:10">
      <c r="B46" s="233"/>
      <c r="C46" s="227"/>
      <c r="D46" s="227"/>
      <c r="E46" s="280"/>
      <c r="F46" s="281"/>
      <c r="G46" s="282"/>
      <c r="H46" s="279"/>
      <c r="I46" s="279"/>
    </row>
    <row r="47" spans="1:10" ht="5.25" customHeight="1">
      <c r="C47" s="227"/>
      <c r="D47" s="227"/>
      <c r="E47" s="280"/>
      <c r="F47" s="280"/>
      <c r="G47" s="280"/>
      <c r="H47" s="279"/>
      <c r="I47" s="279"/>
    </row>
    <row r="48" spans="1:10">
      <c r="B48" s="226" t="s">
        <v>126</v>
      </c>
      <c r="C48" s="227"/>
      <c r="D48" s="227"/>
      <c r="E48" s="289">
        <f>'RR SUMMARY'!O14</f>
        <v>2.7099999999999999E-2</v>
      </c>
      <c r="F48" s="289">
        <f>E48-I48</f>
        <v>2.7099999999999999E-2</v>
      </c>
      <c r="G48" s="289"/>
      <c r="H48" s="287"/>
      <c r="I48" s="289"/>
    </row>
    <row r="49" spans="1:10" ht="6" customHeight="1">
      <c r="C49" s="227"/>
      <c r="D49" s="227"/>
      <c r="E49" s="280"/>
      <c r="F49" s="280"/>
      <c r="G49" s="280"/>
      <c r="H49" s="279"/>
      <c r="I49" s="279"/>
    </row>
    <row r="50" spans="1:10">
      <c r="B50" s="226" t="s">
        <v>119</v>
      </c>
      <c r="C50" s="227"/>
      <c r="D50" s="227"/>
      <c r="E50" s="280">
        <f>E44*E48</f>
        <v>6327.1724999999997</v>
      </c>
      <c r="F50" s="280">
        <f>F44*F48</f>
        <v>1425.7581</v>
      </c>
      <c r="G50" s="280">
        <f>SUM(E50:F50)</f>
        <v>7752.9305999999997</v>
      </c>
      <c r="H50" s="279"/>
      <c r="I50" s="280">
        <f>SUM(I11:I43)</f>
        <v>-362.05000000000018</v>
      </c>
    </row>
    <row r="51" spans="1:10">
      <c r="C51" s="227"/>
      <c r="D51" s="227"/>
      <c r="E51" s="280"/>
      <c r="F51" s="280"/>
      <c r="G51" s="280"/>
      <c r="H51" s="279"/>
      <c r="I51" s="280"/>
    </row>
    <row r="52" spans="1:10">
      <c r="B52" s="226" t="s">
        <v>254</v>
      </c>
      <c r="C52" s="227"/>
      <c r="D52" s="227"/>
      <c r="E52" s="284">
        <v>6717</v>
      </c>
      <c r="F52" s="284"/>
      <c r="G52" s="283">
        <f>SUM(E52:F52)</f>
        <v>6717</v>
      </c>
      <c r="H52" s="279"/>
      <c r="I52" s="337"/>
    </row>
    <row r="53" spans="1:10" ht="5.25" customHeight="1">
      <c r="C53" s="227"/>
      <c r="D53" s="227"/>
      <c r="E53" s="280"/>
      <c r="F53" s="280"/>
      <c r="G53" s="280"/>
      <c r="H53" s="279"/>
      <c r="I53" s="338"/>
    </row>
    <row r="54" spans="1:10">
      <c r="B54" s="226" t="s">
        <v>120</v>
      </c>
      <c r="C54" s="227"/>
      <c r="D54" s="227"/>
      <c r="E54" s="280">
        <f>E50-E52</f>
        <v>-389.82750000000033</v>
      </c>
      <c r="F54" s="280">
        <f>F50-F52</f>
        <v>1425.7581</v>
      </c>
      <c r="G54" s="280">
        <f>SUM(E54:F54)</f>
        <v>1035.9305999999997</v>
      </c>
      <c r="H54" s="279"/>
      <c r="I54" s="338"/>
    </row>
    <row r="55" spans="1:10" ht="18" customHeight="1">
      <c r="B55" s="226" t="s">
        <v>121</v>
      </c>
      <c r="D55" s="227"/>
      <c r="E55" s="286">
        <v>0.35</v>
      </c>
      <c r="F55" s="286">
        <v>0.35</v>
      </c>
      <c r="G55" s="286"/>
      <c r="H55" s="287"/>
      <c r="I55" s="286"/>
    </row>
    <row r="56" spans="1:10" ht="5.25" customHeight="1" thickBot="1">
      <c r="D56" s="227"/>
      <c r="E56" s="280"/>
      <c r="F56" s="280"/>
      <c r="G56" s="280"/>
      <c r="H56" s="279"/>
      <c r="I56" s="280"/>
    </row>
    <row r="57" spans="1:10" ht="13.5" thickBot="1">
      <c r="B57" s="226" t="s">
        <v>122</v>
      </c>
      <c r="D57" s="227"/>
      <c r="E57" s="346">
        <f>ROUND(E54*-E55,0)</f>
        <v>136</v>
      </c>
      <c r="F57" s="285">
        <f>ROUND(F54*-F55,0)</f>
        <v>-499</v>
      </c>
      <c r="G57" s="285">
        <f>SUM(E57:F57)</f>
        <v>-363</v>
      </c>
      <c r="H57" s="279"/>
      <c r="I57" s="285">
        <f>I50</f>
        <v>-362.05000000000018</v>
      </c>
      <c r="J57" s="339" t="s">
        <v>443</v>
      </c>
    </row>
    <row r="58" spans="1:10">
      <c r="F58" s="235"/>
      <c r="J58" s="219">
        <f>I57-'ADJ DETAIL INPUT'!V54-'ADJ DETAIL INPUT'!AP55</f>
        <v>0.96533499999981132</v>
      </c>
    </row>
    <row r="59" spans="1:10" hidden="1">
      <c r="A59" s="236" t="s">
        <v>229</v>
      </c>
      <c r="B59" s="237" t="s">
        <v>230</v>
      </c>
    </row>
    <row r="60" spans="1:10" hidden="1">
      <c r="B60" s="229" t="s">
        <v>231</v>
      </c>
    </row>
    <row r="61" spans="1:10" hidden="1">
      <c r="B61" s="226" t="s">
        <v>232</v>
      </c>
      <c r="C61" s="238">
        <v>2430</v>
      </c>
      <c r="H61" s="219" t="s">
        <v>233</v>
      </c>
    </row>
    <row r="62" spans="1:10" hidden="1">
      <c r="B62" s="226" t="s">
        <v>234</v>
      </c>
      <c r="C62" s="239">
        <v>2935</v>
      </c>
      <c r="H62" s="219" t="s">
        <v>233</v>
      </c>
    </row>
    <row r="63" spans="1:10" hidden="1">
      <c r="B63" s="226" t="s">
        <v>235</v>
      </c>
      <c r="C63" s="240">
        <f>C61+C62</f>
        <v>5365</v>
      </c>
    </row>
    <row r="64" spans="1:10" hidden="1">
      <c r="C64" s="234"/>
    </row>
    <row r="65" spans="1:6" hidden="1">
      <c r="C65" s="241"/>
      <c r="D65" s="224"/>
      <c r="E65" s="224" t="s">
        <v>236</v>
      </c>
    </row>
    <row r="66" spans="1:6" hidden="1">
      <c r="C66" s="231" t="s">
        <v>237</v>
      </c>
      <c r="D66" s="231" t="s">
        <v>238</v>
      </c>
      <c r="E66" s="231" t="s">
        <v>25</v>
      </c>
    </row>
    <row r="67" spans="1:6" hidden="1">
      <c r="B67" s="226" t="s">
        <v>239</v>
      </c>
      <c r="C67" s="242" t="e">
        <f>#REF!</f>
        <v>#REF!</v>
      </c>
      <c r="D67" s="243" t="e">
        <f>ROUND(C67/$C$70,4)</f>
        <v>#REF!</v>
      </c>
      <c r="E67" s="242" t="e">
        <f>D67*E70</f>
        <v>#REF!</v>
      </c>
      <c r="F67" s="244"/>
    </row>
    <row r="68" spans="1:6" hidden="1">
      <c r="B68" s="226" t="s">
        <v>240</v>
      </c>
      <c r="C68" s="245" t="e">
        <f>#REF!</f>
        <v>#REF!</v>
      </c>
      <c r="D68" s="243" t="e">
        <f>ROUND(C68/$C$70,4)</f>
        <v>#REF!</v>
      </c>
      <c r="E68" s="245" t="e">
        <f>D68*E70</f>
        <v>#REF!</v>
      </c>
    </row>
    <row r="69" spans="1:6" hidden="1">
      <c r="B69" s="226" t="s">
        <v>241</v>
      </c>
      <c r="C69" s="245" t="e">
        <f>#REF!</f>
        <v>#REF!</v>
      </c>
      <c r="D69" s="243" t="e">
        <f>ROUND(C69/$C$70,4)-0.0001</f>
        <v>#REF!</v>
      </c>
      <c r="E69" s="245" t="e">
        <f>E70*D69</f>
        <v>#REF!</v>
      </c>
    </row>
    <row r="70" spans="1:6" hidden="1">
      <c r="B70" s="226" t="s">
        <v>242</v>
      </c>
      <c r="C70" s="246" t="e">
        <f>C67+C68+C69</f>
        <v>#REF!</v>
      </c>
      <c r="D70" s="247" t="e">
        <f>D67+D68+D69</f>
        <v>#REF!</v>
      </c>
      <c r="E70" s="246">
        <f>C63</f>
        <v>5365</v>
      </c>
    </row>
    <row r="71" spans="1:6" hidden="1">
      <c r="C71" s="248"/>
      <c r="D71" s="248"/>
      <c r="E71" s="248"/>
    </row>
    <row r="72" spans="1:6" hidden="1">
      <c r="B72" s="226" t="s">
        <v>243</v>
      </c>
      <c r="C72" s="242" t="e">
        <f>#REF!</f>
        <v>#REF!</v>
      </c>
      <c r="D72" s="243" t="e">
        <f>C72/C74</f>
        <v>#REF!</v>
      </c>
      <c r="E72" s="242" t="e">
        <f>D72*E74</f>
        <v>#REF!</v>
      </c>
    </row>
    <row r="73" spans="1:6" hidden="1">
      <c r="B73" s="226" t="s">
        <v>244</v>
      </c>
      <c r="C73" s="248" t="e">
        <f>#REF!</f>
        <v>#REF!</v>
      </c>
      <c r="D73" s="243" t="e">
        <f>C73/C74</f>
        <v>#REF!</v>
      </c>
      <c r="E73" s="248" t="e">
        <f>D73*E74</f>
        <v>#REF!</v>
      </c>
    </row>
    <row r="74" spans="1:6" hidden="1">
      <c r="B74" s="226" t="s">
        <v>242</v>
      </c>
      <c r="C74" s="246" t="e">
        <f>C72+C73</f>
        <v>#REF!</v>
      </c>
      <c r="D74" s="247" t="e">
        <f>D72+D73</f>
        <v>#REF!</v>
      </c>
      <c r="E74" s="246" t="e">
        <f>E67</f>
        <v>#REF!</v>
      </c>
    </row>
    <row r="75" spans="1:6" hidden="1">
      <c r="C75" s="248"/>
      <c r="D75" s="248"/>
      <c r="E75" s="248"/>
    </row>
    <row r="76" spans="1:6" hidden="1">
      <c r="B76" s="226" t="s">
        <v>245</v>
      </c>
      <c r="C76" s="242" t="e">
        <f>#REF!</f>
        <v>#REF!</v>
      </c>
      <c r="D76" s="249" t="e">
        <f>C76/C78</f>
        <v>#REF!</v>
      </c>
      <c r="E76" s="242" t="e">
        <f>E78*D76</f>
        <v>#REF!</v>
      </c>
    </row>
    <row r="77" spans="1:6" hidden="1">
      <c r="B77" s="226" t="s">
        <v>246</v>
      </c>
      <c r="C77" s="248" t="e">
        <f>#REF!</f>
        <v>#REF!</v>
      </c>
      <c r="D77" s="250" t="e">
        <f>C77/C78</f>
        <v>#REF!</v>
      </c>
      <c r="E77" s="248" t="e">
        <f>E78*D77</f>
        <v>#REF!</v>
      </c>
    </row>
    <row r="78" spans="1:6" hidden="1">
      <c r="B78" s="226" t="s">
        <v>242</v>
      </c>
      <c r="C78" s="246" t="e">
        <f>SUM(C76:C77)</f>
        <v>#REF!</v>
      </c>
      <c r="D78" s="251" t="e">
        <f>SUM(D76:D77)</f>
        <v>#REF!</v>
      </c>
      <c r="E78" s="246" t="e">
        <f>E68</f>
        <v>#REF!</v>
      </c>
    </row>
    <row r="79" spans="1:6" hidden="1">
      <c r="A79" s="252" t="str">
        <f>A1</f>
        <v>AVISTA UTILITIES</v>
      </c>
      <c r="C79" s="253"/>
      <c r="D79" s="254"/>
      <c r="E79" s="253"/>
      <c r="F79" s="254"/>
    </row>
    <row r="80" spans="1:6" hidden="1">
      <c r="A80" s="252" t="str">
        <f>A2</f>
        <v>Restate Debt Interest</v>
      </c>
      <c r="C80" s="253"/>
      <c r="D80" s="254"/>
      <c r="E80" s="253"/>
      <c r="F80" s="254"/>
    </row>
    <row r="81" spans="1:6" hidden="1">
      <c r="A81" s="252" t="s">
        <v>247</v>
      </c>
      <c r="C81" s="253"/>
      <c r="D81" s="254"/>
      <c r="E81" s="253"/>
      <c r="F81" s="254"/>
    </row>
    <row r="82" spans="1:6" hidden="1">
      <c r="A82" s="255" t="str">
        <f>A4</f>
        <v>TWELVE MONTHS ENDED SEPTEMBER 30, 2014</v>
      </c>
      <c r="C82" s="222"/>
      <c r="D82" s="254"/>
      <c r="E82" s="222"/>
      <c r="F82" s="254"/>
    </row>
    <row r="83" spans="1:6" hidden="1">
      <c r="A83" s="256" t="s">
        <v>116</v>
      </c>
      <c r="C83" s="253"/>
      <c r="D83" s="254"/>
      <c r="E83" s="254"/>
      <c r="F83" s="254"/>
    </row>
    <row r="84" spans="1:6" hidden="1">
      <c r="C84" s="227"/>
      <c r="D84" s="227"/>
      <c r="E84" s="228"/>
      <c r="F84" s="224" t="s">
        <v>20</v>
      </c>
    </row>
    <row r="85" spans="1:6" hidden="1">
      <c r="B85" s="229" t="s">
        <v>117</v>
      </c>
      <c r="C85" s="227"/>
      <c r="D85" s="227"/>
      <c r="E85" s="228"/>
      <c r="F85" s="231" t="s">
        <v>118</v>
      </c>
    </row>
    <row r="86" spans="1:6" hidden="1">
      <c r="A86" s="225" t="e">
        <f>'[3]ADJ SUMMARY'!#REF!</f>
        <v>#REF!</v>
      </c>
      <c r="B86" s="226" t="e">
        <f>'[3]ADJ SUMMARY'!#REF!</f>
        <v>#REF!</v>
      </c>
      <c r="C86" s="227"/>
      <c r="D86" s="227"/>
      <c r="E86" s="234"/>
      <c r="F86" s="257" t="e">
        <f>'[3]ADJ SUMMARY'!#REF!</f>
        <v>#REF!</v>
      </c>
    </row>
    <row r="87" spans="1:6" hidden="1">
      <c r="A87" s="225" t="e">
        <f>'[3]ADJ SUMMARY'!#REF!</f>
        <v>#REF!</v>
      </c>
      <c r="B87" s="226" t="e">
        <f>'[3]ADJ SUMMARY'!#REF!</f>
        <v>#REF!</v>
      </c>
      <c r="C87" s="227"/>
      <c r="D87" s="227"/>
      <c r="E87" s="234"/>
      <c r="F87" s="257" t="e">
        <f>'[3]ADJ SUMMARY'!#REF!</f>
        <v>#REF!</v>
      </c>
    </row>
    <row r="88" spans="1:6" hidden="1">
      <c r="A88" s="225" t="e">
        <f>'[3]ADJ SUMMARY'!#REF!</f>
        <v>#REF!</v>
      </c>
      <c r="B88" s="226" t="e">
        <f>'[3]ADJ SUMMARY'!#REF!</f>
        <v>#REF!</v>
      </c>
      <c r="C88" s="227"/>
      <c r="D88" s="227"/>
      <c r="E88" s="234"/>
      <c r="F88" s="257" t="e">
        <f>'[3]ADJ SUMMARY'!#REF!</f>
        <v>#REF!</v>
      </c>
    </row>
    <row r="89" spans="1:6" hidden="1">
      <c r="A89" s="225" t="e">
        <f>'[3]ADJ SUMMARY'!#REF!</f>
        <v>#REF!</v>
      </c>
      <c r="B89" s="226" t="e">
        <f>'[3]ADJ SUMMARY'!#REF!</f>
        <v>#REF!</v>
      </c>
      <c r="C89" s="227"/>
      <c r="D89" s="227"/>
      <c r="E89" s="234"/>
      <c r="F89" s="257" t="e">
        <f>'[3]ADJ SUMMARY'!#REF!</f>
        <v>#REF!</v>
      </c>
    </row>
    <row r="90" spans="1:6" hidden="1">
      <c r="A90" s="225" t="e">
        <f>'[3]ADJ SUMMARY'!#REF!</f>
        <v>#REF!</v>
      </c>
      <c r="B90" s="226" t="e">
        <f>'[3]ADJ SUMMARY'!#REF!</f>
        <v>#REF!</v>
      </c>
      <c r="C90" s="227"/>
      <c r="D90" s="227"/>
      <c r="E90" s="234"/>
      <c r="F90" s="257" t="e">
        <f>'[3]ADJ SUMMARY'!#REF!</f>
        <v>#REF!</v>
      </c>
    </row>
    <row r="91" spans="1:6" hidden="1">
      <c r="A91" s="225" t="e">
        <f>'[3]ADJ SUMMARY'!#REF!</f>
        <v>#REF!</v>
      </c>
      <c r="B91" s="226" t="e">
        <f>'[3]ADJ SUMMARY'!#REF!</f>
        <v>#REF!</v>
      </c>
      <c r="C91" s="227"/>
      <c r="D91" s="227"/>
      <c r="E91" s="234"/>
      <c r="F91" s="257" t="e">
        <f>'[3]ADJ SUMMARY'!#REF!</f>
        <v>#REF!</v>
      </c>
    </row>
    <row r="92" spans="1:6" hidden="1">
      <c r="A92" s="225" t="e">
        <f>'[3]ADJ SUMMARY'!#REF!</f>
        <v>#REF!</v>
      </c>
      <c r="B92" s="226" t="e">
        <f>'[3]ADJ SUMMARY'!#REF!</f>
        <v>#REF!</v>
      </c>
      <c r="C92" s="227"/>
      <c r="D92" s="227"/>
      <c r="E92" s="234"/>
      <c r="F92" s="257" t="e">
        <f>'[3]ADJ SUMMARY'!#REF!</f>
        <v>#REF!</v>
      </c>
    </row>
    <row r="93" spans="1:6" hidden="1">
      <c r="A93" s="225" t="e">
        <f>'[3]ADJ SUMMARY'!#REF!</f>
        <v>#REF!</v>
      </c>
      <c r="B93" s="226" t="e">
        <f>'[3]ADJ SUMMARY'!#REF!</f>
        <v>#REF!</v>
      </c>
      <c r="C93" s="227"/>
      <c r="D93" s="227"/>
      <c r="E93" s="234"/>
      <c r="F93" s="257" t="e">
        <f>'[3]ADJ SUMMARY'!#REF!</f>
        <v>#REF!</v>
      </c>
    </row>
    <row r="94" spans="1:6" hidden="1">
      <c r="A94" s="225" t="e">
        <f>'[3]ADJ SUMMARY'!#REF!</f>
        <v>#REF!</v>
      </c>
      <c r="B94" s="226" t="e">
        <f>'[3]ADJ SUMMARY'!#REF!</f>
        <v>#REF!</v>
      </c>
      <c r="C94" s="227"/>
      <c r="D94" s="227"/>
      <c r="E94" s="234"/>
      <c r="F94" s="257" t="e">
        <f>'[3]ADJ SUMMARY'!#REF!</f>
        <v>#REF!</v>
      </c>
    </row>
    <row r="95" spans="1:6" hidden="1">
      <c r="A95" s="225" t="e">
        <f>'[3]ADJ SUMMARY'!#REF!</f>
        <v>#REF!</v>
      </c>
      <c r="B95" s="226" t="e">
        <f>'[3]ADJ SUMMARY'!#REF!</f>
        <v>#REF!</v>
      </c>
      <c r="C95" s="227"/>
      <c r="D95" s="227"/>
      <c r="E95" s="234"/>
      <c r="F95" s="257" t="e">
        <f>'[3]ADJ SUMMARY'!#REF!</f>
        <v>#REF!</v>
      </c>
    </row>
    <row r="96" spans="1:6" hidden="1">
      <c r="A96" s="225" t="e">
        <f>'[3]ADJ SUMMARY'!#REF!</f>
        <v>#REF!</v>
      </c>
      <c r="B96" s="226" t="e">
        <f>'[3]ADJ SUMMARY'!#REF!</f>
        <v>#REF!</v>
      </c>
      <c r="C96" s="227"/>
      <c r="D96" s="227"/>
      <c r="E96" s="234"/>
      <c r="F96" s="257" t="e">
        <f>'[3]ADJ SUMMARY'!#REF!</f>
        <v>#REF!</v>
      </c>
    </row>
    <row r="97" spans="1:6" hidden="1">
      <c r="A97" s="225" t="e">
        <f>'[3]ADJ SUMMARY'!#REF!</f>
        <v>#REF!</v>
      </c>
      <c r="B97" s="226" t="e">
        <f>'[3]ADJ SUMMARY'!#REF!</f>
        <v>#REF!</v>
      </c>
      <c r="C97" s="227"/>
      <c r="D97" s="227"/>
      <c r="E97" s="234"/>
      <c r="F97" s="257" t="e">
        <f>'[3]ADJ SUMMARY'!#REF!</f>
        <v>#REF!</v>
      </c>
    </row>
    <row r="98" spans="1:6" hidden="1">
      <c r="A98" s="225" t="e">
        <f>'[3]ADJ SUMMARY'!#REF!</f>
        <v>#REF!</v>
      </c>
      <c r="B98" s="226" t="e">
        <f>'[3]ADJ SUMMARY'!#REF!</f>
        <v>#REF!</v>
      </c>
      <c r="C98" s="227"/>
      <c r="D98" s="227"/>
      <c r="E98" s="234"/>
      <c r="F98" s="257" t="e">
        <f>'[3]ADJ SUMMARY'!#REF!</f>
        <v>#REF!</v>
      </c>
    </row>
    <row r="99" spans="1:6" hidden="1">
      <c r="A99" s="225" t="e">
        <f>'[3]ADJ SUMMARY'!#REF!</f>
        <v>#REF!</v>
      </c>
      <c r="B99" s="226" t="e">
        <f>'[3]ADJ SUMMARY'!#REF!</f>
        <v>#REF!</v>
      </c>
      <c r="C99" s="227"/>
      <c r="D99" s="227"/>
      <c r="E99" s="234"/>
      <c r="F99" s="257" t="e">
        <f>'[3]ADJ SUMMARY'!#REF!</f>
        <v>#REF!</v>
      </c>
    </row>
    <row r="100" spans="1:6" hidden="1">
      <c r="A100" s="225" t="e">
        <f>'[3]ADJ SUMMARY'!#REF!</f>
        <v>#REF!</v>
      </c>
      <c r="B100" s="226" t="e">
        <f>'[3]ADJ SUMMARY'!#REF!</f>
        <v>#REF!</v>
      </c>
      <c r="C100" s="227"/>
      <c r="D100" s="227"/>
      <c r="E100" s="234"/>
      <c r="F100" s="257" t="e">
        <f>'[3]ADJ SUMMARY'!#REF!</f>
        <v>#REF!</v>
      </c>
    </row>
    <row r="101" spans="1:6" hidden="1">
      <c r="A101" s="225" t="e">
        <f>'[3]ADJ SUMMARY'!#REF!</f>
        <v>#REF!</v>
      </c>
      <c r="B101" s="226" t="e">
        <f>'[3]ADJ SUMMARY'!#REF!</f>
        <v>#REF!</v>
      </c>
      <c r="C101" s="227"/>
      <c r="D101" s="227"/>
      <c r="E101" s="234"/>
      <c r="F101" s="257" t="e">
        <f>'[3]ADJ SUMMARY'!#REF!</f>
        <v>#REF!</v>
      </c>
    </row>
    <row r="102" spans="1:6" hidden="1">
      <c r="A102" s="225" t="e">
        <f>'[3]ADJ SUMMARY'!#REF!</f>
        <v>#REF!</v>
      </c>
      <c r="B102" s="226" t="e">
        <f>'[3]ADJ SUMMARY'!#REF!</f>
        <v>#REF!</v>
      </c>
      <c r="C102" s="227"/>
      <c r="D102" s="227"/>
      <c r="E102" s="234"/>
      <c r="F102" s="257" t="e">
        <f>'[3]ADJ SUMMARY'!#REF!</f>
        <v>#REF!</v>
      </c>
    </row>
    <row r="103" spans="1:6" hidden="1">
      <c r="A103" s="225" t="e">
        <f>'[3]ADJ SUMMARY'!#REF!</f>
        <v>#REF!</v>
      </c>
      <c r="B103" s="226" t="e">
        <f>'[3]ADJ SUMMARY'!#REF!</f>
        <v>#REF!</v>
      </c>
      <c r="C103" s="227"/>
      <c r="D103" s="227"/>
      <c r="E103" s="234"/>
      <c r="F103" s="257" t="e">
        <f>'[3]ADJ SUMMARY'!#REF!</f>
        <v>#REF!</v>
      </c>
    </row>
    <row r="104" spans="1:6" hidden="1">
      <c r="A104" s="225" t="e">
        <f>'[3]ADJ SUMMARY'!#REF!</f>
        <v>#REF!</v>
      </c>
      <c r="B104" s="226" t="e">
        <f>'[3]ADJ SUMMARY'!#REF!</f>
        <v>#REF!</v>
      </c>
      <c r="C104" s="227"/>
      <c r="D104" s="227"/>
      <c r="E104" s="234"/>
      <c r="F104" s="257" t="e">
        <f>'[3]ADJ SUMMARY'!#REF!</f>
        <v>#REF!</v>
      </c>
    </row>
    <row r="105" spans="1:6" hidden="1">
      <c r="A105" s="225" t="e">
        <f>'[3]ADJ SUMMARY'!#REF!</f>
        <v>#REF!</v>
      </c>
      <c r="B105" s="226" t="e">
        <f>'[3]ADJ SUMMARY'!#REF!</f>
        <v>#REF!</v>
      </c>
      <c r="C105" s="227"/>
      <c r="D105" s="227"/>
      <c r="E105" s="234"/>
      <c r="F105" s="257" t="e">
        <f>'[3]ADJ SUMMARY'!#REF!</f>
        <v>#REF!</v>
      </c>
    </row>
    <row r="106" spans="1:6" hidden="1">
      <c r="A106" s="225" t="e">
        <f>'[3]ADJ SUMMARY'!#REF!</f>
        <v>#REF!</v>
      </c>
      <c r="B106" s="226" t="e">
        <f>'[3]ADJ SUMMARY'!#REF!</f>
        <v>#REF!</v>
      </c>
      <c r="C106" s="227"/>
      <c r="D106" s="227"/>
      <c r="E106" s="234"/>
      <c r="F106" s="257" t="e">
        <f>'[3]ADJ SUMMARY'!#REF!</f>
        <v>#REF!</v>
      </c>
    </row>
    <row r="107" spans="1:6" ht="5.25" hidden="1" customHeight="1">
      <c r="C107" s="227"/>
      <c r="D107" s="227"/>
      <c r="E107" s="234"/>
      <c r="F107" s="257"/>
    </row>
    <row r="108" spans="1:6" ht="13.5" hidden="1" customHeight="1">
      <c r="A108" s="225" t="e">
        <f>'[3]ADJ SUMMARY'!#REF!</f>
        <v>#REF!</v>
      </c>
      <c r="B108" s="226" t="e">
        <f>'[3]ADJ SUMMARY'!#REF!</f>
        <v>#REF!</v>
      </c>
      <c r="C108" s="227"/>
      <c r="D108" s="227"/>
      <c r="E108" s="234"/>
      <c r="F108" s="257" t="e">
        <f>'[3]ADJ SUMMARY'!#REF!</f>
        <v>#REF!</v>
      </c>
    </row>
    <row r="109" spans="1:6" hidden="1">
      <c r="A109" s="225" t="e">
        <f>'[3]ADJ SUMMARY'!#REF!</f>
        <v>#REF!</v>
      </c>
      <c r="B109" s="226" t="e">
        <f>'[3]ADJ SUMMARY'!#REF!</f>
        <v>#REF!</v>
      </c>
      <c r="C109" s="227"/>
      <c r="D109" s="227"/>
      <c r="E109" s="234"/>
      <c r="F109" s="257" t="e">
        <f>'[3]ADJ SUMMARY'!#REF!</f>
        <v>#REF!</v>
      </c>
    </row>
    <row r="110" spans="1:6" hidden="1">
      <c r="A110" s="225" t="e">
        <f>'[3]ADJ SUMMARY'!#REF!</f>
        <v>#REF!</v>
      </c>
      <c r="B110" s="226" t="e">
        <f>'[3]ADJ SUMMARY'!#REF!</f>
        <v>#REF!</v>
      </c>
      <c r="C110" s="227"/>
      <c r="D110" s="227"/>
      <c r="E110" s="234"/>
      <c r="F110" s="257" t="e">
        <f>'[3]ADJ SUMMARY'!#REF!</f>
        <v>#REF!</v>
      </c>
    </row>
    <row r="111" spans="1:6" hidden="1">
      <c r="A111" s="225" t="e">
        <f>'[3]ADJ SUMMARY'!#REF!</f>
        <v>#REF!</v>
      </c>
      <c r="B111" s="226" t="e">
        <f>'[3]ADJ SUMMARY'!#REF!</f>
        <v>#REF!</v>
      </c>
      <c r="C111" s="227"/>
      <c r="D111" s="227"/>
      <c r="E111" s="234"/>
      <c r="F111" s="257" t="e">
        <f>'[3]ADJ SUMMARY'!#REF!</f>
        <v>#REF!</v>
      </c>
    </row>
    <row r="112" spans="1:6" hidden="1">
      <c r="A112" s="225" t="e">
        <f>'[3]ADJ SUMMARY'!#REF!</f>
        <v>#REF!</v>
      </c>
      <c r="B112" s="226" t="e">
        <f>'[3]ADJ SUMMARY'!#REF!</f>
        <v>#REF!</v>
      </c>
      <c r="C112" s="227"/>
      <c r="D112" s="227"/>
      <c r="E112" s="234"/>
      <c r="F112" s="257" t="e">
        <f>'[3]ADJ SUMMARY'!#REF!</f>
        <v>#REF!</v>
      </c>
    </row>
    <row r="113" spans="1:9" hidden="1">
      <c r="A113" s="225" t="e">
        <f>'[3]ADJ SUMMARY'!#REF!</f>
        <v>#REF!</v>
      </c>
      <c r="B113" s="226" t="e">
        <f>'[3]ADJ SUMMARY'!#REF!</f>
        <v>#REF!</v>
      </c>
      <c r="C113" s="227"/>
      <c r="D113" s="227"/>
      <c r="E113" s="234"/>
      <c r="F113" s="257" t="e">
        <f>'[3]ADJ SUMMARY'!#REF!</f>
        <v>#REF!</v>
      </c>
    </row>
    <row r="114" spans="1:9" hidden="1">
      <c r="A114" s="225" t="e">
        <f>'[3]ADJ SUMMARY'!#REF!</f>
        <v>#REF!</v>
      </c>
      <c r="B114" s="226" t="e">
        <f>'[3]ADJ SUMMARY'!#REF!</f>
        <v>#REF!</v>
      </c>
      <c r="C114" s="227"/>
      <c r="D114" s="227"/>
      <c r="E114" s="234"/>
      <c r="F114" s="257" t="e">
        <f>'[3]ADJ SUMMARY'!#REF!</f>
        <v>#REF!</v>
      </c>
    </row>
    <row r="115" spans="1:9" hidden="1">
      <c r="A115" s="225" t="e">
        <f>'[3]ADJ SUMMARY'!#REF!</f>
        <v>#REF!</v>
      </c>
      <c r="B115" s="226" t="e">
        <f>'[3]ADJ SUMMARY'!#REF!</f>
        <v>#REF!</v>
      </c>
      <c r="C115" s="227"/>
      <c r="D115" s="227"/>
      <c r="E115" s="234"/>
      <c r="F115" s="257" t="e">
        <f>'[3]ADJ SUMMARY'!#REF!</f>
        <v>#REF!</v>
      </c>
    </row>
    <row r="116" spans="1:9" hidden="1">
      <c r="A116" s="225" t="e">
        <f>'[3]ADJ SUMMARY'!#REF!</f>
        <v>#REF!</v>
      </c>
      <c r="B116" s="226" t="e">
        <f>'[3]ADJ SUMMARY'!#REF!</f>
        <v>#REF!</v>
      </c>
      <c r="C116" s="227"/>
      <c r="D116" s="227"/>
      <c r="E116" s="234"/>
      <c r="F116" s="257" t="e">
        <f>'[3]ADJ SUMMARY'!#REF!</f>
        <v>#REF!</v>
      </c>
    </row>
    <row r="117" spans="1:9" hidden="1">
      <c r="A117" s="225" t="e">
        <f>'[3]ADJ SUMMARY'!#REF!</f>
        <v>#REF!</v>
      </c>
      <c r="B117" s="226" t="e">
        <f>'[3]ADJ SUMMARY'!#REF!</f>
        <v>#REF!</v>
      </c>
      <c r="C117" s="227"/>
      <c r="D117" s="227"/>
      <c r="E117" s="234"/>
      <c r="F117" s="257" t="e">
        <f>'[3]ADJ SUMMARY'!#REF!</f>
        <v>#REF!</v>
      </c>
    </row>
    <row r="118" spans="1:9" hidden="1">
      <c r="A118" s="225" t="e">
        <f>'[3]ADJ SUMMARY'!#REF!</f>
        <v>#REF!</v>
      </c>
      <c r="B118" s="226" t="e">
        <f>'[3]ADJ SUMMARY'!#REF!</f>
        <v>#REF!</v>
      </c>
      <c r="C118" s="227"/>
      <c r="D118" s="227"/>
      <c r="E118" s="234"/>
      <c r="F118" s="257" t="e">
        <f>'[3]ADJ SUMMARY'!#REF!</f>
        <v>#REF!</v>
      </c>
    </row>
    <row r="119" spans="1:9" hidden="1">
      <c r="A119" s="225" t="e">
        <f>'[3]ADJ SUMMARY'!#REF!</f>
        <v>#REF!</v>
      </c>
      <c r="B119" s="226" t="e">
        <f>'[3]ADJ SUMMARY'!#REF!</f>
        <v>#REF!</v>
      </c>
      <c r="C119" s="227"/>
      <c r="D119" s="227"/>
      <c r="E119" s="234"/>
      <c r="F119" s="257" t="e">
        <f>'[3]ADJ SUMMARY'!#REF!</f>
        <v>#REF!</v>
      </c>
    </row>
    <row r="120" spans="1:9" hidden="1">
      <c r="A120" s="225" t="e">
        <f>'[3]ADJ SUMMARY'!#REF!</f>
        <v>#REF!</v>
      </c>
      <c r="B120" s="226" t="e">
        <f>'[3]ADJ SUMMARY'!#REF!</f>
        <v>#REF!</v>
      </c>
      <c r="C120" s="227"/>
      <c r="D120" s="227"/>
      <c r="E120" s="234"/>
      <c r="F120" s="257" t="e">
        <f>'[3]ADJ SUMMARY'!#REF!</f>
        <v>#REF!</v>
      </c>
    </row>
    <row r="121" spans="1:9" hidden="1">
      <c r="A121" s="225" t="e">
        <f>'[3]ADJ SUMMARY'!#REF!</f>
        <v>#REF!</v>
      </c>
      <c r="B121" s="226" t="e">
        <f>'[3]ADJ SUMMARY'!#REF!</f>
        <v>#REF!</v>
      </c>
      <c r="C121" s="227"/>
      <c r="D121" s="227"/>
      <c r="E121" s="234"/>
      <c r="F121" s="257" t="e">
        <f>'[3]ADJ SUMMARY'!#REF!</f>
        <v>#REF!</v>
      </c>
    </row>
    <row r="122" spans="1:9" ht="13.5" hidden="1" customHeight="1">
      <c r="A122" s="225" t="e">
        <f>'[3]ADJ SUMMARY'!#REF!</f>
        <v>#REF!</v>
      </c>
      <c r="B122" s="226" t="e">
        <f>'[3]ADJ SUMMARY'!#REF!</f>
        <v>#REF!</v>
      </c>
      <c r="C122" s="227"/>
      <c r="D122" s="227"/>
      <c r="E122" s="234"/>
      <c r="F122" s="257" t="e">
        <f>'[3]ADJ SUMMARY'!#REF!</f>
        <v>#REF!</v>
      </c>
    </row>
    <row r="123" spans="1:9" ht="0.75" hidden="1" customHeight="1">
      <c r="A123" s="225" t="e">
        <f>'[3]ADJ SUMMARY'!#REF!</f>
        <v>#REF!</v>
      </c>
      <c r="B123" s="226" t="e">
        <f>'[3]ADJ SUMMARY'!#REF!</f>
        <v>#REF!</v>
      </c>
      <c r="C123" s="227"/>
      <c r="D123" s="227"/>
      <c r="E123" s="234"/>
      <c r="F123" s="257" t="e">
        <f>'[3]ADJ SUMMARY'!#REF!</f>
        <v>#REF!</v>
      </c>
    </row>
    <row r="124" spans="1:9" ht="13.5" hidden="1" customHeight="1">
      <c r="B124" s="226" t="s">
        <v>248</v>
      </c>
      <c r="C124" s="227"/>
      <c r="D124" s="227"/>
      <c r="E124" s="234"/>
      <c r="F124" s="240" t="e">
        <f>SUM(F86:F123)</f>
        <v>#REF!</v>
      </c>
    </row>
    <row r="125" spans="1:9" hidden="1">
      <c r="C125" s="227"/>
      <c r="D125" s="227"/>
      <c r="E125" s="227"/>
      <c r="F125" s="219"/>
      <c r="G125" s="258"/>
    </row>
    <row r="126" spans="1:9" hidden="1">
      <c r="B126" s="226" t="str">
        <f>B48</f>
        <v>Weighted Average Cost of Debt</v>
      </c>
      <c r="C126" s="259"/>
      <c r="D126" s="259"/>
      <c r="E126" s="260"/>
      <c r="F126" s="261" t="e">
        <f>'[3]RR SUMMARY'!#REF!</f>
        <v>#REF!</v>
      </c>
      <c r="H126" s="262" t="s">
        <v>249</v>
      </c>
      <c r="I126" s="248"/>
    </row>
    <row r="127" spans="1:9" hidden="1">
      <c r="C127" s="227"/>
      <c r="D127" s="227"/>
      <c r="F127" s="219"/>
    </row>
    <row r="128" spans="1:9" hidden="1">
      <c r="B128" s="226" t="s">
        <v>119</v>
      </c>
      <c r="C128" s="227"/>
      <c r="D128" s="227"/>
      <c r="E128" s="234"/>
      <c r="F128" s="234" t="e">
        <f>F124*F126</f>
        <v>#REF!</v>
      </c>
    </row>
    <row r="129" spans="1:8" hidden="1">
      <c r="C129" s="227"/>
      <c r="D129" s="227"/>
      <c r="E129" s="227"/>
      <c r="F129" s="219"/>
    </row>
    <row r="130" spans="1:8" hidden="1">
      <c r="B130" s="226" t="s">
        <v>250</v>
      </c>
      <c r="C130" s="227"/>
      <c r="D130" s="227"/>
      <c r="F130" s="263">
        <v>21469</v>
      </c>
      <c r="H130" s="264" t="s">
        <v>251</v>
      </c>
    </row>
    <row r="131" spans="1:8" hidden="1">
      <c r="C131" s="227"/>
      <c r="D131" s="227"/>
      <c r="E131" s="227"/>
      <c r="F131" s="219"/>
    </row>
    <row r="132" spans="1:8" hidden="1">
      <c r="B132" s="226" t="s">
        <v>120</v>
      </c>
      <c r="C132" s="227"/>
      <c r="D132" s="227"/>
      <c r="E132" s="234"/>
      <c r="F132" s="234" t="e">
        <f>F128-F130</f>
        <v>#REF!</v>
      </c>
    </row>
    <row r="133" spans="1:8" hidden="1">
      <c r="B133" s="226" t="s">
        <v>121</v>
      </c>
      <c r="D133" s="227"/>
      <c r="E133" s="265"/>
      <c r="F133" s="266">
        <v>0.35</v>
      </c>
    </row>
    <row r="134" spans="1:8" hidden="1">
      <c r="D134" s="227"/>
      <c r="E134" s="227"/>
      <c r="F134" s="219"/>
    </row>
    <row r="135" spans="1:8" hidden="1">
      <c r="B135" s="226" t="s">
        <v>122</v>
      </c>
      <c r="D135" s="227"/>
      <c r="E135" s="234"/>
      <c r="F135" s="234" t="e">
        <f>F132*-F133</f>
        <v>#REF!</v>
      </c>
      <c r="G135" s="234"/>
    </row>
    <row r="136" spans="1:8" ht="13.5" hidden="1" thickTop="1">
      <c r="D136" s="227"/>
      <c r="E136" s="234"/>
      <c r="F136" s="267"/>
    </row>
    <row r="137" spans="1:8" hidden="1">
      <c r="A137" s="268"/>
      <c r="F137" s="219"/>
    </row>
    <row r="138" spans="1:8" hidden="1">
      <c r="A138" s="268"/>
      <c r="B138" s="229" t="s">
        <v>231</v>
      </c>
      <c r="F138" s="219"/>
    </row>
    <row r="139" spans="1:8" hidden="1">
      <c r="A139" s="268"/>
      <c r="B139" s="226" t="s">
        <v>232</v>
      </c>
      <c r="C139" s="234">
        <f>C61</f>
        <v>2430</v>
      </c>
      <c r="F139" s="219"/>
    </row>
    <row r="140" spans="1:8" hidden="1">
      <c r="A140" s="268"/>
      <c r="B140" s="226" t="s">
        <v>234</v>
      </c>
      <c r="C140" s="219">
        <f>C62</f>
        <v>2935</v>
      </c>
      <c r="F140" s="219"/>
    </row>
    <row r="141" spans="1:8" hidden="1">
      <c r="A141" s="268"/>
      <c r="B141" s="226" t="s">
        <v>235</v>
      </c>
      <c r="C141" s="240">
        <f>C139+C140</f>
        <v>5365</v>
      </c>
      <c r="F141" s="219"/>
    </row>
    <row r="142" spans="1:8" hidden="1">
      <c r="A142" s="268"/>
      <c r="C142" s="234"/>
      <c r="F142" s="219"/>
    </row>
    <row r="143" spans="1:8" hidden="1">
      <c r="A143" s="268"/>
      <c r="C143" s="241"/>
      <c r="D143" s="224"/>
      <c r="E143" s="224" t="s">
        <v>236</v>
      </c>
      <c r="F143" s="219"/>
    </row>
    <row r="144" spans="1:8" hidden="1">
      <c r="A144" s="268"/>
      <c r="C144" s="231" t="s">
        <v>237</v>
      </c>
      <c r="D144" s="231" t="s">
        <v>238</v>
      </c>
      <c r="E144" s="231" t="s">
        <v>25</v>
      </c>
      <c r="F144" s="219"/>
    </row>
    <row r="145" spans="1:6" hidden="1">
      <c r="A145" s="268"/>
      <c r="B145" s="226" t="s">
        <v>239</v>
      </c>
      <c r="C145" s="234" t="e">
        <f>$C$67</f>
        <v>#REF!</v>
      </c>
      <c r="D145" s="269" t="e">
        <f>C145/C148</f>
        <v>#REF!</v>
      </c>
      <c r="E145" s="234" t="e">
        <f>D145*E148</f>
        <v>#REF!</v>
      </c>
      <c r="F145" s="219"/>
    </row>
    <row r="146" spans="1:6" hidden="1">
      <c r="A146" s="268"/>
      <c r="B146" s="226" t="s">
        <v>240</v>
      </c>
      <c r="C146" s="219" t="e">
        <f>$C$68</f>
        <v>#REF!</v>
      </c>
      <c r="D146" s="270" t="e">
        <f>C146/C148</f>
        <v>#REF!</v>
      </c>
      <c r="E146" s="271" t="e">
        <f>D146*E148</f>
        <v>#REF!</v>
      </c>
      <c r="F146" s="219"/>
    </row>
    <row r="147" spans="1:6" hidden="1">
      <c r="A147" s="268"/>
      <c r="B147" s="226" t="s">
        <v>241</v>
      </c>
      <c r="C147" s="219" t="e">
        <f>$C$69</f>
        <v>#REF!</v>
      </c>
      <c r="D147" s="270" t="e">
        <f>C147/C148</f>
        <v>#REF!</v>
      </c>
      <c r="E147" s="271" t="e">
        <f>E148*D147</f>
        <v>#REF!</v>
      </c>
      <c r="F147" s="219"/>
    </row>
    <row r="148" spans="1:6" hidden="1">
      <c r="A148" s="268"/>
      <c r="B148" s="226" t="s">
        <v>242</v>
      </c>
      <c r="C148" s="240" t="e">
        <f>C145+C146+C147</f>
        <v>#REF!</v>
      </c>
      <c r="D148" s="272" t="e">
        <f>D145+D146+D147</f>
        <v>#REF!</v>
      </c>
      <c r="E148" s="240">
        <f>C141</f>
        <v>5365</v>
      </c>
      <c r="F148" s="219"/>
    </row>
    <row r="149" spans="1:6" hidden="1">
      <c r="A149" s="268"/>
      <c r="F149" s="219"/>
    </row>
    <row r="150" spans="1:6" hidden="1">
      <c r="A150" s="268"/>
      <c r="B150" s="226" t="s">
        <v>243</v>
      </c>
      <c r="C150" s="234" t="e">
        <f>$C$72</f>
        <v>#REF!</v>
      </c>
      <c r="D150" s="269" t="e">
        <f>C150/C152</f>
        <v>#REF!</v>
      </c>
      <c r="E150" s="234" t="e">
        <f>D150*E152</f>
        <v>#REF!</v>
      </c>
      <c r="F150" s="219"/>
    </row>
    <row r="151" spans="1:6" hidden="1">
      <c r="A151" s="268"/>
      <c r="B151" s="226" t="s">
        <v>244</v>
      </c>
      <c r="C151" s="219" t="e">
        <f>$C$73</f>
        <v>#REF!</v>
      </c>
      <c r="D151" s="269" t="e">
        <f>C151/C152</f>
        <v>#REF!</v>
      </c>
      <c r="E151" s="219" t="e">
        <f>D151*E152</f>
        <v>#REF!</v>
      </c>
      <c r="F151" s="219"/>
    </row>
    <row r="152" spans="1:6" hidden="1">
      <c r="A152" s="268"/>
      <c r="B152" s="226" t="s">
        <v>242</v>
      </c>
      <c r="C152" s="240" t="e">
        <f>C150+C151</f>
        <v>#REF!</v>
      </c>
      <c r="D152" s="272" t="e">
        <f>D150+D151</f>
        <v>#REF!</v>
      </c>
      <c r="E152" s="240" t="e">
        <f>E145</f>
        <v>#REF!</v>
      </c>
      <c r="F152" s="219"/>
    </row>
    <row r="153" spans="1:6" hidden="1">
      <c r="A153" s="268"/>
      <c r="F153" s="219"/>
    </row>
    <row r="154" spans="1:6" hidden="1">
      <c r="A154" s="268"/>
      <c r="B154" s="226" t="s">
        <v>245</v>
      </c>
      <c r="C154" s="234" t="e">
        <f>$C$76</f>
        <v>#REF!</v>
      </c>
      <c r="D154" s="273" t="e">
        <f>C154/C156</f>
        <v>#REF!</v>
      </c>
      <c r="E154" s="234" t="e">
        <f>E156*D154</f>
        <v>#REF!</v>
      </c>
      <c r="F154" s="219"/>
    </row>
    <row r="155" spans="1:6" hidden="1">
      <c r="A155" s="268"/>
      <c r="B155" s="226" t="s">
        <v>246</v>
      </c>
      <c r="C155" s="219" t="e">
        <f>C$77</f>
        <v>#REF!</v>
      </c>
      <c r="D155" s="274" t="e">
        <f>C155/C156</f>
        <v>#REF!</v>
      </c>
      <c r="E155" s="219" t="e">
        <f>E156*D155</f>
        <v>#REF!</v>
      </c>
      <c r="F155" s="219"/>
    </row>
    <row r="156" spans="1:6" hidden="1">
      <c r="A156" s="268"/>
      <c r="B156" s="226" t="s">
        <v>242</v>
      </c>
      <c r="C156" s="240" t="e">
        <f>SUM(C154:C155)</f>
        <v>#REF!</v>
      </c>
      <c r="D156" s="275" t="e">
        <f>SUM(D154:D155)</f>
        <v>#REF!</v>
      </c>
      <c r="E156" s="240" t="e">
        <f>E146</f>
        <v>#REF!</v>
      </c>
      <c r="F156" s="219"/>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horizontalDpi="300" verticalDpi="300" r:id="rId1"/>
  <headerFooter alignWithMargins="0">
    <oddFooter>&amp;Lfile:  &amp;f&amp;Rkm &amp;d</oddFooter>
  </headerFooter>
  <rowBreaks count="1" manualBreakCount="1">
    <brk id="78" max="16383" man="1"/>
  </rowBreaks>
  <legacyDrawing r:id="rId2"/>
</worksheet>
</file>

<file path=xl/worksheets/sheet8.xml><?xml version="1.0" encoding="utf-8"?>
<worksheet xmlns="http://schemas.openxmlformats.org/spreadsheetml/2006/main" xmlns:r="http://schemas.openxmlformats.org/officeDocument/2006/relationships">
  <sheetPr codeName="Sheet5">
    <pageSetUpPr fitToPage="1"/>
  </sheetPr>
  <dimension ref="A1:O301"/>
  <sheetViews>
    <sheetView zoomScaleNormal="100" zoomScaleSheetLayoutView="100" workbookViewId="0">
      <pane xSplit="1" ySplit="9" topLeftCell="B10" activePane="bottomRight" state="frozen"/>
      <selection activeCell="U26" sqref="U26"/>
      <selection pane="topRight" activeCell="U26" sqref="U26"/>
      <selection pane="bottomLeft" activeCell="U26" sqref="U26"/>
      <selection pane="bottomRight" activeCell="F79" sqref="F79"/>
    </sheetView>
  </sheetViews>
  <sheetFormatPr defaultColWidth="9.140625" defaultRowHeight="11.1" customHeight="1"/>
  <cols>
    <col min="1" max="1" width="8.28515625" style="9" customWidth="1"/>
    <col min="2" max="2" width="26.140625" style="9" customWidth="1"/>
    <col min="3" max="3" width="12.42578125" style="9" customWidth="1"/>
    <col min="4" max="4" width="6.7109375" style="9" customWidth="1"/>
    <col min="5" max="5" width="12.42578125" style="29" customWidth="1"/>
    <col min="6" max="6" width="12.42578125" style="30" customWidth="1"/>
    <col min="7" max="7" width="12.42578125" style="29" customWidth="1"/>
    <col min="8" max="8" width="12.85546875" style="9" bestFit="1" customWidth="1"/>
    <col min="9" max="16384" width="9.140625" style="9"/>
  </cols>
  <sheetData>
    <row r="1" spans="1:8" ht="16.5" customHeight="1">
      <c r="F1" s="378"/>
    </row>
    <row r="2" spans="1:8" ht="4.5" customHeight="1"/>
    <row r="3" spans="1:8" ht="12">
      <c r="A3" s="675" t="s">
        <v>113</v>
      </c>
      <c r="B3" s="675"/>
      <c r="C3" s="675"/>
      <c r="E3" s="10"/>
      <c r="F3" s="11"/>
      <c r="G3" s="10"/>
    </row>
    <row r="4" spans="1:8" ht="12">
      <c r="A4" s="8" t="s">
        <v>217</v>
      </c>
      <c r="B4" s="8"/>
      <c r="C4" s="8"/>
      <c r="E4" s="12" t="s">
        <v>77</v>
      </c>
      <c r="F4" s="12"/>
      <c r="G4" s="12"/>
    </row>
    <row r="5" spans="1:8" ht="12">
      <c r="A5" s="676" t="s">
        <v>511</v>
      </c>
      <c r="B5" s="675"/>
      <c r="C5" s="675"/>
      <c r="E5" s="12" t="s">
        <v>78</v>
      </c>
      <c r="F5" s="12"/>
      <c r="G5" s="12"/>
    </row>
    <row r="6" spans="1:8" ht="12">
      <c r="A6" s="8" t="s">
        <v>79</v>
      </c>
      <c r="B6" s="8"/>
      <c r="C6" s="8"/>
      <c r="E6" s="13"/>
      <c r="F6" s="14" t="s">
        <v>80</v>
      </c>
      <c r="G6" s="13"/>
    </row>
    <row r="7" spans="1:8" ht="12">
      <c r="A7" s="15" t="s">
        <v>7</v>
      </c>
      <c r="E7" s="10"/>
      <c r="F7" s="16"/>
      <c r="G7" s="10"/>
    </row>
    <row r="8" spans="1:8" ht="12">
      <c r="A8" s="17" t="s">
        <v>17</v>
      </c>
      <c r="B8" s="18" t="s">
        <v>73</v>
      </c>
      <c r="C8" s="18"/>
      <c r="E8" s="19" t="s">
        <v>81</v>
      </c>
      <c r="F8" s="20" t="s">
        <v>82</v>
      </c>
      <c r="G8" s="19" t="s">
        <v>83</v>
      </c>
      <c r="H8" s="21" t="s">
        <v>84</v>
      </c>
    </row>
    <row r="9" spans="1:8" ht="12">
      <c r="A9" s="15"/>
      <c r="B9" s="9" t="s">
        <v>34</v>
      </c>
      <c r="E9" s="22"/>
      <c r="F9" s="16"/>
      <c r="G9" s="22"/>
    </row>
    <row r="10" spans="1:8" ht="12">
      <c r="A10" s="15"/>
      <c r="B10" s="151"/>
      <c r="E10" s="150"/>
      <c r="F10" s="149"/>
      <c r="G10" s="149"/>
    </row>
    <row r="11" spans="1:8" ht="12">
      <c r="A11" s="15"/>
      <c r="B11" s="151"/>
      <c r="E11" s="150"/>
      <c r="F11" s="149"/>
      <c r="G11" s="149"/>
    </row>
    <row r="12" spans="1:8" ht="12">
      <c r="A12" s="15"/>
      <c r="E12" s="22"/>
      <c r="F12" s="16"/>
      <c r="G12" s="16"/>
    </row>
    <row r="13" spans="1:8" ht="5.25" customHeight="1">
      <c r="A13" s="210"/>
      <c r="E13" s="22"/>
      <c r="F13" s="16"/>
      <c r="G13" s="16"/>
    </row>
    <row r="14" spans="1:8" ht="12">
      <c r="A14" s="210"/>
      <c r="E14" s="22"/>
      <c r="F14" s="16"/>
      <c r="G14" s="16"/>
    </row>
    <row r="15" spans="1:8" ht="12">
      <c r="A15" s="15">
        <v>1</v>
      </c>
      <c r="B15" s="9" t="s">
        <v>85</v>
      </c>
      <c r="E15" s="23">
        <f>F15+G15</f>
        <v>166628</v>
      </c>
      <c r="F15" s="145">
        <f>F94</f>
        <v>166628</v>
      </c>
      <c r="G15" s="145">
        <f>G94</f>
        <v>0</v>
      </c>
      <c r="H15" s="24" t="str">
        <f>IF(E15=F15+G15," ","ERROR")</f>
        <v xml:space="preserve"> </v>
      </c>
    </row>
    <row r="16" spans="1:8" ht="12">
      <c r="A16" s="15">
        <v>2</v>
      </c>
      <c r="B16" s="9" t="s">
        <v>86</v>
      </c>
      <c r="E16" s="25">
        <f>F16+G16</f>
        <v>4112</v>
      </c>
      <c r="F16" s="146">
        <f>F99</f>
        <v>4112</v>
      </c>
      <c r="G16" s="146">
        <f>G99</f>
        <v>0</v>
      </c>
      <c r="H16" s="24" t="str">
        <f>IF(E16=F16+G16," ","ERROR")</f>
        <v xml:space="preserve"> </v>
      </c>
    </row>
    <row r="17" spans="1:8" ht="12">
      <c r="A17" s="15">
        <v>3</v>
      </c>
      <c r="B17" s="9" t="s">
        <v>37</v>
      </c>
      <c r="E17" s="26">
        <f>F17+G17</f>
        <v>83502</v>
      </c>
      <c r="F17" s="147">
        <f>F103-F99</f>
        <v>83502</v>
      </c>
      <c r="G17" s="147">
        <f>G103-G99</f>
        <v>0</v>
      </c>
      <c r="H17" s="24" t="str">
        <f>IF(E17=F17+G17," ","ERROR")</f>
        <v xml:space="preserve"> </v>
      </c>
    </row>
    <row r="18" spans="1:8" ht="12">
      <c r="A18" s="15">
        <v>4</v>
      </c>
      <c r="B18" s="9" t="s">
        <v>87</v>
      </c>
      <c r="E18" s="25">
        <f>SUM(E15:E17)</f>
        <v>254242</v>
      </c>
      <c r="F18" s="25">
        <f>SUM(F15:F17)</f>
        <v>254242</v>
      </c>
      <c r="G18" s="25">
        <f>SUM(G15:G17)</f>
        <v>0</v>
      </c>
      <c r="H18" s="24" t="str">
        <f>IF(E18=F18+G18," ","ERROR")</f>
        <v xml:space="preserve"> </v>
      </c>
    </row>
    <row r="19" spans="1:8" ht="12">
      <c r="A19" s="15"/>
      <c r="E19" s="25"/>
      <c r="F19" s="25"/>
      <c r="G19" s="25"/>
      <c r="H19" s="24"/>
    </row>
    <row r="20" spans="1:8" ht="12">
      <c r="A20" s="15"/>
      <c r="B20" s="9" t="s">
        <v>39</v>
      </c>
      <c r="E20" s="25"/>
      <c r="F20" s="25"/>
      <c r="G20" s="25"/>
      <c r="H20" s="24"/>
    </row>
    <row r="21" spans="1:8" ht="12">
      <c r="A21" s="15"/>
      <c r="B21" s="9" t="s">
        <v>220</v>
      </c>
      <c r="E21" s="25"/>
      <c r="F21" s="146"/>
      <c r="G21" s="146"/>
      <c r="H21" s="148" t="str">
        <f>IF(E21=F21+G21," ","ERROR")</f>
        <v xml:space="preserve"> </v>
      </c>
    </row>
    <row r="22" spans="1:8" ht="12">
      <c r="A22" s="15">
        <v>5</v>
      </c>
      <c r="B22" s="9" t="s">
        <v>88</v>
      </c>
      <c r="E22" s="25">
        <f>F22+G22</f>
        <v>173262</v>
      </c>
      <c r="F22" s="146">
        <f>F107</f>
        <v>173262</v>
      </c>
      <c r="G22" s="146">
        <f>G107</f>
        <v>0</v>
      </c>
      <c r="H22" s="24" t="str">
        <f>IF(E22=F22+G22," ","ERROR")</f>
        <v xml:space="preserve"> </v>
      </c>
    </row>
    <row r="23" spans="1:8" ht="12">
      <c r="A23" s="15">
        <v>6</v>
      </c>
      <c r="B23" s="9" t="s">
        <v>89</v>
      </c>
      <c r="E23" s="25">
        <f>F23+G23</f>
        <v>839</v>
      </c>
      <c r="F23" s="146">
        <f>F110+F111</f>
        <v>839</v>
      </c>
      <c r="G23" s="146">
        <f>G109+G110+G111</f>
        <v>0</v>
      </c>
      <c r="H23" s="24" t="str">
        <f>IF(E23=F23+G23," ","ERROR")</f>
        <v xml:space="preserve"> </v>
      </c>
    </row>
    <row r="24" spans="1:8" ht="12">
      <c r="A24" s="15">
        <v>7</v>
      </c>
      <c r="B24" s="9" t="s">
        <v>90</v>
      </c>
      <c r="E24" s="26">
        <f>F24+G24</f>
        <v>-5990</v>
      </c>
      <c r="F24" s="147">
        <f>F108+F109</f>
        <v>-5990</v>
      </c>
      <c r="G24" s="147">
        <f>G108</f>
        <v>0</v>
      </c>
      <c r="H24" s="24" t="str">
        <f>IF(E24=F24+G24," ","ERROR")</f>
        <v xml:space="preserve"> </v>
      </c>
    </row>
    <row r="25" spans="1:8" ht="12">
      <c r="A25" s="15">
        <v>8</v>
      </c>
      <c r="B25" s="9" t="s">
        <v>91</v>
      </c>
      <c r="E25" s="25">
        <f>SUM(E22:E24)</f>
        <v>168111</v>
      </c>
      <c r="F25" s="25">
        <f>SUM(F22:F24)</f>
        <v>168111</v>
      </c>
      <c r="G25" s="25">
        <f>SUM(G22:G24)</f>
        <v>0</v>
      </c>
      <c r="H25" s="24" t="str">
        <f>IF(E25=F25+G25," ","ERROR")</f>
        <v xml:space="preserve"> </v>
      </c>
    </row>
    <row r="26" spans="1:8" ht="12">
      <c r="A26" s="210"/>
      <c r="E26" s="25"/>
      <c r="F26" s="25"/>
      <c r="G26" s="25"/>
      <c r="H26" s="24"/>
    </row>
    <row r="27" spans="1:8" ht="12">
      <c r="A27" s="15"/>
      <c r="B27" s="9" t="s">
        <v>44</v>
      </c>
      <c r="E27" s="25"/>
      <c r="F27" s="25"/>
      <c r="G27" s="25"/>
      <c r="H27" s="24"/>
    </row>
    <row r="28" spans="1:8" ht="12">
      <c r="A28" s="15">
        <v>9</v>
      </c>
      <c r="B28" s="9" t="s">
        <v>92</v>
      </c>
      <c r="E28" s="25">
        <f>F28+G28</f>
        <v>858</v>
      </c>
      <c r="F28" s="146">
        <f>F118</f>
        <v>858</v>
      </c>
      <c r="G28" s="146">
        <f>G118</f>
        <v>0</v>
      </c>
      <c r="H28" s="24" t="str">
        <f>IF(E28=F28+G28," ","ERROR")</f>
        <v xml:space="preserve"> </v>
      </c>
    </row>
    <row r="29" spans="1:8" ht="12">
      <c r="A29" s="15">
        <v>10</v>
      </c>
      <c r="B29" s="9" t="s">
        <v>93</v>
      </c>
      <c r="E29" s="25">
        <f>F29+G29</f>
        <v>392</v>
      </c>
      <c r="F29" s="146">
        <f>F120+F121</f>
        <v>392</v>
      </c>
      <c r="G29" s="146">
        <f>G120+G121</f>
        <v>0</v>
      </c>
      <c r="H29" s="24" t="str">
        <f>IF(E29=F29+G29," ","ERROR")</f>
        <v xml:space="preserve"> </v>
      </c>
    </row>
    <row r="30" spans="1:8" ht="12">
      <c r="A30" s="15">
        <v>11</v>
      </c>
      <c r="B30" s="9" t="s">
        <v>94</v>
      </c>
      <c r="E30" s="26">
        <f>F30+G30</f>
        <v>216</v>
      </c>
      <c r="F30" s="147">
        <f>F122</f>
        <v>216</v>
      </c>
      <c r="G30" s="147">
        <f>G122</f>
        <v>0</v>
      </c>
      <c r="H30" s="24" t="str">
        <f>IF(E30=F30+G30," ","ERROR")</f>
        <v xml:space="preserve"> </v>
      </c>
    </row>
    <row r="31" spans="1:8" ht="12">
      <c r="A31" s="332">
        <v>12</v>
      </c>
      <c r="B31" s="9" t="s">
        <v>95</v>
      </c>
      <c r="E31" s="25">
        <f>SUM(E28:E30)</f>
        <v>1466</v>
      </c>
      <c r="F31" s="146">
        <f>SUM(F28:F30)</f>
        <v>1466</v>
      </c>
      <c r="G31" s="146">
        <f>SUM(G28:G30)</f>
        <v>0</v>
      </c>
      <c r="H31" s="24" t="str">
        <f>IF(E31=F31+G31," ","ERROR")</f>
        <v xml:space="preserve"> </v>
      </c>
    </row>
    <row r="32" spans="1:8" ht="12">
      <c r="A32" s="210"/>
      <c r="E32" s="25"/>
      <c r="F32" s="146"/>
      <c r="G32" s="146"/>
      <c r="H32" s="24"/>
    </row>
    <row r="33" spans="1:10" ht="12">
      <c r="A33" s="15"/>
      <c r="B33" s="9" t="s">
        <v>48</v>
      </c>
      <c r="E33" s="25"/>
      <c r="F33" s="146"/>
      <c r="G33" s="146"/>
      <c r="H33" s="24"/>
    </row>
    <row r="34" spans="1:10" ht="12">
      <c r="A34" s="15">
        <v>13</v>
      </c>
      <c r="B34" s="9" t="s">
        <v>92</v>
      </c>
      <c r="E34" s="25">
        <f>F34+G34</f>
        <v>10666</v>
      </c>
      <c r="F34" s="146">
        <f>F149</f>
        <v>10666</v>
      </c>
      <c r="G34" s="146">
        <f>G149</f>
        <v>0</v>
      </c>
      <c r="H34" s="24" t="str">
        <f t="shared" ref="H34:H41" si="0">IF(E34=F34+G34," ","ERROR")</f>
        <v xml:space="preserve"> </v>
      </c>
    </row>
    <row r="35" spans="1:10" ht="12">
      <c r="A35" s="15">
        <v>14</v>
      </c>
      <c r="B35" s="9" t="s">
        <v>93</v>
      </c>
      <c r="E35" s="25">
        <f>F35+G35</f>
        <v>8386</v>
      </c>
      <c r="F35" s="146">
        <f>F151</f>
        <v>8386</v>
      </c>
      <c r="G35" s="146">
        <f>G151</f>
        <v>0</v>
      </c>
      <c r="H35" s="24" t="str">
        <f t="shared" si="0"/>
        <v xml:space="preserve"> </v>
      </c>
    </row>
    <row r="36" spans="1:10" ht="12">
      <c r="A36" s="15">
        <v>15</v>
      </c>
      <c r="B36" s="9" t="s">
        <v>94</v>
      </c>
      <c r="E36" s="26">
        <f>F36+G36</f>
        <v>14954</v>
      </c>
      <c r="F36" s="147">
        <f>F152</f>
        <v>14954</v>
      </c>
      <c r="G36" s="147">
        <f>G152</f>
        <v>0</v>
      </c>
      <c r="H36" s="24" t="str">
        <f t="shared" si="0"/>
        <v xml:space="preserve"> </v>
      </c>
    </row>
    <row r="37" spans="1:10" ht="12" customHeight="1">
      <c r="A37" s="15">
        <v>16</v>
      </c>
      <c r="B37" s="9" t="s">
        <v>96</v>
      </c>
      <c r="E37" s="25">
        <f>SUM(E34:E36)</f>
        <v>34006</v>
      </c>
      <c r="F37" s="25">
        <f>SUM(F34:F36)</f>
        <v>34006</v>
      </c>
      <c r="G37" s="25">
        <f>SUM(G34:G36)</f>
        <v>0</v>
      </c>
      <c r="H37" s="24" t="str">
        <f t="shared" si="0"/>
        <v xml:space="preserve"> </v>
      </c>
    </row>
    <row r="38" spans="1:10" ht="12" customHeight="1">
      <c r="A38" s="15"/>
      <c r="E38" s="25"/>
      <c r="F38" s="25"/>
      <c r="G38" s="25"/>
      <c r="H38" s="24"/>
    </row>
    <row r="39" spans="1:10" ht="12" customHeight="1">
      <c r="A39" s="15">
        <v>17</v>
      </c>
      <c r="B39" s="9" t="s">
        <v>50</v>
      </c>
      <c r="E39" s="25">
        <f>F39+G39</f>
        <v>6550</v>
      </c>
      <c r="F39" s="146">
        <f>F163</f>
        <v>6550</v>
      </c>
      <c r="G39" s="146">
        <f>G163</f>
        <v>0</v>
      </c>
      <c r="H39" s="24" t="str">
        <f t="shared" si="0"/>
        <v xml:space="preserve"> </v>
      </c>
    </row>
    <row r="40" spans="1:10" ht="12">
      <c r="A40" s="15">
        <v>18</v>
      </c>
      <c r="B40" s="9" t="s">
        <v>51</v>
      </c>
      <c r="E40" s="25">
        <f>F40+G40</f>
        <v>6427</v>
      </c>
      <c r="F40" s="146">
        <f>F169</f>
        <v>6427</v>
      </c>
      <c r="G40" s="146">
        <f>G169</f>
        <v>0</v>
      </c>
      <c r="H40" s="24" t="str">
        <f t="shared" si="0"/>
        <v xml:space="preserve"> </v>
      </c>
    </row>
    <row r="41" spans="1:10" ht="12">
      <c r="A41" s="15">
        <v>19</v>
      </c>
      <c r="B41" s="9" t="s">
        <v>97</v>
      </c>
      <c r="E41" s="25">
        <f>F41+G41</f>
        <v>0</v>
      </c>
      <c r="F41" s="146">
        <f>F175</f>
        <v>0</v>
      </c>
      <c r="G41" s="146">
        <f>G175</f>
        <v>0</v>
      </c>
      <c r="H41" s="24" t="str">
        <f t="shared" si="0"/>
        <v xml:space="preserve"> </v>
      </c>
    </row>
    <row r="42" spans="1:10" ht="12">
      <c r="A42" s="210"/>
      <c r="E42" s="25"/>
      <c r="F42" s="146"/>
      <c r="G42" s="146"/>
      <c r="H42" s="24"/>
    </row>
    <row r="43" spans="1:10" ht="12">
      <c r="A43" s="15"/>
      <c r="B43" s="9" t="s">
        <v>98</v>
      </c>
      <c r="E43" s="25"/>
      <c r="F43" s="146"/>
      <c r="G43" s="146"/>
      <c r="H43" s="24"/>
    </row>
    <row r="44" spans="1:10" ht="12">
      <c r="A44" s="15">
        <v>20</v>
      </c>
      <c r="B44" s="9" t="s">
        <v>92</v>
      </c>
      <c r="E44" s="25">
        <f>F44+G44</f>
        <v>11883</v>
      </c>
      <c r="F44" s="146">
        <f>F189</f>
        <v>11883</v>
      </c>
      <c r="G44" s="146">
        <f>G189</f>
        <v>0</v>
      </c>
      <c r="H44" s="24" t="str">
        <f>IF(E44=F44+G44," ","ERROR")</f>
        <v xml:space="preserve"> </v>
      </c>
    </row>
    <row r="45" spans="1:10" ht="12">
      <c r="A45" s="15">
        <v>21</v>
      </c>
      <c r="B45" s="9" t="s">
        <v>435</v>
      </c>
      <c r="E45" s="25">
        <f>F45+G45</f>
        <v>4316</v>
      </c>
      <c r="F45" s="146">
        <f>F191+F192+F193+F194</f>
        <v>4316</v>
      </c>
      <c r="G45" s="146">
        <f>G191+G192+G193+G194</f>
        <v>0</v>
      </c>
      <c r="H45" s="24" t="str">
        <f>IF(E45=F45+G45," ","ERROR")</f>
        <v xml:space="preserve"> </v>
      </c>
      <c r="J45" s="25"/>
    </row>
    <row r="46" spans="1:10" ht="12">
      <c r="A46" s="288">
        <v>22</v>
      </c>
      <c r="B46" s="9" t="s">
        <v>433</v>
      </c>
      <c r="E46" s="25">
        <f>F46+G46</f>
        <v>11</v>
      </c>
      <c r="F46" s="146">
        <f>F195+F198+F199+F200+F201+F196</f>
        <v>11</v>
      </c>
      <c r="G46" s="146">
        <f>G195+G198+G199+G200+G201</f>
        <v>0</v>
      </c>
      <c r="H46" s="24"/>
      <c r="J46" s="25"/>
    </row>
    <row r="47" spans="1:10" ht="12">
      <c r="A47" s="15">
        <v>23</v>
      </c>
      <c r="B47" s="9" t="s">
        <v>94</v>
      </c>
      <c r="E47" s="26">
        <f>F47+G47</f>
        <v>0</v>
      </c>
      <c r="F47" s="147">
        <v>0</v>
      </c>
      <c r="G47" s="147">
        <v>0</v>
      </c>
      <c r="H47" s="24" t="str">
        <f>IF(E47=F47+G47," ","ERROR")</f>
        <v xml:space="preserve"> </v>
      </c>
    </row>
    <row r="48" spans="1:10" ht="12">
      <c r="A48" s="15">
        <v>24</v>
      </c>
      <c r="B48" s="9" t="s">
        <v>99</v>
      </c>
      <c r="E48" s="26">
        <f>SUM(E44:E47)</f>
        <v>16210</v>
      </c>
      <c r="F48" s="26">
        <f>SUM(F44:F47)</f>
        <v>16210</v>
      </c>
      <c r="G48" s="26">
        <f>SUM(G44:G47)</f>
        <v>0</v>
      </c>
      <c r="H48" s="24" t="str">
        <f>IF(E48=F48+G48," ","ERROR")</f>
        <v xml:space="preserve"> </v>
      </c>
    </row>
    <row r="49" spans="1:8" ht="12">
      <c r="A49" s="15">
        <v>25</v>
      </c>
      <c r="B49" s="9" t="s">
        <v>55</v>
      </c>
      <c r="E49" s="26">
        <f>E25+E31+E37+E39+E40+E41+E48+E21</f>
        <v>232770</v>
      </c>
      <c r="F49" s="26">
        <f>F25+F31+F37+F39+F40+F41+F48+F21</f>
        <v>232770</v>
      </c>
      <c r="G49" s="26">
        <f>G25+G31+G37+G39+G40+G41+G48+G21</f>
        <v>0</v>
      </c>
      <c r="H49" s="24" t="str">
        <f>IF(E49=F49+G49," ","ERROR")</f>
        <v xml:space="preserve"> </v>
      </c>
    </row>
    <row r="50" spans="1:8" ht="12">
      <c r="A50" s="15"/>
      <c r="E50" s="25"/>
      <c r="F50" s="25"/>
      <c r="G50" s="25"/>
      <c r="H50" s="24"/>
    </row>
    <row r="51" spans="1:8" ht="12">
      <c r="A51" s="15">
        <v>26</v>
      </c>
      <c r="B51" s="9" t="s">
        <v>100</v>
      </c>
      <c r="E51" s="34">
        <f>E18-E49</f>
        <v>21472</v>
      </c>
      <c r="F51" s="34">
        <f>F18-F49</f>
        <v>21472</v>
      </c>
      <c r="G51" s="34">
        <f>G18-G49</f>
        <v>0</v>
      </c>
      <c r="H51" s="24" t="str">
        <f>IF(E51=F51+G51," ","ERROR")</f>
        <v xml:space="preserve"> </v>
      </c>
    </row>
    <row r="52" spans="1:8" ht="12" customHeight="1">
      <c r="A52" s="15"/>
      <c r="E52" s="34"/>
      <c r="F52" s="34"/>
      <c r="G52" s="34"/>
      <c r="H52" s="24"/>
    </row>
    <row r="53" spans="1:8" ht="12" customHeight="1">
      <c r="A53" s="15"/>
      <c r="B53" s="9" t="s">
        <v>101</v>
      </c>
      <c r="E53" s="25"/>
      <c r="F53" s="25"/>
      <c r="G53" s="25"/>
      <c r="H53" s="24"/>
    </row>
    <row r="54" spans="1:8" ht="12">
      <c r="A54" s="15">
        <v>27</v>
      </c>
      <c r="B54" s="27" t="s">
        <v>102</v>
      </c>
      <c r="D54" s="28">
        <v>0.35</v>
      </c>
      <c r="E54" s="25">
        <f>F54+G54</f>
        <v>4339</v>
      </c>
      <c r="F54" s="146">
        <f>F210</f>
        <v>4339</v>
      </c>
      <c r="G54" s="146">
        <f>G210</f>
        <v>0</v>
      </c>
      <c r="H54" s="24" t="str">
        <f>IF(E54=F54+G54," ","ERROR")</f>
        <v xml:space="preserve"> </v>
      </c>
    </row>
    <row r="55" spans="1:8" ht="12">
      <c r="A55" s="210">
        <v>28</v>
      </c>
      <c r="B55" s="27" t="s">
        <v>259</v>
      </c>
      <c r="D55" s="28"/>
      <c r="E55" s="25"/>
      <c r="F55" s="146"/>
      <c r="G55" s="146"/>
      <c r="H55" s="24"/>
    </row>
    <row r="56" spans="1:8" ht="12">
      <c r="A56" s="15">
        <v>29</v>
      </c>
      <c r="B56" s="9" t="s">
        <v>103</v>
      </c>
      <c r="E56" s="25">
        <f>F56+G56</f>
        <v>2153</v>
      </c>
      <c r="F56" s="146">
        <f>F211</f>
        <v>2153</v>
      </c>
      <c r="G56" s="146">
        <f>G211</f>
        <v>0</v>
      </c>
      <c r="H56" s="24" t="str">
        <f>IF(E56=F56+G56," ","ERROR")</f>
        <v xml:space="preserve"> </v>
      </c>
    </row>
    <row r="57" spans="1:8" ht="12">
      <c r="A57" s="15">
        <v>30</v>
      </c>
      <c r="B57" s="9" t="s">
        <v>104</v>
      </c>
      <c r="E57" s="26">
        <f>F57+G57</f>
        <v>-22</v>
      </c>
      <c r="F57" s="147">
        <f>F212</f>
        <v>-22</v>
      </c>
      <c r="G57" s="147">
        <f>G212</f>
        <v>0</v>
      </c>
      <c r="H57" s="24" t="str">
        <f>IF(E57=F57+G57," ","ERROR")</f>
        <v xml:space="preserve"> </v>
      </c>
    </row>
    <row r="58" spans="1:8" ht="12">
      <c r="A58" s="15"/>
      <c r="G58" s="30"/>
      <c r="H58" s="24"/>
    </row>
    <row r="59" spans="1:8" ht="12.75" thickBot="1">
      <c r="A59" s="15">
        <v>31</v>
      </c>
      <c r="B59" s="31" t="s">
        <v>61</v>
      </c>
      <c r="E59" s="35">
        <f>E51-(+E54+E56+E57)</f>
        <v>15002</v>
      </c>
      <c r="F59" s="35">
        <f>F51-(F54+F56+F57)</f>
        <v>15002</v>
      </c>
      <c r="G59" s="35">
        <f>G51-(G54+G56+G57)</f>
        <v>0</v>
      </c>
      <c r="H59" s="24" t="str">
        <f>IF(E59=F59+G59," ","ERROR")</f>
        <v xml:space="preserve"> </v>
      </c>
    </row>
    <row r="60" spans="1:8" ht="12.75" thickTop="1">
      <c r="A60" s="15"/>
      <c r="E60" s="16"/>
      <c r="F60" s="16"/>
      <c r="G60" s="16"/>
      <c r="H60" s="24"/>
    </row>
    <row r="61" spans="1:8" ht="12">
      <c r="A61" s="15"/>
      <c r="B61" s="27" t="s">
        <v>105</v>
      </c>
      <c r="G61" s="30"/>
      <c r="H61" s="24"/>
    </row>
    <row r="62" spans="1:8" ht="12">
      <c r="A62" s="15"/>
      <c r="B62" s="27" t="s">
        <v>106</v>
      </c>
      <c r="G62" s="30"/>
      <c r="H62" s="24"/>
    </row>
    <row r="63" spans="1:8" ht="12">
      <c r="A63" s="15">
        <v>32</v>
      </c>
      <c r="B63" s="9" t="s">
        <v>107</v>
      </c>
      <c r="E63" s="23">
        <f>F63+G63</f>
        <v>24932</v>
      </c>
      <c r="F63" s="145">
        <f>F230</f>
        <v>24932</v>
      </c>
      <c r="G63" s="145">
        <f>G230</f>
        <v>0</v>
      </c>
      <c r="H63" s="24" t="str">
        <f t="shared" ref="H63:H76" si="1">IF(E63=F63+G63," ","ERROR")</f>
        <v xml:space="preserve"> </v>
      </c>
    </row>
    <row r="64" spans="1:8" ht="12">
      <c r="A64" s="15">
        <v>33</v>
      </c>
      <c r="B64" s="9" t="s">
        <v>108</v>
      </c>
      <c r="E64" s="25">
        <f>F64+G64</f>
        <v>332439</v>
      </c>
      <c r="F64" s="146">
        <f>F246</f>
        <v>332439</v>
      </c>
      <c r="G64" s="146">
        <f>G246</f>
        <v>0</v>
      </c>
      <c r="H64" s="24" t="str">
        <f t="shared" si="1"/>
        <v xml:space="preserve"> </v>
      </c>
    </row>
    <row r="65" spans="1:8" ht="12">
      <c r="A65" s="15">
        <v>34</v>
      </c>
      <c r="B65" s="9" t="s">
        <v>109</v>
      </c>
      <c r="E65" s="26">
        <f>F65+G65</f>
        <v>58679</v>
      </c>
      <c r="F65" s="147">
        <f>F259+F219</f>
        <v>58679</v>
      </c>
      <c r="G65" s="147">
        <f>G259+G219</f>
        <v>0</v>
      </c>
      <c r="H65" s="24" t="str">
        <f t="shared" si="1"/>
        <v xml:space="preserve"> </v>
      </c>
    </row>
    <row r="66" spans="1:8" ht="12">
      <c r="A66" s="15">
        <v>35</v>
      </c>
      <c r="B66" s="9" t="s">
        <v>110</v>
      </c>
      <c r="E66" s="25">
        <f>SUM(E63:E65)</f>
        <v>416050</v>
      </c>
      <c r="F66" s="146">
        <f>SUM(F63:F65)</f>
        <v>416050</v>
      </c>
      <c r="G66" s="146">
        <f>SUM(G63:G65)</f>
        <v>0</v>
      </c>
      <c r="H66" s="24" t="str">
        <f t="shared" si="1"/>
        <v xml:space="preserve"> </v>
      </c>
    </row>
    <row r="67" spans="1:8" ht="12">
      <c r="A67" s="210"/>
      <c r="E67" s="25"/>
      <c r="F67" s="146"/>
      <c r="G67" s="146"/>
      <c r="H67" s="24"/>
    </row>
    <row r="68" spans="1:8" ht="12">
      <c r="A68" s="15"/>
      <c r="B68" s="9" t="s">
        <v>436</v>
      </c>
      <c r="E68" s="25"/>
      <c r="F68" s="146"/>
      <c r="G68" s="146"/>
      <c r="H68" s="24" t="str">
        <f t="shared" si="1"/>
        <v xml:space="preserve"> </v>
      </c>
    </row>
    <row r="69" spans="1:8" ht="12">
      <c r="A69" s="15">
        <v>36</v>
      </c>
      <c r="B69" s="9" t="s">
        <v>107</v>
      </c>
      <c r="E69" s="25">
        <f>F69+G69</f>
        <v>-9345</v>
      </c>
      <c r="F69" s="146">
        <f>F265+F273</f>
        <v>-9345</v>
      </c>
      <c r="G69" s="146">
        <f>G265+G273</f>
        <v>0</v>
      </c>
      <c r="H69" s="24" t="str">
        <f t="shared" si="1"/>
        <v xml:space="preserve"> </v>
      </c>
    </row>
    <row r="70" spans="1:8" ht="12">
      <c r="A70" s="15">
        <v>37</v>
      </c>
      <c r="B70" s="9" t="s">
        <v>108</v>
      </c>
      <c r="E70" s="25">
        <f>F70+G70</f>
        <v>-113282</v>
      </c>
      <c r="F70" s="146">
        <f>F266</f>
        <v>-113282</v>
      </c>
      <c r="G70" s="146">
        <f>G266</f>
        <v>0</v>
      </c>
      <c r="H70" s="24" t="str">
        <f t="shared" si="1"/>
        <v xml:space="preserve"> </v>
      </c>
    </row>
    <row r="71" spans="1:8" ht="12">
      <c r="A71" s="15">
        <v>38</v>
      </c>
      <c r="B71" s="9" t="s">
        <v>109</v>
      </c>
      <c r="E71" s="26">
        <f>F71+G71</f>
        <v>-16998</v>
      </c>
      <c r="F71" s="147">
        <f>F267+F271+F272+F274</f>
        <v>-16998</v>
      </c>
      <c r="G71" s="147">
        <f>G267+G271+G272+G274</f>
        <v>0</v>
      </c>
      <c r="H71" s="24" t="str">
        <f t="shared" si="1"/>
        <v xml:space="preserve"> </v>
      </c>
    </row>
    <row r="72" spans="1:8" ht="12">
      <c r="A72" s="15">
        <v>39</v>
      </c>
      <c r="B72" s="9" t="s">
        <v>437</v>
      </c>
      <c r="E72" s="292">
        <f>SUM(E69:E71)</f>
        <v>-139625</v>
      </c>
      <c r="F72" s="292">
        <f>SUM(F69:F71)</f>
        <v>-139625</v>
      </c>
      <c r="G72" s="292">
        <f>SUM(G69:G71)</f>
        <v>0</v>
      </c>
      <c r="H72" s="24" t="str">
        <f t="shared" si="1"/>
        <v xml:space="preserve"> </v>
      </c>
    </row>
    <row r="73" spans="1:8" ht="12">
      <c r="A73" s="210">
        <v>40</v>
      </c>
      <c r="B73" s="9" t="s">
        <v>184</v>
      </c>
      <c r="E73" s="25">
        <f>E66+E72</f>
        <v>276425</v>
      </c>
      <c r="F73" s="25">
        <f>F66+F72</f>
        <v>276425</v>
      </c>
      <c r="G73" s="25">
        <f>G66+G72</f>
        <v>0</v>
      </c>
      <c r="H73" s="24"/>
    </row>
    <row r="74" spans="1:8" ht="12">
      <c r="A74" s="15">
        <v>41</v>
      </c>
      <c r="B74" s="27" t="s">
        <v>111</v>
      </c>
      <c r="E74" s="293">
        <f>F74+G74</f>
        <v>-55323</v>
      </c>
      <c r="F74" s="293">
        <f>F286</f>
        <v>-55323</v>
      </c>
      <c r="G74" s="293">
        <f>G286</f>
        <v>0</v>
      </c>
      <c r="H74" s="24" t="str">
        <f t="shared" si="1"/>
        <v xml:space="preserve"> </v>
      </c>
    </row>
    <row r="75" spans="1:8" ht="12">
      <c r="A75" s="210">
        <v>42</v>
      </c>
      <c r="B75" s="192" t="s">
        <v>219</v>
      </c>
      <c r="E75" s="25">
        <f>E73+E74</f>
        <v>221102</v>
      </c>
      <c r="F75" s="25">
        <f>F73+F74</f>
        <v>221102</v>
      </c>
      <c r="G75" s="25">
        <f>G73+G74</f>
        <v>0</v>
      </c>
      <c r="H75" s="24"/>
    </row>
    <row r="76" spans="1:8" ht="12">
      <c r="A76" s="15">
        <v>43</v>
      </c>
      <c r="B76" s="9" t="s">
        <v>68</v>
      </c>
      <c r="E76" s="25">
        <f t="shared" ref="E76:E79" si="2">F76+G76</f>
        <v>12801</v>
      </c>
      <c r="F76" s="25">
        <f>F293+F294</f>
        <v>12801</v>
      </c>
      <c r="G76" s="25">
        <f>G293+G294</f>
        <v>0</v>
      </c>
      <c r="H76" s="24" t="str">
        <f t="shared" si="1"/>
        <v xml:space="preserve"> </v>
      </c>
    </row>
    <row r="77" spans="1:8" ht="12">
      <c r="A77" s="15">
        <v>44</v>
      </c>
      <c r="B77" s="27" t="s">
        <v>69</v>
      </c>
      <c r="E77" s="25">
        <f t="shared" si="2"/>
        <v>0</v>
      </c>
      <c r="F77" s="30">
        <f>F291+F292</f>
        <v>0</v>
      </c>
      <c r="G77" s="30">
        <f>G291+G292</f>
        <v>0</v>
      </c>
      <c r="H77" s="24" t="str">
        <f>IF(E79=F79+G79," ","ERROR")</f>
        <v xml:space="preserve"> </v>
      </c>
    </row>
    <row r="78" spans="1:8" ht="12">
      <c r="A78" s="288">
        <v>45</v>
      </c>
      <c r="B78" s="27" t="s">
        <v>441</v>
      </c>
      <c r="E78" s="25">
        <f t="shared" si="2"/>
        <v>-428</v>
      </c>
      <c r="F78" s="30">
        <f>F295+F296</f>
        <v>-428</v>
      </c>
      <c r="G78" s="30">
        <f>G295+G296</f>
        <v>0</v>
      </c>
      <c r="H78" s="24"/>
    </row>
    <row r="79" spans="1:8" ht="12">
      <c r="A79" s="15">
        <v>46</v>
      </c>
      <c r="B79" s="38" t="s">
        <v>188</v>
      </c>
      <c r="E79" s="26">
        <f t="shared" si="2"/>
        <v>0</v>
      </c>
      <c r="F79" s="26">
        <f>F297</f>
        <v>0</v>
      </c>
      <c r="G79" s="26">
        <f>G297</f>
        <v>0</v>
      </c>
      <c r="H79" s="24"/>
    </row>
    <row r="80" spans="1:8" ht="11.1" customHeight="1">
      <c r="G80" s="30"/>
    </row>
    <row r="81" spans="1:8" ht="9" customHeight="1">
      <c r="A81" s="15"/>
      <c r="B81" s="9" t="s">
        <v>112</v>
      </c>
      <c r="G81" s="30"/>
      <c r="H81" s="24"/>
    </row>
    <row r="82" spans="1:8" ht="12.75" thickBot="1">
      <c r="A82" s="15">
        <v>47</v>
      </c>
      <c r="B82" s="31" t="s">
        <v>70</v>
      </c>
      <c r="E82" s="32">
        <f>E75+E76+E79+E77+E78</f>
        <v>233475</v>
      </c>
      <c r="F82" s="32">
        <f>F75+F76+F79+F77+F78</f>
        <v>233475</v>
      </c>
      <c r="G82" s="32">
        <f>G75+G76+G79+G77+G78</f>
        <v>0</v>
      </c>
      <c r="H82" s="24" t="str">
        <f>IF(E82=F82+G82," ","ERROR")</f>
        <v xml:space="preserve"> </v>
      </c>
    </row>
    <row r="83" spans="1:8" ht="11.1" customHeight="1" thickTop="1">
      <c r="E83" s="16"/>
      <c r="F83" s="16"/>
      <c r="G83" s="16"/>
    </row>
    <row r="84" spans="1:8" ht="11.1" customHeight="1">
      <c r="E84" s="33">
        <f>E59/E82</f>
        <v>6.4255273583895489E-2</v>
      </c>
      <c r="F84" s="33">
        <f>F59/F82</f>
        <v>6.4255273583895489E-2</v>
      </c>
      <c r="G84" s="33"/>
    </row>
    <row r="86" spans="1:8" ht="11.1" customHeight="1">
      <c r="A86" s="305"/>
      <c r="B86" s="306" t="s">
        <v>34</v>
      </c>
    </row>
    <row r="87" spans="1:8" ht="11.1" customHeight="1">
      <c r="A87" s="305"/>
      <c r="B87" s="307" t="s">
        <v>260</v>
      </c>
    </row>
    <row r="88" spans="1:8" ht="11.1" customHeight="1">
      <c r="A88" s="308">
        <v>480000</v>
      </c>
      <c r="B88" s="307" t="s">
        <v>261</v>
      </c>
      <c r="F88" s="30">
        <f>ROUND(H88/1000,0)</f>
        <v>107940</v>
      </c>
      <c r="H88" s="150">
        <v>107939670</v>
      </c>
    </row>
    <row r="89" spans="1:8" ht="11.1" customHeight="1">
      <c r="A89" s="308" t="s">
        <v>262</v>
      </c>
      <c r="B89" s="307" t="s">
        <v>263</v>
      </c>
      <c r="F89" s="30">
        <f t="shared" ref="F89:F153" si="3">ROUND(H89/1000,0)</f>
        <v>56446</v>
      </c>
      <c r="H89" s="150">
        <v>56445720</v>
      </c>
    </row>
    <row r="90" spans="1:8" ht="11.1" customHeight="1">
      <c r="A90" s="308" t="s">
        <v>264</v>
      </c>
      <c r="B90" s="307" t="s">
        <v>265</v>
      </c>
      <c r="F90" s="30">
        <f t="shared" si="3"/>
        <v>1929</v>
      </c>
      <c r="H90" s="150">
        <v>1929386</v>
      </c>
    </row>
    <row r="91" spans="1:8" ht="11.1" customHeight="1">
      <c r="A91" s="308">
        <v>481400</v>
      </c>
      <c r="B91" s="307" t="s">
        <v>266</v>
      </c>
      <c r="F91" s="30">
        <f t="shared" si="3"/>
        <v>0</v>
      </c>
      <c r="H91" s="150">
        <v>0</v>
      </c>
    </row>
    <row r="92" spans="1:8" ht="11.1" customHeight="1">
      <c r="A92" s="308">
        <v>484000</v>
      </c>
      <c r="B92" s="307" t="s">
        <v>269</v>
      </c>
      <c r="F92" s="30">
        <f t="shared" si="3"/>
        <v>292</v>
      </c>
      <c r="H92" s="150">
        <v>291874</v>
      </c>
    </row>
    <row r="93" spans="1:8" ht="11.1" customHeight="1">
      <c r="A93" s="305" t="s">
        <v>267</v>
      </c>
      <c r="B93" s="307" t="s">
        <v>268</v>
      </c>
      <c r="F93" s="30">
        <f t="shared" si="3"/>
        <v>22</v>
      </c>
      <c r="H93" s="150">
        <v>21709</v>
      </c>
    </row>
    <row r="94" spans="1:8" ht="11.1" customHeight="1">
      <c r="A94" s="305"/>
      <c r="B94" s="307" t="s">
        <v>270</v>
      </c>
      <c r="F94" s="30">
        <f t="shared" si="3"/>
        <v>166628</v>
      </c>
      <c r="H94" s="150">
        <v>166628359</v>
      </c>
    </row>
    <row r="95" spans="1:8" ht="11.1" customHeight="1">
      <c r="A95" s="305"/>
      <c r="B95" s="307"/>
      <c r="F95" s="30">
        <f t="shared" si="3"/>
        <v>0</v>
      </c>
      <c r="H95" s="150"/>
    </row>
    <row r="96" spans="1:8" ht="11.1" customHeight="1">
      <c r="A96" s="305"/>
      <c r="B96" s="307" t="s">
        <v>271</v>
      </c>
      <c r="F96" s="30">
        <f t="shared" si="3"/>
        <v>0</v>
      </c>
      <c r="H96" s="150"/>
    </row>
    <row r="97" spans="1:8" ht="11.1" customHeight="1">
      <c r="A97" s="309">
        <v>483000</v>
      </c>
      <c r="B97" s="310" t="s">
        <v>272</v>
      </c>
      <c r="F97" s="30">
        <f t="shared" si="3"/>
        <v>79637</v>
      </c>
      <c r="H97" s="150">
        <v>79636624</v>
      </c>
    </row>
    <row r="98" spans="1:8" ht="11.1" customHeight="1">
      <c r="A98" s="308">
        <v>488000</v>
      </c>
      <c r="B98" s="307" t="s">
        <v>273</v>
      </c>
      <c r="F98" s="30">
        <f t="shared" si="3"/>
        <v>12</v>
      </c>
      <c r="H98" s="150">
        <v>11833</v>
      </c>
    </row>
    <row r="99" spans="1:8" ht="11.1" customHeight="1">
      <c r="A99" s="308">
        <v>489300</v>
      </c>
      <c r="B99" s="307" t="s">
        <v>274</v>
      </c>
      <c r="F99" s="30">
        <f t="shared" si="3"/>
        <v>4112</v>
      </c>
      <c r="H99" s="150">
        <v>4111601</v>
      </c>
    </row>
    <row r="100" spans="1:8" ht="11.1" customHeight="1">
      <c r="A100" s="308">
        <v>493000</v>
      </c>
      <c r="B100" s="307" t="s">
        <v>275</v>
      </c>
      <c r="F100" s="30">
        <f t="shared" si="3"/>
        <v>2</v>
      </c>
      <c r="H100" s="150">
        <v>2363</v>
      </c>
    </row>
    <row r="101" spans="1:8" ht="11.1" customHeight="1">
      <c r="A101" s="308">
        <v>495000</v>
      </c>
      <c r="B101" s="307" t="s">
        <v>276</v>
      </c>
      <c r="F101" s="30">
        <f t="shared" si="3"/>
        <v>3851</v>
      </c>
      <c r="H101" s="150">
        <v>3851205</v>
      </c>
    </row>
    <row r="102" spans="1:8" ht="11.1" customHeight="1">
      <c r="A102" s="308">
        <v>496100</v>
      </c>
      <c r="B102" s="307" t="s">
        <v>527</v>
      </c>
      <c r="F102" s="30">
        <f t="shared" si="3"/>
        <v>0</v>
      </c>
      <c r="H102" s="150">
        <v>0</v>
      </c>
    </row>
    <row r="103" spans="1:8" ht="11.1" customHeight="1">
      <c r="A103" s="305"/>
      <c r="B103" s="307" t="s">
        <v>277</v>
      </c>
      <c r="F103" s="30">
        <f t="shared" si="3"/>
        <v>87614</v>
      </c>
      <c r="H103" s="150">
        <v>87613626</v>
      </c>
    </row>
    <row r="104" spans="1:8" ht="11.1" customHeight="1">
      <c r="A104" s="305"/>
      <c r="B104" s="307" t="s">
        <v>278</v>
      </c>
      <c r="F104" s="30">
        <f t="shared" si="3"/>
        <v>254242</v>
      </c>
      <c r="H104" s="150">
        <v>254241985</v>
      </c>
    </row>
    <row r="105" spans="1:8" ht="11.1" customHeight="1">
      <c r="A105" s="305"/>
      <c r="B105" s="307"/>
      <c r="F105" s="30">
        <f t="shared" si="3"/>
        <v>0</v>
      </c>
      <c r="H105" s="150"/>
    </row>
    <row r="106" spans="1:8" ht="11.1" customHeight="1">
      <c r="A106" s="305"/>
      <c r="B106" s="307" t="s">
        <v>279</v>
      </c>
      <c r="F106" s="30">
        <f t="shared" si="3"/>
        <v>0</v>
      </c>
      <c r="H106" s="150"/>
    </row>
    <row r="107" spans="1:8" ht="11.1" customHeight="1">
      <c r="A107" s="311" t="s">
        <v>280</v>
      </c>
      <c r="B107" s="307" t="s">
        <v>40</v>
      </c>
      <c r="F107" s="30">
        <f t="shared" si="3"/>
        <v>173262</v>
      </c>
      <c r="H107" s="150">
        <v>173262082</v>
      </c>
    </row>
    <row r="108" spans="1:8" ht="11.1" customHeight="1">
      <c r="A108" s="308" t="s">
        <v>281</v>
      </c>
      <c r="B108" s="307" t="s">
        <v>282</v>
      </c>
      <c r="F108" s="30">
        <f t="shared" si="3"/>
        <v>-5136</v>
      </c>
      <c r="H108" s="150">
        <v>-5136048</v>
      </c>
    </row>
    <row r="109" spans="1:8" ht="11.1" customHeight="1">
      <c r="A109" s="309">
        <v>811000</v>
      </c>
      <c r="B109" s="310" t="s">
        <v>283</v>
      </c>
      <c r="F109" s="30">
        <f t="shared" si="3"/>
        <v>-854</v>
      </c>
      <c r="H109" s="150">
        <v>-853611</v>
      </c>
    </row>
    <row r="110" spans="1:8" ht="11.1" customHeight="1">
      <c r="A110" s="308">
        <v>813000</v>
      </c>
      <c r="B110" s="307" t="s">
        <v>284</v>
      </c>
      <c r="F110" s="30">
        <f t="shared" si="3"/>
        <v>761</v>
      </c>
      <c r="H110" s="150">
        <v>761188</v>
      </c>
    </row>
    <row r="111" spans="1:8" ht="11.1" customHeight="1">
      <c r="A111" s="308">
        <v>813010</v>
      </c>
      <c r="B111" s="307" t="s">
        <v>285</v>
      </c>
      <c r="F111" s="30">
        <f t="shared" si="3"/>
        <v>78</v>
      </c>
      <c r="H111" s="150">
        <v>78262</v>
      </c>
    </row>
    <row r="112" spans="1:8" ht="11.1" customHeight="1">
      <c r="A112" s="305"/>
      <c r="B112" s="307" t="s">
        <v>286</v>
      </c>
      <c r="F112" s="30">
        <f t="shared" si="3"/>
        <v>168112</v>
      </c>
      <c r="H112" s="150">
        <v>168111873</v>
      </c>
    </row>
    <row r="113" spans="1:8" ht="11.1" customHeight="1">
      <c r="A113" s="305"/>
      <c r="B113" s="307"/>
      <c r="F113" s="30">
        <f t="shared" si="3"/>
        <v>0</v>
      </c>
      <c r="H113" s="150"/>
    </row>
    <row r="114" spans="1:8" ht="11.1" customHeight="1">
      <c r="A114" s="305"/>
      <c r="B114" s="307" t="s">
        <v>287</v>
      </c>
      <c r="F114" s="30">
        <f t="shared" si="3"/>
        <v>0</v>
      </c>
      <c r="H114" s="150"/>
    </row>
    <row r="115" spans="1:8" ht="11.1" customHeight="1">
      <c r="A115" s="308">
        <v>814000</v>
      </c>
      <c r="B115" s="307" t="s">
        <v>288</v>
      </c>
      <c r="F115" s="30">
        <f t="shared" si="3"/>
        <v>9</v>
      </c>
      <c r="H115" s="150">
        <v>9425</v>
      </c>
    </row>
    <row r="116" spans="1:8" ht="11.1" customHeight="1">
      <c r="A116" s="308">
        <v>824000</v>
      </c>
      <c r="B116" s="307" t="s">
        <v>289</v>
      </c>
      <c r="F116" s="30">
        <f t="shared" si="3"/>
        <v>438</v>
      </c>
      <c r="H116" s="150">
        <v>438353</v>
      </c>
    </row>
    <row r="117" spans="1:8" ht="11.1" customHeight="1">
      <c r="A117" s="308">
        <v>837000</v>
      </c>
      <c r="B117" s="307" t="s">
        <v>290</v>
      </c>
      <c r="F117" s="30">
        <f t="shared" si="3"/>
        <v>410</v>
      </c>
      <c r="H117" s="150">
        <v>410408</v>
      </c>
    </row>
    <row r="118" spans="1:8" ht="11.1" customHeight="1">
      <c r="A118" s="305"/>
      <c r="B118" s="307" t="s">
        <v>291</v>
      </c>
      <c r="F118" s="30">
        <f t="shared" si="3"/>
        <v>858</v>
      </c>
      <c r="H118" s="150">
        <v>858186</v>
      </c>
    </row>
    <row r="119" spans="1:8" ht="11.1" customHeight="1">
      <c r="A119" s="305"/>
      <c r="B119" s="307"/>
      <c r="F119" s="30">
        <f t="shared" si="3"/>
        <v>0</v>
      </c>
      <c r="H119" s="150"/>
    </row>
    <row r="120" spans="1:8" ht="11.1" customHeight="1">
      <c r="A120" s="306"/>
      <c r="B120" s="307" t="s">
        <v>292</v>
      </c>
      <c r="F120" s="30">
        <f t="shared" si="3"/>
        <v>392</v>
      </c>
      <c r="H120" s="150">
        <v>391859</v>
      </c>
    </row>
    <row r="121" spans="1:8" ht="11.1" customHeight="1">
      <c r="A121" s="306"/>
      <c r="B121" s="307" t="s">
        <v>293</v>
      </c>
      <c r="F121" s="30">
        <f t="shared" si="3"/>
        <v>0</v>
      </c>
      <c r="H121" s="150">
        <v>160</v>
      </c>
    </row>
    <row r="122" spans="1:8" ht="11.1" customHeight="1">
      <c r="A122" s="305"/>
      <c r="B122" s="307" t="s">
        <v>294</v>
      </c>
      <c r="F122" s="30">
        <f t="shared" si="3"/>
        <v>216</v>
      </c>
      <c r="H122" s="150">
        <v>215747</v>
      </c>
    </row>
    <row r="123" spans="1:8" ht="11.1" customHeight="1">
      <c r="A123" s="305"/>
      <c r="B123" s="307" t="s">
        <v>295</v>
      </c>
      <c r="F123" s="30">
        <f t="shared" si="3"/>
        <v>608</v>
      </c>
      <c r="H123" s="150">
        <v>607766</v>
      </c>
    </row>
    <row r="124" spans="1:8" ht="11.1" customHeight="1">
      <c r="A124" s="305"/>
      <c r="B124" s="307"/>
      <c r="F124" s="30">
        <f t="shared" si="3"/>
        <v>0</v>
      </c>
      <c r="H124" s="150"/>
    </row>
    <row r="125" spans="1:8" ht="11.1" customHeight="1">
      <c r="A125" s="305"/>
      <c r="B125" s="307" t="s">
        <v>296</v>
      </c>
      <c r="F125" s="30">
        <f t="shared" si="3"/>
        <v>1466</v>
      </c>
      <c r="H125" s="150">
        <v>1465952</v>
      </c>
    </row>
    <row r="126" spans="1:8" ht="11.1" customHeight="1">
      <c r="A126" s="305"/>
      <c r="B126" s="307"/>
      <c r="F126" s="30">
        <f t="shared" si="3"/>
        <v>0</v>
      </c>
      <c r="H126" s="150"/>
    </row>
    <row r="127" spans="1:8" ht="11.1" customHeight="1">
      <c r="A127" s="305"/>
      <c r="B127" s="307" t="s">
        <v>297</v>
      </c>
      <c r="F127" s="30">
        <f t="shared" si="3"/>
        <v>0</v>
      </c>
      <c r="H127" s="150"/>
    </row>
    <row r="128" spans="1:8" ht="11.1" customHeight="1">
      <c r="A128" s="305"/>
      <c r="B128" s="307" t="s">
        <v>298</v>
      </c>
      <c r="F128" s="30">
        <f t="shared" si="3"/>
        <v>0</v>
      </c>
      <c r="H128" s="150"/>
    </row>
    <row r="129" spans="1:15" ht="11.1" customHeight="1">
      <c r="A129" s="308">
        <v>870000</v>
      </c>
      <c r="B129" s="307" t="s">
        <v>288</v>
      </c>
      <c r="F129" s="30">
        <f t="shared" si="3"/>
        <v>1098</v>
      </c>
      <c r="H129" s="150">
        <v>1097837</v>
      </c>
    </row>
    <row r="130" spans="1:15" ht="11.1" customHeight="1">
      <c r="A130" s="308">
        <v>871000</v>
      </c>
      <c r="B130" s="307" t="s">
        <v>299</v>
      </c>
      <c r="F130" s="30">
        <f t="shared" si="3"/>
        <v>0</v>
      </c>
      <c r="H130" s="150">
        <v>0</v>
      </c>
    </row>
    <row r="131" spans="1:15" ht="11.1" customHeight="1">
      <c r="A131" s="308">
        <v>874000</v>
      </c>
      <c r="B131" s="307" t="s">
        <v>300</v>
      </c>
      <c r="F131" s="30">
        <f t="shared" si="3"/>
        <v>2539</v>
      </c>
      <c r="H131" s="150">
        <v>2538798</v>
      </c>
      <c r="N131" s="142" t="s">
        <v>180</v>
      </c>
    </row>
    <row r="132" spans="1:15" ht="11.1" customHeight="1" thickBot="1">
      <c r="A132" s="308">
        <v>875000</v>
      </c>
      <c r="B132" s="307" t="s">
        <v>301</v>
      </c>
      <c r="F132" s="30">
        <f t="shared" si="3"/>
        <v>90</v>
      </c>
      <c r="H132" s="150">
        <v>89563</v>
      </c>
      <c r="N132" s="143" t="s">
        <v>181</v>
      </c>
      <c r="O132" s="144"/>
    </row>
    <row r="133" spans="1:15" ht="11.1" customHeight="1" thickTop="1">
      <c r="A133" s="308">
        <v>876000</v>
      </c>
      <c r="B133" s="307" t="s">
        <v>302</v>
      </c>
      <c r="F133" s="30">
        <f t="shared" si="3"/>
        <v>1</v>
      </c>
      <c r="H133" s="150">
        <v>1162</v>
      </c>
    </row>
    <row r="134" spans="1:15" ht="11.1" customHeight="1">
      <c r="A134" s="308">
        <v>877000</v>
      </c>
      <c r="B134" s="307" t="s">
        <v>303</v>
      </c>
      <c r="F134" s="30">
        <f t="shared" si="3"/>
        <v>86</v>
      </c>
      <c r="H134" s="150">
        <v>86080</v>
      </c>
    </row>
    <row r="135" spans="1:15" ht="11.1" customHeight="1">
      <c r="A135" s="308">
        <v>878000</v>
      </c>
      <c r="B135" s="307" t="s">
        <v>304</v>
      </c>
      <c r="F135" s="30">
        <f t="shared" si="3"/>
        <v>169</v>
      </c>
      <c r="H135" s="150">
        <v>168531</v>
      </c>
    </row>
    <row r="136" spans="1:15" ht="11.1" customHeight="1">
      <c r="A136" s="308">
        <v>879000</v>
      </c>
      <c r="B136" s="307" t="s">
        <v>305</v>
      </c>
      <c r="F136" s="30">
        <f t="shared" si="3"/>
        <v>1202</v>
      </c>
      <c r="H136" s="150">
        <v>1201965</v>
      </c>
    </row>
    <row r="137" spans="1:15" ht="11.1" customHeight="1">
      <c r="A137" s="308">
        <v>880000</v>
      </c>
      <c r="B137" s="307" t="s">
        <v>289</v>
      </c>
      <c r="F137" s="30">
        <f t="shared" si="3"/>
        <v>1292</v>
      </c>
      <c r="H137" s="150">
        <v>1292431</v>
      </c>
    </row>
    <row r="138" spans="1:15" ht="11.1" customHeight="1">
      <c r="A138" s="308">
        <v>881000</v>
      </c>
      <c r="B138" s="307" t="s">
        <v>306</v>
      </c>
      <c r="F138" s="30">
        <f t="shared" si="3"/>
        <v>20</v>
      </c>
      <c r="H138" s="150">
        <v>20153</v>
      </c>
    </row>
    <row r="139" spans="1:15" ht="11.1" customHeight="1">
      <c r="A139" s="305"/>
      <c r="B139" s="307"/>
      <c r="F139" s="30">
        <f t="shared" si="3"/>
        <v>0</v>
      </c>
      <c r="H139" s="150"/>
    </row>
    <row r="140" spans="1:15" ht="11.1" customHeight="1">
      <c r="A140" s="305"/>
      <c r="B140" s="307" t="s">
        <v>307</v>
      </c>
      <c r="F140" s="30">
        <f t="shared" si="3"/>
        <v>0</v>
      </c>
      <c r="H140" s="150"/>
    </row>
    <row r="141" spans="1:15" ht="11.1" customHeight="1">
      <c r="A141" s="308">
        <v>885000</v>
      </c>
      <c r="B141" s="307" t="s">
        <v>288</v>
      </c>
      <c r="F141" s="30">
        <f t="shared" si="3"/>
        <v>58</v>
      </c>
      <c r="H141" s="150">
        <v>58009</v>
      </c>
    </row>
    <row r="142" spans="1:15" ht="11.1" customHeight="1">
      <c r="A142" s="308">
        <v>887000</v>
      </c>
      <c r="B142" s="307" t="s">
        <v>308</v>
      </c>
      <c r="F142" s="30">
        <f t="shared" si="3"/>
        <v>1622</v>
      </c>
      <c r="H142" s="150">
        <v>1622098</v>
      </c>
    </row>
    <row r="143" spans="1:15" ht="11.1" customHeight="1">
      <c r="A143" s="308">
        <v>889000</v>
      </c>
      <c r="B143" s="307" t="s">
        <v>301</v>
      </c>
      <c r="F143" s="30">
        <f t="shared" si="3"/>
        <v>118</v>
      </c>
      <c r="H143" s="150">
        <v>117825</v>
      </c>
    </row>
    <row r="144" spans="1:15" ht="11.1" customHeight="1">
      <c r="A144" s="308">
        <v>890000</v>
      </c>
      <c r="B144" s="307" t="s">
        <v>302</v>
      </c>
      <c r="F144" s="30">
        <f t="shared" si="3"/>
        <v>149</v>
      </c>
      <c r="H144" s="150">
        <v>148989</v>
      </c>
    </row>
    <row r="145" spans="1:8" ht="11.1" customHeight="1">
      <c r="A145" s="308">
        <v>891000</v>
      </c>
      <c r="B145" s="307" t="s">
        <v>303</v>
      </c>
      <c r="F145" s="30">
        <f t="shared" si="3"/>
        <v>38</v>
      </c>
      <c r="H145" s="150">
        <v>38227</v>
      </c>
    </row>
    <row r="146" spans="1:8" ht="11.1" customHeight="1">
      <c r="A146" s="308">
        <v>892000</v>
      </c>
      <c r="B146" s="307" t="s">
        <v>309</v>
      </c>
      <c r="F146" s="30">
        <f t="shared" si="3"/>
        <v>998</v>
      </c>
      <c r="H146" s="150">
        <v>998164</v>
      </c>
    </row>
    <row r="147" spans="1:8" ht="11.1" customHeight="1">
      <c r="A147" s="308">
        <v>893000</v>
      </c>
      <c r="B147" s="307" t="s">
        <v>310</v>
      </c>
      <c r="F147" s="30">
        <f t="shared" si="3"/>
        <v>1060</v>
      </c>
      <c r="H147" s="150">
        <v>1059893</v>
      </c>
    </row>
    <row r="148" spans="1:8" ht="11.1" customHeight="1">
      <c r="A148" s="308">
        <v>894000</v>
      </c>
      <c r="B148" s="307" t="s">
        <v>290</v>
      </c>
      <c r="F148" s="30">
        <f t="shared" si="3"/>
        <v>126</v>
      </c>
      <c r="H148" s="150">
        <v>126082</v>
      </c>
    </row>
    <row r="149" spans="1:8" ht="11.1" customHeight="1">
      <c r="A149" s="305"/>
      <c r="B149" s="307" t="s">
        <v>311</v>
      </c>
      <c r="F149" s="30">
        <f t="shared" si="3"/>
        <v>10666</v>
      </c>
      <c r="H149" s="150">
        <v>10665807</v>
      </c>
    </row>
    <row r="150" spans="1:8" ht="11.1" customHeight="1">
      <c r="A150" s="305"/>
      <c r="B150" s="307"/>
      <c r="F150" s="30">
        <f t="shared" si="3"/>
        <v>0</v>
      </c>
      <c r="H150" s="150"/>
    </row>
    <row r="151" spans="1:8" ht="11.1" customHeight="1">
      <c r="A151" s="305"/>
      <c r="B151" s="307" t="s">
        <v>312</v>
      </c>
      <c r="F151" s="30">
        <f t="shared" si="3"/>
        <v>8386</v>
      </c>
      <c r="H151" s="150">
        <v>8385590</v>
      </c>
    </row>
    <row r="152" spans="1:8" ht="11.1" customHeight="1">
      <c r="A152" s="305"/>
      <c r="B152" s="307" t="s">
        <v>294</v>
      </c>
      <c r="F152" s="30">
        <f t="shared" si="3"/>
        <v>14954</v>
      </c>
      <c r="H152" s="150">
        <v>14953944</v>
      </c>
    </row>
    <row r="153" spans="1:8" ht="11.1" customHeight="1">
      <c r="A153" s="305"/>
      <c r="B153" s="307" t="s">
        <v>313</v>
      </c>
      <c r="F153" s="30">
        <f t="shared" si="3"/>
        <v>23340</v>
      </c>
      <c r="H153" s="150">
        <v>23339534</v>
      </c>
    </row>
    <row r="154" spans="1:8" ht="11.1" customHeight="1">
      <c r="A154" s="305"/>
      <c r="B154" s="307"/>
      <c r="F154" s="30">
        <f t="shared" ref="F154:F219" si="4">ROUND(H154/1000,0)</f>
        <v>0</v>
      </c>
      <c r="H154" s="150"/>
    </row>
    <row r="155" spans="1:8" ht="11.1" customHeight="1">
      <c r="A155" s="305"/>
      <c r="B155" s="307" t="s">
        <v>314</v>
      </c>
      <c r="F155" s="30">
        <f t="shared" si="4"/>
        <v>34005</v>
      </c>
      <c r="H155" s="150">
        <v>34005341</v>
      </c>
    </row>
    <row r="156" spans="1:8" ht="11.1" customHeight="1">
      <c r="A156" s="305"/>
      <c r="B156" s="307"/>
      <c r="F156" s="30">
        <f t="shared" si="4"/>
        <v>0</v>
      </c>
      <c r="H156" s="150"/>
    </row>
    <row r="157" spans="1:8" ht="11.1" customHeight="1">
      <c r="A157" s="305"/>
      <c r="B157" s="307" t="s">
        <v>315</v>
      </c>
      <c r="F157" s="30">
        <f t="shared" si="4"/>
        <v>0</v>
      </c>
      <c r="H157" s="150"/>
    </row>
    <row r="158" spans="1:8" ht="11.1" customHeight="1">
      <c r="A158" s="308">
        <v>901000</v>
      </c>
      <c r="B158" s="307" t="s">
        <v>316</v>
      </c>
      <c r="F158" s="30">
        <f t="shared" si="4"/>
        <v>147</v>
      </c>
      <c r="H158" s="150">
        <v>147025</v>
      </c>
    </row>
    <row r="159" spans="1:8" ht="11.1" customHeight="1">
      <c r="A159" s="308">
        <v>902000</v>
      </c>
      <c r="B159" s="307" t="s">
        <v>317</v>
      </c>
      <c r="F159" s="30">
        <f t="shared" si="4"/>
        <v>1619</v>
      </c>
      <c r="H159" s="150">
        <v>1618965</v>
      </c>
    </row>
    <row r="160" spans="1:8" ht="11.1" customHeight="1">
      <c r="A160" s="308" t="s">
        <v>318</v>
      </c>
      <c r="B160" s="307" t="s">
        <v>319</v>
      </c>
      <c r="F160" s="30">
        <f t="shared" si="4"/>
        <v>3568</v>
      </c>
      <c r="H160" s="150">
        <v>3567668</v>
      </c>
    </row>
    <row r="161" spans="1:8" ht="11.1" customHeight="1">
      <c r="A161" s="308">
        <v>904000</v>
      </c>
      <c r="B161" s="307" t="s">
        <v>320</v>
      </c>
      <c r="F161" s="30">
        <f t="shared" si="4"/>
        <v>1112</v>
      </c>
      <c r="H161" s="150">
        <v>1111819</v>
      </c>
    </row>
    <row r="162" spans="1:8" ht="11.1" customHeight="1">
      <c r="A162" s="308">
        <v>905000</v>
      </c>
      <c r="B162" s="307" t="s">
        <v>321</v>
      </c>
      <c r="F162" s="30">
        <f t="shared" si="4"/>
        <v>105</v>
      </c>
      <c r="H162" s="150">
        <v>104868</v>
      </c>
    </row>
    <row r="163" spans="1:8" ht="11.1" customHeight="1">
      <c r="A163" s="305"/>
      <c r="B163" s="307" t="s">
        <v>322</v>
      </c>
      <c r="F163" s="30">
        <f t="shared" si="4"/>
        <v>6550</v>
      </c>
      <c r="H163" s="150">
        <v>6550345</v>
      </c>
    </row>
    <row r="164" spans="1:8" ht="11.1" customHeight="1">
      <c r="A164" s="305"/>
      <c r="B164" s="307"/>
      <c r="F164" s="30">
        <f t="shared" si="4"/>
        <v>0</v>
      </c>
      <c r="H164" s="150"/>
    </row>
    <row r="165" spans="1:8" ht="11.1" customHeight="1">
      <c r="A165" s="305"/>
      <c r="B165" s="307" t="s">
        <v>323</v>
      </c>
      <c r="F165" s="30">
        <f t="shared" si="4"/>
        <v>0</v>
      </c>
      <c r="H165" s="150"/>
    </row>
    <row r="166" spans="1:8" ht="11.1" customHeight="1">
      <c r="A166" s="308" t="s">
        <v>324</v>
      </c>
      <c r="B166" s="307" t="s">
        <v>325</v>
      </c>
      <c r="F166" s="30">
        <f t="shared" si="4"/>
        <v>5921</v>
      </c>
      <c r="H166" s="150">
        <v>5921378</v>
      </c>
    </row>
    <row r="167" spans="1:8" ht="11.1" customHeight="1">
      <c r="A167" s="308">
        <v>909000</v>
      </c>
      <c r="B167" s="307" t="s">
        <v>326</v>
      </c>
      <c r="F167" s="30">
        <f t="shared" si="4"/>
        <v>424</v>
      </c>
      <c r="H167" s="150">
        <v>424145</v>
      </c>
    </row>
    <row r="168" spans="1:8" ht="11.1" customHeight="1">
      <c r="A168" s="308">
        <v>910000</v>
      </c>
      <c r="B168" s="307" t="s">
        <v>327</v>
      </c>
      <c r="F168" s="30">
        <f t="shared" si="4"/>
        <v>82</v>
      </c>
      <c r="H168" s="150">
        <v>81818</v>
      </c>
    </row>
    <row r="169" spans="1:8" ht="11.1" customHeight="1">
      <c r="A169" s="305"/>
      <c r="B169" s="307" t="s">
        <v>328</v>
      </c>
      <c r="F169" s="30">
        <f t="shared" si="4"/>
        <v>6427</v>
      </c>
      <c r="H169" s="150">
        <v>6427341</v>
      </c>
    </row>
    <row r="170" spans="1:8" ht="11.1" customHeight="1">
      <c r="A170" s="305"/>
      <c r="B170" s="307"/>
      <c r="F170" s="30">
        <f t="shared" si="4"/>
        <v>0</v>
      </c>
      <c r="H170" s="150"/>
    </row>
    <row r="171" spans="1:8" ht="11.1" customHeight="1">
      <c r="A171" s="305"/>
      <c r="B171" s="307" t="s">
        <v>329</v>
      </c>
      <c r="F171" s="30">
        <f t="shared" si="4"/>
        <v>0</v>
      </c>
      <c r="H171" s="150"/>
    </row>
    <row r="172" spans="1:8" ht="11.1" customHeight="1">
      <c r="A172" s="308">
        <v>912000</v>
      </c>
      <c r="B172" s="307" t="s">
        <v>330</v>
      </c>
      <c r="F172" s="30">
        <f t="shared" si="4"/>
        <v>0</v>
      </c>
      <c r="H172" s="150">
        <v>0</v>
      </c>
    </row>
    <row r="173" spans="1:8" ht="11.1" customHeight="1">
      <c r="A173" s="308">
        <v>913000</v>
      </c>
      <c r="B173" s="307" t="s">
        <v>326</v>
      </c>
      <c r="F173" s="30">
        <f t="shared" si="4"/>
        <v>0</v>
      </c>
      <c r="H173" s="150">
        <v>0</v>
      </c>
    </row>
    <row r="174" spans="1:8" ht="11.1" customHeight="1">
      <c r="A174" s="308">
        <v>916000</v>
      </c>
      <c r="B174" s="307" t="s">
        <v>331</v>
      </c>
      <c r="F174" s="30">
        <f t="shared" si="4"/>
        <v>0</v>
      </c>
      <c r="H174" s="150">
        <v>0</v>
      </c>
    </row>
    <row r="175" spans="1:8" ht="11.1" customHeight="1">
      <c r="A175" s="305"/>
      <c r="B175" s="307" t="s">
        <v>332</v>
      </c>
      <c r="F175" s="30">
        <f t="shared" si="4"/>
        <v>0</v>
      </c>
      <c r="H175" s="150">
        <v>0</v>
      </c>
    </row>
    <row r="176" spans="1:8" ht="11.1" customHeight="1">
      <c r="A176" s="305"/>
      <c r="B176" s="307"/>
      <c r="F176" s="30">
        <f t="shared" si="4"/>
        <v>0</v>
      </c>
      <c r="H176" s="150"/>
    </row>
    <row r="177" spans="1:8" ht="11.1" customHeight="1">
      <c r="A177" s="305"/>
      <c r="B177" s="307" t="s">
        <v>333</v>
      </c>
      <c r="F177" s="30">
        <f t="shared" si="4"/>
        <v>0</v>
      </c>
      <c r="H177" s="150"/>
    </row>
    <row r="178" spans="1:8" ht="11.1" customHeight="1">
      <c r="A178" s="308">
        <v>920000</v>
      </c>
      <c r="B178" s="307" t="s">
        <v>334</v>
      </c>
      <c r="F178" s="30">
        <f t="shared" si="4"/>
        <v>4423</v>
      </c>
      <c r="H178" s="150">
        <v>4423422</v>
      </c>
    </row>
    <row r="179" spans="1:8" ht="11.1" customHeight="1">
      <c r="A179" s="308">
        <v>921000</v>
      </c>
      <c r="B179" s="307" t="s">
        <v>335</v>
      </c>
      <c r="F179" s="30">
        <f t="shared" si="4"/>
        <v>836</v>
      </c>
      <c r="H179" s="150">
        <v>835798</v>
      </c>
    </row>
    <row r="180" spans="1:8" ht="11.1" customHeight="1">
      <c r="A180" s="308">
        <v>922000</v>
      </c>
      <c r="B180" s="307" t="s">
        <v>336</v>
      </c>
      <c r="F180" s="30">
        <f t="shared" si="4"/>
        <v>-14</v>
      </c>
      <c r="H180" s="150">
        <v>-14245</v>
      </c>
    </row>
    <row r="181" spans="1:8" ht="11.1" customHeight="1">
      <c r="A181" s="308">
        <v>923000</v>
      </c>
      <c r="B181" s="307" t="s">
        <v>337</v>
      </c>
      <c r="F181" s="30">
        <f t="shared" si="4"/>
        <v>2138</v>
      </c>
      <c r="H181" s="150">
        <v>2138393</v>
      </c>
    </row>
    <row r="182" spans="1:8" ht="11.1" customHeight="1">
      <c r="A182" s="308">
        <v>924000</v>
      </c>
      <c r="B182" s="307" t="s">
        <v>338</v>
      </c>
      <c r="F182" s="30">
        <f t="shared" si="4"/>
        <v>241</v>
      </c>
      <c r="H182" s="150">
        <v>240743</v>
      </c>
    </row>
    <row r="183" spans="1:8" ht="11.1" customHeight="1">
      <c r="A183" s="305" t="s">
        <v>339</v>
      </c>
      <c r="B183" s="307" t="s">
        <v>340</v>
      </c>
      <c r="F183" s="30">
        <f t="shared" si="4"/>
        <v>596</v>
      </c>
      <c r="H183" s="150">
        <v>595977</v>
      </c>
    </row>
    <row r="184" spans="1:8" ht="11.1" customHeight="1">
      <c r="A184" s="305" t="s">
        <v>341</v>
      </c>
      <c r="B184" s="307" t="s">
        <v>342</v>
      </c>
      <c r="F184" s="30">
        <f t="shared" si="4"/>
        <v>217</v>
      </c>
      <c r="H184" s="150">
        <v>216736</v>
      </c>
    </row>
    <row r="185" spans="1:8" ht="11.1" customHeight="1">
      <c r="A185" s="308">
        <v>928000</v>
      </c>
      <c r="B185" s="307" t="s">
        <v>343</v>
      </c>
      <c r="F185" s="30">
        <f t="shared" si="4"/>
        <v>754</v>
      </c>
      <c r="H185" s="150">
        <v>754422</v>
      </c>
    </row>
    <row r="186" spans="1:8" ht="11.1" customHeight="1">
      <c r="A186" s="308">
        <v>930000</v>
      </c>
      <c r="B186" s="307" t="s">
        <v>344</v>
      </c>
      <c r="F186" s="30">
        <f t="shared" si="4"/>
        <v>707</v>
      </c>
      <c r="H186" s="150">
        <v>707066</v>
      </c>
    </row>
    <row r="187" spans="1:8" ht="11.1" customHeight="1">
      <c r="A187" s="308">
        <v>931000</v>
      </c>
      <c r="B187" s="307" t="s">
        <v>306</v>
      </c>
      <c r="F187" s="30">
        <f t="shared" si="4"/>
        <v>151</v>
      </c>
      <c r="H187" s="150">
        <v>150508</v>
      </c>
    </row>
    <row r="188" spans="1:8" ht="11.1" customHeight="1">
      <c r="A188" s="308">
        <v>935000</v>
      </c>
      <c r="B188" s="307" t="s">
        <v>345</v>
      </c>
      <c r="F188" s="30">
        <f t="shared" si="4"/>
        <v>1835</v>
      </c>
      <c r="H188" s="150">
        <v>1834523</v>
      </c>
    </row>
    <row r="189" spans="1:8" ht="11.1" customHeight="1">
      <c r="A189" s="305"/>
      <c r="B189" s="307" t="s">
        <v>346</v>
      </c>
      <c r="F189" s="30">
        <f t="shared" si="4"/>
        <v>11883</v>
      </c>
      <c r="H189" s="150">
        <v>11883343</v>
      </c>
    </row>
    <row r="190" spans="1:8" ht="11.1" customHeight="1">
      <c r="A190" s="305"/>
      <c r="B190" s="307"/>
      <c r="F190" s="30">
        <f t="shared" si="4"/>
        <v>0</v>
      </c>
      <c r="H190" s="150"/>
    </row>
    <row r="191" spans="1:8" ht="11.1" customHeight="1">
      <c r="A191" s="305"/>
      <c r="B191" s="307" t="s">
        <v>347</v>
      </c>
      <c r="F191" s="30">
        <f t="shared" si="4"/>
        <v>2514</v>
      </c>
      <c r="H191" s="150">
        <v>2513814</v>
      </c>
    </row>
    <row r="192" spans="1:8" ht="11.1" customHeight="1">
      <c r="A192" s="305"/>
      <c r="B192" s="307" t="s">
        <v>348</v>
      </c>
      <c r="F192" s="30">
        <f t="shared" si="4"/>
        <v>81</v>
      </c>
      <c r="H192" s="150">
        <v>81272</v>
      </c>
    </row>
    <row r="193" spans="1:8" ht="11.1" customHeight="1">
      <c r="A193" s="305"/>
      <c r="B193" s="307" t="s">
        <v>349</v>
      </c>
      <c r="F193" s="30">
        <f t="shared" si="4"/>
        <v>1717</v>
      </c>
      <c r="H193" s="150">
        <v>1717166</v>
      </c>
    </row>
    <row r="194" spans="1:8" ht="11.1" customHeight="1">
      <c r="A194" s="306"/>
      <c r="B194" s="307" t="s">
        <v>350</v>
      </c>
      <c r="F194" s="30">
        <f t="shared" si="4"/>
        <v>4</v>
      </c>
      <c r="H194" s="150">
        <v>4129</v>
      </c>
    </row>
    <row r="195" spans="1:8" ht="11.1" customHeight="1">
      <c r="A195" s="312">
        <v>407025</v>
      </c>
      <c r="B195" s="307" t="s">
        <v>351</v>
      </c>
      <c r="F195" s="30">
        <f t="shared" si="4"/>
        <v>0</v>
      </c>
      <c r="H195" s="150">
        <v>0</v>
      </c>
    </row>
    <row r="196" spans="1:8" ht="11.1" customHeight="1">
      <c r="A196" s="308" t="s">
        <v>352</v>
      </c>
      <c r="B196" s="307" t="s">
        <v>353</v>
      </c>
      <c r="F196" s="30">
        <f t="shared" ref="F196:F197" si="5">ROUND(H196/1000,0)</f>
        <v>11</v>
      </c>
      <c r="H196" s="150">
        <v>11331</v>
      </c>
    </row>
    <row r="197" spans="1:8" ht="11.1" customHeight="1">
      <c r="A197" s="308">
        <v>407229</v>
      </c>
      <c r="B197" s="307" t="s">
        <v>528</v>
      </c>
      <c r="F197" s="30">
        <f t="shared" si="5"/>
        <v>0</v>
      </c>
      <c r="H197" s="150">
        <v>0</v>
      </c>
    </row>
    <row r="198" spans="1:8" ht="11.1" customHeight="1">
      <c r="A198" s="308">
        <v>407329</v>
      </c>
      <c r="B198" s="307" t="s">
        <v>354</v>
      </c>
      <c r="F198" s="30">
        <f t="shared" si="4"/>
        <v>0</v>
      </c>
      <c r="H198" s="150">
        <v>0</v>
      </c>
    </row>
    <row r="199" spans="1:8" ht="11.1" customHeight="1">
      <c r="A199" s="309">
        <v>407335</v>
      </c>
      <c r="B199" s="575" t="s">
        <v>355</v>
      </c>
      <c r="F199" s="30">
        <f t="shared" si="4"/>
        <v>0</v>
      </c>
      <c r="H199" s="150">
        <v>0</v>
      </c>
    </row>
    <row r="200" spans="1:8" ht="11.1" customHeight="1">
      <c r="A200" s="312" t="s">
        <v>356</v>
      </c>
      <c r="B200" s="307" t="s">
        <v>357</v>
      </c>
      <c r="F200" s="30">
        <f t="shared" si="4"/>
        <v>0</v>
      </c>
      <c r="H200" s="150">
        <v>0</v>
      </c>
    </row>
    <row r="201" spans="1:8" ht="11.1" customHeight="1">
      <c r="A201" s="312" t="s">
        <v>476</v>
      </c>
      <c r="B201" s="307" t="s">
        <v>477</v>
      </c>
      <c r="F201" s="30">
        <f t="shared" si="4"/>
        <v>0</v>
      </c>
      <c r="H201" s="150">
        <v>-397</v>
      </c>
    </row>
    <row r="202" spans="1:8" ht="11.1" customHeight="1">
      <c r="A202" s="305"/>
      <c r="B202" s="307" t="s">
        <v>358</v>
      </c>
      <c r="F202" s="30">
        <f t="shared" si="4"/>
        <v>4327</v>
      </c>
      <c r="H202" s="150">
        <v>4327315</v>
      </c>
    </row>
    <row r="203" spans="1:8" ht="11.1" customHeight="1">
      <c r="A203" s="305"/>
      <c r="B203" s="307"/>
      <c r="F203" s="30">
        <f t="shared" si="4"/>
        <v>0</v>
      </c>
      <c r="H203" s="150"/>
    </row>
    <row r="204" spans="1:8" ht="11.1" customHeight="1">
      <c r="A204" s="308"/>
      <c r="B204" s="307" t="s">
        <v>359</v>
      </c>
      <c r="F204" s="30">
        <f t="shared" si="4"/>
        <v>16211</v>
      </c>
      <c r="H204" s="150">
        <v>16210658</v>
      </c>
    </row>
    <row r="205" spans="1:8" ht="11.1" customHeight="1">
      <c r="A205" s="308"/>
      <c r="B205" s="307"/>
      <c r="F205" s="30">
        <f t="shared" si="4"/>
        <v>0</v>
      </c>
      <c r="H205" s="150"/>
    </row>
    <row r="206" spans="1:8" ht="11.1" customHeight="1">
      <c r="A206" s="308"/>
      <c r="B206" s="307" t="s">
        <v>360</v>
      </c>
      <c r="F206" s="30">
        <f t="shared" si="4"/>
        <v>232772</v>
      </c>
      <c r="H206" s="150">
        <v>232771510</v>
      </c>
    </row>
    <row r="207" spans="1:8" ht="11.1" customHeight="1">
      <c r="A207" s="308"/>
      <c r="B207" s="307"/>
      <c r="F207" s="30">
        <f t="shared" si="4"/>
        <v>0</v>
      </c>
      <c r="H207" s="150"/>
    </row>
    <row r="208" spans="1:8" ht="11.1" customHeight="1">
      <c r="A208" s="308"/>
      <c r="B208" s="307" t="s">
        <v>361</v>
      </c>
      <c r="F208" s="30">
        <f t="shared" si="4"/>
        <v>21470</v>
      </c>
      <c r="H208" s="150">
        <v>21470475</v>
      </c>
    </row>
    <row r="209" spans="1:8" ht="11.1" customHeight="1">
      <c r="A209" s="308"/>
      <c r="B209" s="307"/>
      <c r="F209" s="30">
        <f t="shared" si="4"/>
        <v>0</v>
      </c>
      <c r="H209" s="150"/>
    </row>
    <row r="210" spans="1:8" ht="11.1" customHeight="1">
      <c r="A210" s="308"/>
      <c r="B210" s="307" t="s">
        <v>57</v>
      </c>
      <c r="F210" s="30">
        <f t="shared" si="4"/>
        <v>4339</v>
      </c>
      <c r="H210" s="150">
        <v>4339192</v>
      </c>
    </row>
    <row r="211" spans="1:8" ht="11.1" customHeight="1">
      <c r="A211" s="308"/>
      <c r="B211" s="307" t="s">
        <v>362</v>
      </c>
      <c r="F211" s="30">
        <f t="shared" si="4"/>
        <v>2153</v>
      </c>
      <c r="H211" s="150">
        <v>2152726</v>
      </c>
    </row>
    <row r="212" spans="1:8" ht="11.1" customHeight="1">
      <c r="A212" s="308"/>
      <c r="B212" s="307" t="s">
        <v>363</v>
      </c>
      <c r="F212" s="30">
        <f t="shared" si="4"/>
        <v>-22</v>
      </c>
      <c r="H212" s="150">
        <v>-21933</v>
      </c>
    </row>
    <row r="213" spans="1:8" ht="11.1" customHeight="1">
      <c r="A213" s="305"/>
      <c r="B213" s="307" t="s">
        <v>364</v>
      </c>
      <c r="F213" s="30">
        <f t="shared" si="4"/>
        <v>15000</v>
      </c>
      <c r="H213" s="150">
        <v>15000490</v>
      </c>
    </row>
    <row r="214" spans="1:8" ht="11.1" customHeight="1">
      <c r="F214" s="30">
        <f t="shared" si="4"/>
        <v>0</v>
      </c>
    </row>
    <row r="215" spans="1:8" ht="11.1" customHeight="1">
      <c r="A215" s="313"/>
      <c r="B215" s="314" t="s">
        <v>106</v>
      </c>
      <c r="F215" s="30">
        <f t="shared" si="4"/>
        <v>0</v>
      </c>
    </row>
    <row r="216" spans="1:8" ht="11.1" customHeight="1">
      <c r="A216" s="313"/>
      <c r="B216" s="314" t="s">
        <v>365</v>
      </c>
      <c r="F216" s="30">
        <f t="shared" si="4"/>
        <v>0</v>
      </c>
    </row>
    <row r="217" spans="1:8" ht="11.1" customHeight="1">
      <c r="A217" s="315">
        <v>303000</v>
      </c>
      <c r="B217" s="316" t="s">
        <v>366</v>
      </c>
      <c r="F217" s="30">
        <f t="shared" si="4"/>
        <v>1853</v>
      </c>
      <c r="H217" s="150">
        <v>1853111</v>
      </c>
    </row>
    <row r="218" spans="1:8" ht="11.1" customHeight="1">
      <c r="A218" s="317" t="s">
        <v>367</v>
      </c>
      <c r="B218" s="314" t="s">
        <v>368</v>
      </c>
      <c r="F218" s="30">
        <f t="shared" si="4"/>
        <v>9733</v>
      </c>
      <c r="H218" s="150">
        <v>9733131</v>
      </c>
    </row>
    <row r="219" spans="1:8" ht="11.1" customHeight="1">
      <c r="A219" s="318"/>
      <c r="B219" s="314" t="s">
        <v>369</v>
      </c>
      <c r="F219" s="30">
        <f t="shared" si="4"/>
        <v>11586</v>
      </c>
      <c r="H219" s="150">
        <v>11586242</v>
      </c>
    </row>
    <row r="220" spans="1:8" ht="11.1" customHeight="1">
      <c r="A220" s="318"/>
      <c r="B220" s="314"/>
      <c r="F220" s="30">
        <f t="shared" ref="F220:F284" si="6">ROUND(H220/1000,0)</f>
        <v>0</v>
      </c>
      <c r="H220" s="150"/>
    </row>
    <row r="221" spans="1:8" ht="11.1" customHeight="1">
      <c r="A221" s="318"/>
      <c r="B221" s="314" t="s">
        <v>370</v>
      </c>
      <c r="F221" s="30">
        <f t="shared" si="6"/>
        <v>0</v>
      </c>
      <c r="H221" s="150"/>
    </row>
    <row r="222" spans="1:8" ht="11.1" customHeight="1">
      <c r="A222" s="319" t="s">
        <v>371</v>
      </c>
      <c r="B222" s="314" t="s">
        <v>372</v>
      </c>
      <c r="F222" s="30">
        <f t="shared" si="6"/>
        <v>328</v>
      </c>
      <c r="H222" s="150">
        <v>328024</v>
      </c>
    </row>
    <row r="223" spans="1:8" ht="11.1" customHeight="1">
      <c r="A223" s="319" t="s">
        <v>373</v>
      </c>
      <c r="B223" s="314" t="s">
        <v>374</v>
      </c>
      <c r="F223" s="30">
        <f t="shared" si="6"/>
        <v>1066</v>
      </c>
      <c r="H223" s="150">
        <v>1066427</v>
      </c>
    </row>
    <row r="224" spans="1:8" ht="11.1" customHeight="1">
      <c r="A224" s="319" t="s">
        <v>375</v>
      </c>
      <c r="B224" s="314" t="s">
        <v>376</v>
      </c>
      <c r="F224" s="30">
        <f t="shared" si="6"/>
        <v>12970</v>
      </c>
      <c r="H224" s="150">
        <v>12970288</v>
      </c>
    </row>
    <row r="225" spans="1:8" ht="11.1" customHeight="1">
      <c r="A225" s="319">
        <v>353000</v>
      </c>
      <c r="B225" s="314" t="s">
        <v>377</v>
      </c>
      <c r="F225" s="30">
        <f t="shared" si="6"/>
        <v>734</v>
      </c>
      <c r="H225" s="150">
        <v>733954</v>
      </c>
    </row>
    <row r="226" spans="1:8" ht="11.1" customHeight="1">
      <c r="A226" s="319">
        <v>354000</v>
      </c>
      <c r="B226" s="314" t="s">
        <v>378</v>
      </c>
      <c r="F226" s="30">
        <f t="shared" si="6"/>
        <v>8183</v>
      </c>
      <c r="H226" s="150">
        <v>8182828</v>
      </c>
    </row>
    <row r="227" spans="1:8" ht="11.1" customHeight="1">
      <c r="A227" s="319">
        <v>355000</v>
      </c>
      <c r="B227" s="314" t="s">
        <v>379</v>
      </c>
      <c r="F227" s="30">
        <f t="shared" si="6"/>
        <v>219</v>
      </c>
      <c r="H227" s="150">
        <v>219159</v>
      </c>
    </row>
    <row r="228" spans="1:8" ht="11.1" customHeight="1">
      <c r="A228" s="319">
        <v>356000</v>
      </c>
      <c r="B228" s="314" t="s">
        <v>380</v>
      </c>
      <c r="F228" s="30">
        <f t="shared" si="6"/>
        <v>284</v>
      </c>
      <c r="H228" s="150">
        <v>283689</v>
      </c>
    </row>
    <row r="229" spans="1:8" ht="11.1" customHeight="1">
      <c r="A229" s="319">
        <v>357000</v>
      </c>
      <c r="B229" s="314" t="s">
        <v>290</v>
      </c>
      <c r="F229" s="30">
        <f t="shared" si="6"/>
        <v>1148</v>
      </c>
      <c r="H229" s="150">
        <v>1147500</v>
      </c>
    </row>
    <row r="230" spans="1:8" ht="11.1" customHeight="1">
      <c r="A230" s="319"/>
      <c r="B230" s="314" t="s">
        <v>381</v>
      </c>
      <c r="F230" s="30">
        <f t="shared" si="6"/>
        <v>24932</v>
      </c>
      <c r="H230" s="150">
        <v>24931869</v>
      </c>
    </row>
    <row r="231" spans="1:8" ht="11.1" customHeight="1">
      <c r="A231" s="319"/>
      <c r="B231" s="314"/>
      <c r="F231" s="30">
        <f t="shared" si="6"/>
        <v>0</v>
      </c>
      <c r="H231" s="150"/>
    </row>
    <row r="232" spans="1:8" ht="11.1" customHeight="1">
      <c r="A232" s="319"/>
      <c r="B232" s="314" t="s">
        <v>382</v>
      </c>
      <c r="F232" s="30">
        <f t="shared" si="6"/>
        <v>0</v>
      </c>
      <c r="H232" s="150"/>
    </row>
    <row r="233" spans="1:8" ht="11.1" customHeight="1">
      <c r="A233" s="319">
        <v>374200</v>
      </c>
      <c r="B233" s="314" t="s">
        <v>372</v>
      </c>
      <c r="F233" s="30">
        <f t="shared" si="6"/>
        <v>64</v>
      </c>
      <c r="H233" s="150">
        <v>64116</v>
      </c>
    </row>
    <row r="234" spans="1:8" ht="11.1" customHeight="1">
      <c r="A234" s="319">
        <v>374400</v>
      </c>
      <c r="B234" s="314" t="s">
        <v>372</v>
      </c>
      <c r="F234" s="30">
        <f t="shared" si="6"/>
        <v>85</v>
      </c>
      <c r="H234" s="150">
        <v>85168</v>
      </c>
    </row>
    <row r="235" spans="1:8" ht="11.1" customHeight="1">
      <c r="A235" s="319">
        <v>375000</v>
      </c>
      <c r="B235" s="314" t="s">
        <v>374</v>
      </c>
      <c r="F235" s="30">
        <f t="shared" si="6"/>
        <v>593</v>
      </c>
      <c r="H235" s="150">
        <v>593092</v>
      </c>
    </row>
    <row r="236" spans="1:8" ht="11.1" customHeight="1">
      <c r="A236" s="319">
        <v>376000</v>
      </c>
      <c r="B236" s="320" t="s">
        <v>308</v>
      </c>
      <c r="F236" s="30">
        <f t="shared" si="6"/>
        <v>167336</v>
      </c>
      <c r="H236" s="150">
        <v>167336162</v>
      </c>
    </row>
    <row r="237" spans="1:8" ht="11.1" customHeight="1">
      <c r="A237" s="319">
        <v>378000</v>
      </c>
      <c r="B237" s="314" t="s">
        <v>383</v>
      </c>
      <c r="F237" s="30">
        <f t="shared" si="6"/>
        <v>3277</v>
      </c>
      <c r="H237" s="150">
        <v>3277189</v>
      </c>
    </row>
    <row r="238" spans="1:8" ht="11.1" customHeight="1">
      <c r="A238" s="319">
        <v>379000</v>
      </c>
      <c r="B238" s="314" t="s">
        <v>384</v>
      </c>
      <c r="F238" s="30">
        <f t="shared" si="6"/>
        <v>1877</v>
      </c>
      <c r="H238" s="150">
        <v>1877075</v>
      </c>
    </row>
    <row r="239" spans="1:8" ht="11.1" customHeight="1">
      <c r="A239" s="319">
        <v>380000</v>
      </c>
      <c r="B239" s="314" t="s">
        <v>309</v>
      </c>
      <c r="F239" s="30">
        <f t="shared" si="6"/>
        <v>112525</v>
      </c>
      <c r="H239" s="150">
        <v>112525398</v>
      </c>
    </row>
    <row r="240" spans="1:8" ht="11.1" customHeight="1">
      <c r="A240" s="319">
        <v>381000</v>
      </c>
      <c r="B240" s="314" t="s">
        <v>385</v>
      </c>
      <c r="F240" s="30">
        <f t="shared" si="6"/>
        <v>44243</v>
      </c>
      <c r="H240" s="150">
        <v>44243401</v>
      </c>
    </row>
    <row r="241" spans="1:8" ht="11.1" customHeight="1">
      <c r="A241" s="319">
        <v>382000</v>
      </c>
      <c r="B241" s="314" t="s">
        <v>386</v>
      </c>
      <c r="F241" s="30">
        <f t="shared" si="6"/>
        <v>0</v>
      </c>
      <c r="H241" s="150">
        <v>0</v>
      </c>
    </row>
    <row r="242" spans="1:8" ht="11.1" customHeight="1">
      <c r="A242" s="319">
        <v>383000</v>
      </c>
      <c r="B242" s="314" t="s">
        <v>387</v>
      </c>
      <c r="F242" s="30">
        <f t="shared" si="6"/>
        <v>0</v>
      </c>
      <c r="H242" s="150">
        <v>0</v>
      </c>
    </row>
    <row r="243" spans="1:8" ht="11.1" customHeight="1">
      <c r="A243" s="319">
        <v>384000</v>
      </c>
      <c r="B243" s="314" t="s">
        <v>388</v>
      </c>
      <c r="F243" s="30">
        <f t="shared" si="6"/>
        <v>0</v>
      </c>
      <c r="H243" s="150">
        <v>0</v>
      </c>
    </row>
    <row r="244" spans="1:8" ht="11.1" customHeight="1">
      <c r="A244" s="319">
        <v>385000</v>
      </c>
      <c r="B244" s="314" t="s">
        <v>389</v>
      </c>
      <c r="F244" s="30">
        <f t="shared" si="6"/>
        <v>2438</v>
      </c>
      <c r="H244" s="150">
        <v>2437655</v>
      </c>
    </row>
    <row r="245" spans="1:8" ht="11.1" customHeight="1">
      <c r="A245" s="319">
        <v>387000</v>
      </c>
      <c r="B245" s="314" t="s">
        <v>290</v>
      </c>
      <c r="F245" s="30">
        <f t="shared" si="6"/>
        <v>0</v>
      </c>
      <c r="H245" s="150">
        <v>0</v>
      </c>
    </row>
    <row r="246" spans="1:8" ht="11.1" customHeight="1">
      <c r="A246" s="319"/>
      <c r="B246" s="314" t="s">
        <v>390</v>
      </c>
      <c r="F246" s="30">
        <f t="shared" si="6"/>
        <v>332439</v>
      </c>
      <c r="H246" s="150">
        <v>332439256</v>
      </c>
    </row>
    <row r="247" spans="1:8" ht="11.1" customHeight="1">
      <c r="A247" s="319"/>
      <c r="B247" s="314"/>
      <c r="F247" s="30">
        <f t="shared" si="6"/>
        <v>0</v>
      </c>
      <c r="H247" s="150"/>
    </row>
    <row r="248" spans="1:8" ht="11.1" customHeight="1">
      <c r="A248" s="319"/>
      <c r="B248" s="314" t="s">
        <v>391</v>
      </c>
      <c r="F248" s="30">
        <f t="shared" si="6"/>
        <v>0</v>
      </c>
      <c r="H248" s="150"/>
    </row>
    <row r="249" spans="1:8" ht="11.1" customHeight="1">
      <c r="A249" s="319" t="s">
        <v>392</v>
      </c>
      <c r="B249" s="314" t="s">
        <v>372</v>
      </c>
      <c r="F249" s="30">
        <f t="shared" si="6"/>
        <v>1191</v>
      </c>
      <c r="H249" s="150">
        <v>1190982</v>
      </c>
    </row>
    <row r="250" spans="1:8" ht="11.1" customHeight="1">
      <c r="A250" s="317" t="s">
        <v>393</v>
      </c>
      <c r="B250" s="314" t="s">
        <v>374</v>
      </c>
      <c r="F250" s="30">
        <f t="shared" si="6"/>
        <v>16148</v>
      </c>
      <c r="H250" s="150">
        <v>16147879</v>
      </c>
    </row>
    <row r="251" spans="1:8" ht="11.1" customHeight="1">
      <c r="A251" s="317" t="s">
        <v>394</v>
      </c>
      <c r="B251" s="314" t="s">
        <v>395</v>
      </c>
      <c r="F251" s="30">
        <f t="shared" si="6"/>
        <v>7292</v>
      </c>
      <c r="H251" s="150">
        <v>7291522</v>
      </c>
    </row>
    <row r="252" spans="1:8" ht="11.1" customHeight="1">
      <c r="A252" s="317" t="s">
        <v>396</v>
      </c>
      <c r="B252" s="314" t="s">
        <v>397</v>
      </c>
      <c r="F252" s="30">
        <f t="shared" si="6"/>
        <v>7555</v>
      </c>
      <c r="H252" s="150">
        <v>7554602</v>
      </c>
    </row>
    <row r="253" spans="1:8" ht="11.1" customHeight="1">
      <c r="A253" s="319">
        <v>393000</v>
      </c>
      <c r="B253" s="314" t="s">
        <v>398</v>
      </c>
      <c r="F253" s="30">
        <f t="shared" si="6"/>
        <v>462</v>
      </c>
      <c r="H253" s="150">
        <v>461795</v>
      </c>
    </row>
    <row r="254" spans="1:8" ht="11.1" customHeight="1">
      <c r="A254" s="319">
        <v>394000</v>
      </c>
      <c r="B254" s="314" t="s">
        <v>399</v>
      </c>
      <c r="F254" s="30">
        <f t="shared" si="6"/>
        <v>4550</v>
      </c>
      <c r="H254" s="150">
        <v>4549818</v>
      </c>
    </row>
    <row r="255" spans="1:8" ht="11.1" customHeight="1">
      <c r="A255" s="319">
        <v>395000</v>
      </c>
      <c r="B255" s="314" t="s">
        <v>400</v>
      </c>
      <c r="F255" s="30">
        <f t="shared" si="6"/>
        <v>240</v>
      </c>
      <c r="H255" s="150">
        <v>240185</v>
      </c>
    </row>
    <row r="256" spans="1:8" ht="11.1" customHeight="1">
      <c r="A256" s="319" t="s">
        <v>401</v>
      </c>
      <c r="B256" s="314" t="s">
        <v>402</v>
      </c>
      <c r="F256" s="30">
        <f t="shared" si="6"/>
        <v>3609</v>
      </c>
      <c r="H256" s="150">
        <v>3608866</v>
      </c>
    </row>
    <row r="257" spans="1:8" ht="11.1" customHeight="1">
      <c r="A257" s="319" t="s">
        <v>403</v>
      </c>
      <c r="B257" s="314" t="s">
        <v>404</v>
      </c>
      <c r="F257" s="30">
        <f t="shared" si="6"/>
        <v>5970</v>
      </c>
      <c r="H257" s="150">
        <v>5969600</v>
      </c>
    </row>
    <row r="258" spans="1:8" ht="11.1" customHeight="1">
      <c r="A258" s="319">
        <v>398000</v>
      </c>
      <c r="B258" s="314" t="s">
        <v>405</v>
      </c>
      <c r="F258" s="30">
        <f t="shared" si="6"/>
        <v>77</v>
      </c>
      <c r="H258" s="150">
        <v>77289</v>
      </c>
    </row>
    <row r="259" spans="1:8" ht="11.1" customHeight="1">
      <c r="A259" s="319"/>
      <c r="B259" s="314" t="s">
        <v>406</v>
      </c>
      <c r="F259" s="30">
        <f t="shared" si="6"/>
        <v>47093</v>
      </c>
      <c r="H259" s="150">
        <v>47092538</v>
      </c>
    </row>
    <row r="260" spans="1:8" ht="11.1" customHeight="1">
      <c r="A260" s="319"/>
      <c r="B260" s="314"/>
      <c r="F260" s="30">
        <f t="shared" si="6"/>
        <v>0</v>
      </c>
      <c r="H260" s="150"/>
    </row>
    <row r="261" spans="1:8" ht="11.1" customHeight="1">
      <c r="A261" s="319"/>
      <c r="B261" s="314" t="s">
        <v>407</v>
      </c>
      <c r="F261" s="30">
        <f t="shared" si="6"/>
        <v>416050</v>
      </c>
      <c r="H261" s="150">
        <v>416049905</v>
      </c>
    </row>
    <row r="262" spans="1:8" ht="11.1" customHeight="1">
      <c r="A262" s="319"/>
      <c r="B262" s="314"/>
      <c r="F262" s="30">
        <f t="shared" si="6"/>
        <v>0</v>
      </c>
      <c r="H262" s="150"/>
    </row>
    <row r="263" spans="1:8" ht="11.1" customHeight="1">
      <c r="A263" s="319"/>
      <c r="B263" s="314"/>
      <c r="F263" s="30">
        <f t="shared" si="6"/>
        <v>0</v>
      </c>
      <c r="H263" s="150"/>
    </row>
    <row r="264" spans="1:8" ht="11.1" customHeight="1">
      <c r="A264" s="317"/>
      <c r="B264" s="314" t="s">
        <v>66</v>
      </c>
      <c r="F264" s="30">
        <f t="shared" si="6"/>
        <v>0</v>
      </c>
      <c r="H264" s="150"/>
    </row>
    <row r="265" spans="1:8" ht="11.1" customHeight="1">
      <c r="A265" s="317"/>
      <c r="B265" s="314" t="s">
        <v>44</v>
      </c>
      <c r="F265" s="30">
        <f t="shared" si="6"/>
        <v>-9177</v>
      </c>
      <c r="H265" s="150">
        <v>-9177492</v>
      </c>
    </row>
    <row r="266" spans="1:8" ht="11.1" customHeight="1">
      <c r="A266" s="317"/>
      <c r="B266" s="314" t="s">
        <v>63</v>
      </c>
      <c r="F266" s="30">
        <f t="shared" si="6"/>
        <v>-113282</v>
      </c>
      <c r="H266" s="150">
        <v>-113281674</v>
      </c>
    </row>
    <row r="267" spans="1:8" ht="11.1" customHeight="1">
      <c r="A267" s="317"/>
      <c r="B267" s="314" t="s">
        <v>64</v>
      </c>
      <c r="F267" s="30">
        <f t="shared" si="6"/>
        <v>-12527</v>
      </c>
      <c r="H267" s="150">
        <v>-12526737</v>
      </c>
    </row>
    <row r="268" spans="1:8" ht="11.1" customHeight="1">
      <c r="A268" s="313"/>
      <c r="B268" s="314" t="s">
        <v>408</v>
      </c>
      <c r="F268" s="30">
        <f t="shared" si="6"/>
        <v>-134986</v>
      </c>
      <c r="H268" s="150">
        <v>-134985903</v>
      </c>
    </row>
    <row r="269" spans="1:8" ht="11.1" customHeight="1">
      <c r="A269" s="313"/>
      <c r="B269" s="314"/>
      <c r="F269" s="30">
        <f t="shared" si="6"/>
        <v>0</v>
      </c>
      <c r="H269" s="150"/>
    </row>
    <row r="270" spans="1:8" ht="11.1" customHeight="1">
      <c r="A270" s="313"/>
      <c r="B270" s="314" t="s">
        <v>409</v>
      </c>
      <c r="F270" s="30">
        <f t="shared" si="6"/>
        <v>0</v>
      </c>
      <c r="H270" s="150"/>
    </row>
    <row r="271" spans="1:8" ht="11.1" customHeight="1">
      <c r="A271" s="317"/>
      <c r="B271" s="314" t="s">
        <v>410</v>
      </c>
      <c r="F271" s="30">
        <f t="shared" si="6"/>
        <v>-159</v>
      </c>
      <c r="H271" s="150">
        <v>-159376</v>
      </c>
    </row>
    <row r="272" spans="1:8" ht="11.1" customHeight="1">
      <c r="A272" s="317"/>
      <c r="B272" s="314" t="s">
        <v>411</v>
      </c>
      <c r="F272" s="30">
        <f t="shared" si="6"/>
        <v>-4280</v>
      </c>
      <c r="H272" s="150">
        <v>-4280222</v>
      </c>
    </row>
    <row r="273" spans="1:8" ht="11.1" customHeight="1">
      <c r="A273" s="317"/>
      <c r="B273" s="314" t="s">
        <v>44</v>
      </c>
      <c r="F273" s="30">
        <f t="shared" si="6"/>
        <v>-168</v>
      </c>
      <c r="H273" s="150">
        <v>-168429</v>
      </c>
    </row>
    <row r="274" spans="1:8" ht="11.1" customHeight="1">
      <c r="A274" s="317"/>
      <c r="B274" s="314" t="s">
        <v>412</v>
      </c>
      <c r="F274" s="30">
        <f t="shared" si="6"/>
        <v>-32</v>
      </c>
      <c r="H274" s="150">
        <v>-31554</v>
      </c>
    </row>
    <row r="275" spans="1:8" ht="11.1" customHeight="1">
      <c r="A275" s="317"/>
      <c r="B275" s="314" t="s">
        <v>413</v>
      </c>
      <c r="F275" s="30">
        <f t="shared" si="6"/>
        <v>-4640</v>
      </c>
      <c r="H275" s="150">
        <v>-4639581</v>
      </c>
    </row>
    <row r="276" spans="1:8" ht="11.1" customHeight="1">
      <c r="A276" s="317"/>
      <c r="B276" s="314"/>
      <c r="F276" s="30">
        <f t="shared" si="6"/>
        <v>0</v>
      </c>
      <c r="H276" s="150"/>
    </row>
    <row r="277" spans="1:8" ht="11.1" customHeight="1">
      <c r="A277" s="317"/>
      <c r="B277" s="314" t="s">
        <v>414</v>
      </c>
      <c r="F277" s="30">
        <f t="shared" si="6"/>
        <v>-139625</v>
      </c>
      <c r="H277" s="150">
        <v>-139625484</v>
      </c>
    </row>
    <row r="278" spans="1:8" ht="11.1" customHeight="1">
      <c r="A278" s="317"/>
      <c r="B278" s="314"/>
      <c r="F278" s="30">
        <f t="shared" si="6"/>
        <v>0</v>
      </c>
      <c r="H278" s="150"/>
    </row>
    <row r="279" spans="1:8" ht="11.1" customHeight="1">
      <c r="A279" s="313"/>
      <c r="B279" s="314" t="s">
        <v>415</v>
      </c>
      <c r="F279" s="30">
        <f t="shared" si="6"/>
        <v>276424</v>
      </c>
      <c r="H279" s="150">
        <v>276424421</v>
      </c>
    </row>
    <row r="280" spans="1:8" ht="11.1" customHeight="1">
      <c r="A280" s="313"/>
      <c r="B280" s="314"/>
      <c r="F280" s="30">
        <f t="shared" si="6"/>
        <v>0</v>
      </c>
      <c r="H280" s="150"/>
    </row>
    <row r="281" spans="1:8" ht="11.1" customHeight="1">
      <c r="A281" s="321"/>
      <c r="B281" s="322" t="s">
        <v>416</v>
      </c>
      <c r="F281" s="30">
        <f t="shared" si="6"/>
        <v>0</v>
      </c>
      <c r="H281" s="150"/>
    </row>
    <row r="282" spans="1:8" ht="11.1" customHeight="1">
      <c r="A282" s="323">
        <v>282900</v>
      </c>
      <c r="B282" s="322" t="s">
        <v>417</v>
      </c>
      <c r="F282" s="30">
        <f t="shared" si="6"/>
        <v>-45344</v>
      </c>
      <c r="H282" s="150">
        <v>-45344398</v>
      </c>
    </row>
    <row r="283" spans="1:8" ht="11.1" customHeight="1">
      <c r="A283" s="323">
        <v>282900</v>
      </c>
      <c r="B283" s="322" t="s">
        <v>418</v>
      </c>
      <c r="F283" s="30">
        <f t="shared" ref="F283" si="7">ROUND(H283/1000,0)</f>
        <v>-9154</v>
      </c>
      <c r="H283" s="150">
        <v>-9153601</v>
      </c>
    </row>
    <row r="284" spans="1:8" ht="11.1" customHeight="1">
      <c r="A284" s="323">
        <v>283750</v>
      </c>
      <c r="B284" s="322" t="s">
        <v>478</v>
      </c>
      <c r="F284" s="30">
        <f t="shared" si="6"/>
        <v>-78</v>
      </c>
      <c r="H284" s="150">
        <v>-78181</v>
      </c>
    </row>
    <row r="285" spans="1:8" ht="11.1" customHeight="1">
      <c r="A285" s="323">
        <v>283850</v>
      </c>
      <c r="B285" s="322" t="s">
        <v>419</v>
      </c>
      <c r="F285" s="30">
        <f t="shared" ref="F285:F301" si="8">ROUND(H285/1000,0)</f>
        <v>-746</v>
      </c>
      <c r="H285" s="150">
        <v>-746383</v>
      </c>
    </row>
    <row r="286" spans="1:8" ht="11.1" customHeight="1">
      <c r="A286" s="317"/>
      <c r="B286" s="314" t="s">
        <v>420</v>
      </c>
      <c r="F286" s="30">
        <f t="shared" si="8"/>
        <v>-55323</v>
      </c>
      <c r="H286" s="150">
        <v>-55322563</v>
      </c>
    </row>
    <row r="287" spans="1:8" ht="11.1" customHeight="1">
      <c r="A287" s="313"/>
      <c r="B287" s="314"/>
      <c r="F287" s="30">
        <f t="shared" si="8"/>
        <v>0</v>
      </c>
      <c r="H287" s="150"/>
    </row>
    <row r="288" spans="1:8" ht="11.1" customHeight="1">
      <c r="A288" s="313"/>
      <c r="B288" s="314" t="s">
        <v>421</v>
      </c>
      <c r="F288" s="30">
        <f t="shared" si="8"/>
        <v>221102</v>
      </c>
      <c r="H288" s="150">
        <v>221101858</v>
      </c>
    </row>
    <row r="290" spans="1:8" ht="11.1" customHeight="1">
      <c r="A290" s="324"/>
      <c r="B290" s="325" t="s">
        <v>422</v>
      </c>
      <c r="F290" s="30">
        <f t="shared" si="8"/>
        <v>0</v>
      </c>
    </row>
    <row r="291" spans="1:8" ht="11.1" customHeight="1">
      <c r="A291" s="326">
        <v>253850</v>
      </c>
      <c r="B291" s="325" t="s">
        <v>423</v>
      </c>
      <c r="F291" s="30">
        <f t="shared" si="8"/>
        <v>0</v>
      </c>
      <c r="H291" s="150">
        <v>0</v>
      </c>
    </row>
    <row r="292" spans="1:8" ht="11.1" customHeight="1">
      <c r="A292" s="326">
        <v>190850</v>
      </c>
      <c r="B292" s="325" t="s">
        <v>424</v>
      </c>
      <c r="F292" s="30">
        <f t="shared" si="8"/>
        <v>0</v>
      </c>
      <c r="H292" s="150">
        <v>0</v>
      </c>
    </row>
    <row r="293" spans="1:8" ht="11.1" customHeight="1">
      <c r="A293" s="327">
        <v>117100</v>
      </c>
      <c r="B293" s="328" t="s">
        <v>425</v>
      </c>
      <c r="F293" s="30">
        <f t="shared" si="8"/>
        <v>4027</v>
      </c>
      <c r="H293" s="150">
        <v>4027219</v>
      </c>
    </row>
    <row r="294" spans="1:8" ht="11.1" customHeight="1">
      <c r="A294" s="327">
        <v>164100</v>
      </c>
      <c r="B294" s="328" t="s">
        <v>426</v>
      </c>
      <c r="F294" s="30">
        <f t="shared" si="8"/>
        <v>8774</v>
      </c>
      <c r="H294" s="150">
        <v>8774330</v>
      </c>
    </row>
    <row r="295" spans="1:8" ht="11.1" customHeight="1">
      <c r="A295" s="327">
        <v>252000</v>
      </c>
      <c r="B295" s="329" t="s">
        <v>427</v>
      </c>
      <c r="F295" s="30">
        <f t="shared" si="8"/>
        <v>-12</v>
      </c>
      <c r="H295" s="150">
        <v>-11767</v>
      </c>
    </row>
    <row r="296" spans="1:8" ht="11.1" customHeight="1">
      <c r="A296" s="327">
        <v>235199</v>
      </c>
      <c r="B296" s="329" t="s">
        <v>428</v>
      </c>
      <c r="F296" s="30">
        <f t="shared" si="8"/>
        <v>-416</v>
      </c>
      <c r="H296" s="150">
        <v>-416358</v>
      </c>
    </row>
    <row r="297" spans="1:8" ht="11.1" customHeight="1">
      <c r="A297" s="330"/>
      <c r="B297" s="331" t="s">
        <v>429</v>
      </c>
      <c r="F297" s="30">
        <f t="shared" si="8"/>
        <v>0</v>
      </c>
      <c r="H297" s="150">
        <v>0</v>
      </c>
    </row>
    <row r="298" spans="1:8" ht="11.1" customHeight="1">
      <c r="A298" s="327">
        <v>186710</v>
      </c>
      <c r="B298" s="328" t="s">
        <v>430</v>
      </c>
      <c r="F298" s="30">
        <f t="shared" si="8"/>
        <v>0</v>
      </c>
      <c r="H298" s="150">
        <v>0</v>
      </c>
    </row>
    <row r="299" spans="1:8" ht="11.1" customHeight="1">
      <c r="A299" s="329"/>
      <c r="B299" s="325" t="s">
        <v>431</v>
      </c>
      <c r="F299" s="30">
        <f t="shared" si="8"/>
        <v>12373</v>
      </c>
      <c r="H299" s="150">
        <v>12373424</v>
      </c>
    </row>
    <row r="300" spans="1:8" ht="11.1" customHeight="1">
      <c r="A300" s="329"/>
      <c r="B300" s="325"/>
      <c r="F300" s="30">
        <f t="shared" si="8"/>
        <v>0</v>
      </c>
      <c r="H300" s="150"/>
    </row>
    <row r="301" spans="1:8" ht="11.1" customHeight="1">
      <c r="A301" s="329"/>
      <c r="B301" s="325" t="s">
        <v>432</v>
      </c>
      <c r="F301" s="30">
        <f t="shared" si="8"/>
        <v>233475</v>
      </c>
      <c r="H301" s="150">
        <v>233475282</v>
      </c>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A7FDE4436DDBF4D82FDD1C15667C2E2" ma:contentTypeVersion="119" ma:contentTypeDescription="" ma:contentTypeScope="" ma:versionID="c032a4c147a26dcdd45af4d4b25597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F95D6E3-AD4C-4FD6-A328-BB8D46267DA5}"/>
</file>

<file path=customXml/itemProps2.xml><?xml version="1.0" encoding="utf-8"?>
<ds:datastoreItem xmlns:ds="http://schemas.openxmlformats.org/officeDocument/2006/customXml" ds:itemID="{164C2F13-2DF8-4CE9-B6A4-94F244856E01}"/>
</file>

<file path=customXml/itemProps3.xml><?xml version="1.0" encoding="utf-8"?>
<ds:datastoreItem xmlns:ds="http://schemas.openxmlformats.org/officeDocument/2006/customXml" ds:itemID="{7F6303A5-D937-44AC-891D-CFF9805ACC22}"/>
</file>

<file path=customXml/itemProps4.xml><?xml version="1.0" encoding="utf-8"?>
<ds:datastoreItem xmlns:ds="http://schemas.openxmlformats.org/officeDocument/2006/customXml" ds:itemID="{5CCE08B5-5A7E-40AE-A936-19CF6FC54B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PROP0SED RATES-2016</vt:lpstr>
      <vt:lpstr>RR SUMMARY</vt:lpstr>
      <vt:lpstr>CF</vt:lpstr>
      <vt:lpstr>ADJ DETAIL INPUT</vt:lpstr>
      <vt:lpstr>LEAD SHEETS-DO NOT ENTER</vt:lpstr>
      <vt:lpstr>ADJ SUMMARY</vt:lpstr>
      <vt:lpstr>DEBT CALC</vt:lpstr>
      <vt:lpstr>ROO INPUT</vt:lpstr>
      <vt:lpstr>'DEBT CALC'!ID_Elec</vt:lpstr>
      <vt:lpstr>'ADJ DETAIL INPUT'!Print_Area</vt:lpstr>
      <vt:lpstr>'ADJ SUMMARY'!Print_Area</vt:lpstr>
      <vt:lpstr>CF!Print_Area</vt:lpstr>
      <vt:lpstr>'DEBT CALC'!Print_Area</vt:lpstr>
      <vt:lpstr>'LEAD SHEETS-DO NOT ENTER'!Print_Area</vt:lpstr>
      <vt:lpstr>'PROP0SED RATES-2016'!Print_Area</vt:lpstr>
      <vt:lpstr>'ROO INPUT'!Print_Area</vt:lpstr>
      <vt:lpstr>'RR SUMMARY'!Print_Area</vt:lpstr>
      <vt:lpstr>'ADJ DETAIL INPUT'!Print_Titles</vt:lpstr>
      <vt:lpstr>'LEAD SHEETS-DO NOT ENTER'!Print_Titles</vt:lpstr>
      <vt:lpstr>'DEBT CALC'!WA_Elec</vt:lpstr>
    </vt:vector>
  </TitlesOfParts>
  <Company>Micron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2015-02-02T18:22:14Z</cp:lastPrinted>
  <dcterms:created xsi:type="dcterms:W3CDTF">1997-05-15T21:41:44Z</dcterms:created>
  <dcterms:modified xsi:type="dcterms:W3CDTF">2015-02-06T22:45:44Z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0x0101006E56B4D1795A2E4DB2F0B01679ED314A005A7FDE4436DDBF4D82FDD1C15667C2E2</vt:lpwstr>
  </property>
  <property fmtid="{D5CDD505-2E9C-101B-9397-08002B2CF9AE}" pid="3" name="_docset_NoMedatataSyncRequired">
    <vt:lpwstr>False</vt:lpwstr>
  </property>
</Properties>
</file>