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9120" activeTab="0"/>
  </bookViews>
  <sheets>
    <sheet name="A" sheetId="1" r:id="rId1"/>
    <sheet name="B" sheetId="2" r:id="rId2"/>
  </sheets>
  <definedNames>
    <definedName name="A">'B'!$M$658</definedName>
    <definedName name="A_INPUT_FACTORS">'B'!$B$352:$H$381</definedName>
    <definedName name="A_MACROS">'B'!$C$655:$H$687</definedName>
    <definedName name="B">'B'!$R$658</definedName>
    <definedName name="BADDEBTS">'A'!$E$861:$G$877</definedName>
    <definedName name="BALANCESHEET">'A'!$E$659:$K$769</definedName>
    <definedName name="CAPCOST">'B'!$E$415:$H$434</definedName>
    <definedName name="CAPCOSTAA">'A'!$E$403:$H$422</definedName>
    <definedName name="CASECOMPARE">'A'!$E$595:$H$654</definedName>
    <definedName name="CASECOMPARE2">'A'!$E$595:$J$654</definedName>
    <definedName name="D">'B'!$W$658</definedName>
    <definedName name="EFFECTIVETAX">'A'!$E$774:$G$798</definedName>
    <definedName name="FACTORS">'B'!$E$352:$H$374</definedName>
    <definedName name="FACTORSAA">'A'!$E$340:$H$369</definedName>
    <definedName name="G">'B'!$D$658</definedName>
    <definedName name="NET_GROSS">'B'!$E$384:$H$412</definedName>
    <definedName name="NET_GROSSAA">'A'!$E$372:$H$400</definedName>
    <definedName name="P1_A">'B'!$E$236:$J$302</definedName>
    <definedName name="P1_AAA">'A'!$E$228:$J$290</definedName>
    <definedName name="P1_B">'B'!$E$307:$J$348</definedName>
    <definedName name="P1_BAA">'A'!$E$295:$J$336</definedName>
    <definedName name="P2_A">'B'!$K$236:$P$302</definedName>
    <definedName name="P2_AAA">'A'!$K$228:$P$290</definedName>
    <definedName name="P2_B">'B'!$K$307:$P$348</definedName>
    <definedName name="P2_BAA">'A'!$K$295:$P$336</definedName>
    <definedName name="P3_A">'B'!$Q$236:$V$302</definedName>
    <definedName name="P3_AAA">'A'!$Q$228:$U$290</definedName>
    <definedName name="P3_B">'B'!$Q$307:$V$348</definedName>
    <definedName name="P3_BAA">'A'!$Q$295:$U$336</definedName>
    <definedName name="P4_A">'B'!$W$236:$AB$302</definedName>
    <definedName name="P4_B">'B'!$W$307:$AB$348</definedName>
    <definedName name="P5_A">'B'!$AC$236:$AH$302</definedName>
    <definedName name="P5_B">'B'!$AC$307:$AH$348</definedName>
    <definedName name="PRODEBT">'B'!$E$438:$H$469</definedName>
    <definedName name="PRODEBTAA">'A'!$E$426:$H$457</definedName>
    <definedName name="R">'B'!$AB$658</definedName>
    <definedName name="RA1A">'B'!$E$119:$J$185</definedName>
    <definedName name="RA1AAA">'A'!$E$115:$J$177</definedName>
    <definedName name="RA1B">'B'!$E$190:$J$231</definedName>
    <definedName name="RA1BAA">'A'!$E$182:$J$223</definedName>
    <definedName name="RA2A">'B'!$K$119:$P$185</definedName>
    <definedName name="RA2AAA">'A'!$K$115:$P$177</definedName>
    <definedName name="RA2B">'B'!$K$190:$P$231</definedName>
    <definedName name="RA2BAA">'A'!$K$182:$P$223</definedName>
    <definedName name="RA3A">'B'!$Q$119:$V$185</definedName>
    <definedName name="RA3B">'B'!$Q$190:$V$231</definedName>
    <definedName name="RA4A">'B'!$W$119:$AB$185</definedName>
    <definedName name="RA4B">'B'!$W$190:$AB$231</definedName>
    <definedName name="RA5A">'B'!$AC$119:$AH$185</definedName>
    <definedName name="RA5B">'B'!$AC$190:$AH$231</definedName>
    <definedName name="RATEEFFECT">'B'!$E$559:$H$604</definedName>
    <definedName name="RATEEFFECTAA">'A'!$E$547:$H$592</definedName>
    <definedName name="REVENUE_REQAA">'A'!$E$461:$F$489</definedName>
    <definedName name="REVENUE_REQUIRE">'B'!$E$473:$F$496</definedName>
    <definedName name="S">'B'!$I$658</definedName>
    <definedName name="SUMMARY_CASE">'B'!$E$498:$H$552</definedName>
    <definedName name="SUMMARY_CASEAA">'A'!$E$491:$H$540</definedName>
    <definedName name="SUMMARY1">'B'!$E$3:$K$70</definedName>
    <definedName name="SUMMARY1AA">'A'!$E$3:$K$66</definedName>
    <definedName name="SUMMARY2">'B'!$E$75:$K$116</definedName>
    <definedName name="SUMMARY2AA">'A'!$E$71:$K$112</definedName>
    <definedName name="U">'B'!$AH$658</definedName>
    <definedName name="UNCONTESTED">'A'!$E$802:$H$857</definedName>
    <definedName name="UNCONTESTED2">'A'!$E$802:$J$857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<sst xmlns="http://schemas.openxmlformats.org/spreadsheetml/2006/main" count="2775" uniqueCount="803">
  <si>
    <t>CTRL-S WUTC STAFF CASE  CTRL-R COMPANY  CASE, CTRL U UNCONTESTED</t>
  </si>
  <si>
    <t>CTRL-A APPENDIX A CASE COMPARE,  CTRL-B APPENDIX B CASE COMPARECOMPANY  CASE</t>
  </si>
  <si>
    <t>CTRL D APPENDIX ? RATE DESIGN</t>
  </si>
  <si>
    <t>SUMMARY1</t>
  </si>
  <si>
    <t>FEDERAL TAX SW 0 = ON</t>
  </si>
  <si>
    <t>Summary Page 1</t>
  </si>
  <si>
    <t>PER COMPANY BRIEF EXHIBIT 1</t>
  </si>
  <si>
    <t>Adjusted</t>
  </si>
  <si>
    <t>Per Books</t>
  </si>
  <si>
    <t>Total</t>
  </si>
  <si>
    <t>Restated</t>
  </si>
  <si>
    <t>Pro forma</t>
  </si>
  <si>
    <t>Revenue</t>
  </si>
  <si>
    <t>Pro Forma</t>
  </si>
  <si>
    <t>Line</t>
  </si>
  <si>
    <t>Results of</t>
  </si>
  <si>
    <t>Restating</t>
  </si>
  <si>
    <t>(Excess) or</t>
  </si>
  <si>
    <t>No.</t>
  </si>
  <si>
    <t>Description</t>
  </si>
  <si>
    <t>Source</t>
  </si>
  <si>
    <t>Operations</t>
  </si>
  <si>
    <t>Adustments</t>
  </si>
  <si>
    <t>Adjustments</t>
  </si>
  <si>
    <t>Deficiency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</si>
  <si>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</si>
  <si>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</si>
  <si>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</si>
  <si>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</si>
  <si>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</si>
  <si>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</si>
  <si>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</si>
  <si>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</si>
  <si>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</si>
  <si>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OPERATING REVENUES</t>
  </si>
  <si>
    <t xml:space="preserve">  Unmetered Sales</t>
  </si>
  <si>
    <t>Input</t>
  </si>
  <si>
    <t xml:space="preserve">  Metered Sales</t>
  </si>
  <si>
    <t xml:space="preserve">  Treatment Surcharge Expense</t>
  </si>
  <si>
    <t xml:space="preserve">  Fire Flow</t>
  </si>
  <si>
    <t xml:space="preserve">      Sub-Total Operating Revenue</t>
  </si>
  <si>
    <t xml:space="preserve">  Miscellaneous Service Revenue</t>
  </si>
  <si>
    <t xml:space="preserve">    TOTAL OPERATING REVENUE</t>
  </si>
  <si>
    <t>OPERATING &amp; MAINTENANCE EXPENSE</t>
  </si>
  <si>
    <t xml:space="preserve">  Salaries-Employees</t>
  </si>
  <si>
    <t xml:space="preserve">  Salaries-Officers</t>
  </si>
  <si>
    <t xml:space="preserve">  Employment Benefits</t>
  </si>
  <si>
    <t xml:space="preserve">  Purchase Power</t>
  </si>
  <si>
    <t xml:space="preserve">  Chemical Testing</t>
  </si>
  <si>
    <t xml:space="preserve">  Materials &amp; Supplies</t>
  </si>
  <si>
    <t xml:space="preserve">  Contract Services-Engineering</t>
  </si>
  <si>
    <t xml:space="preserve">  Contract Services-Accounting</t>
  </si>
  <si>
    <t xml:space="preserve">  Contract Services-Legal</t>
  </si>
  <si>
    <t xml:space="preserve">  Contract Services-Other</t>
  </si>
  <si>
    <t xml:space="preserve">  Equipment Rent</t>
  </si>
  <si>
    <t xml:space="preserve">  Building Rent</t>
  </si>
  <si>
    <t xml:space="preserve">  Transportation Expense</t>
  </si>
  <si>
    <t xml:space="preserve">  Insurance-Vehicle</t>
  </si>
  <si>
    <t xml:space="preserve">  Insurance-General Liability</t>
  </si>
  <si>
    <t xml:space="preserve">  Regulatory Commission Expense</t>
  </si>
  <si>
    <t xml:space="preserve">  Miscellaneous Expense</t>
  </si>
  <si>
    <t xml:space="preserve">  Depreciation-Amortization</t>
  </si>
  <si>
    <t xml:space="preserve">  Bad Debt</t>
  </si>
  <si>
    <t xml:space="preserve">  Taxes Other Than Income</t>
  </si>
  <si>
    <t xml:space="preserve">  Rate Case Expense</t>
  </si>
  <si>
    <t>TOTAL OPERATING EXPENSES</t>
  </si>
  <si>
    <t>UTILITY OPERATING INCOME BEFORE FIT</t>
  </si>
  <si>
    <t>FEDERAL INCOME TAX (C-Corp Rates)</t>
  </si>
  <si>
    <t>TOTAL OPERATING EXPENSE. &amp; FIT</t>
  </si>
  <si>
    <t>NET OPERATING INCOME</t>
  </si>
  <si>
    <t>RATE BASE</t>
  </si>
  <si>
    <t xml:space="preserve">    Total Plant In Service</t>
  </si>
  <si>
    <t xml:space="preserve">    Total Accumulated Depreciation &amp; Amort.</t>
  </si>
  <si>
    <t xml:space="preserve">         Net Plant In Service</t>
  </si>
  <si>
    <t xml:space="preserve">    Net Contributions In Aid of Construction</t>
  </si>
  <si>
    <t xml:space="preserve">    Total Accumulated Deferred Taxes</t>
  </si>
  <si>
    <t xml:space="preserve">    Investor-Supplied Working Capital Allowance</t>
  </si>
  <si>
    <t xml:space="preserve">  TOTAL RATE BASE</t>
  </si>
  <si>
    <t xml:space="preserve">  RATE OF RETURN ON RATE BASE- %</t>
  </si>
  <si>
    <t xml:space="preserve">       NOI (EXCESS) or DEFICIENCY</t>
  </si>
  <si>
    <t>SUMMARY2</t>
  </si>
  <si>
    <t>DETAIL OF INCOME TAXES AND RATE BASE</t>
  </si>
  <si>
    <t>Summary Page 2</t>
  </si>
  <si>
    <t>As Recorded</t>
  </si>
  <si>
    <t>FEDERAL INCOME TAXES:</t>
  </si>
  <si>
    <t>Operating Income Before FIT:</t>
  </si>
  <si>
    <t>Other Income</t>
  </si>
  <si>
    <t>FIT - Net Deductions</t>
  </si>
  <si>
    <t>Taxable Income</t>
  </si>
  <si>
    <t>Net Federal Income Tax</t>
  </si>
  <si>
    <t xml:space="preserve">      *** OR ***</t>
  </si>
  <si>
    <t>Federal Income Taxes - Direct Input</t>
  </si>
  <si>
    <t>PLANT IN SERVICE</t>
  </si>
  <si>
    <t xml:space="preserve">   Utility Plant In Service</t>
  </si>
  <si>
    <t xml:space="preserve">       TOTAL PLANT IN SERVICE</t>
  </si>
  <si>
    <t>ACCUMULATED DEPRECIATION</t>
  </si>
  <si>
    <t>ACCUM. PROVISION FOR AMORTIZATION</t>
  </si>
  <si>
    <t xml:space="preserve">      TOTAL ACCUM. DEPR. &amp; AMORT.</t>
  </si>
  <si>
    <t>NET CONTRIB. IN AID OF CONSTRUCTION</t>
  </si>
  <si>
    <t>ACCUMULATED DEFERRED TAXES</t>
  </si>
  <si>
    <t>INVESTOR SUPPLIED WORKING CAPITAL</t>
  </si>
  <si>
    <t>NET RATE BASE</t>
  </si>
  <si>
    <t>XXX</t>
  </si>
  <si>
    <t>RESTATING1</t>
  </si>
  <si>
    <t>RESTATING ADJUSTMENTS TO INCOME</t>
  </si>
  <si>
    <t>Restating Adj.  Page 1</t>
  </si>
  <si>
    <t>Restating Adj.  Page 3</t>
  </si>
  <si>
    <t>Restating Adj.  Page 5</t>
  </si>
  <si>
    <t>Restating Adj.  Page 7</t>
  </si>
  <si>
    <t>Restating Adj.  Page 9</t>
  </si>
  <si>
    <t>C-RA-1</t>
  </si>
  <si>
    <t>C-RA-2</t>
  </si>
  <si>
    <t>C-RA-3</t>
  </si>
  <si>
    <t>RA-6</t>
  </si>
  <si>
    <t>RA-7</t>
  </si>
  <si>
    <t>RA-8</t>
  </si>
  <si>
    <t>RA-9</t>
  </si>
  <si>
    <t>RA-10</t>
  </si>
  <si>
    <t>RA-11</t>
  </si>
  <si>
    <t>RA-12</t>
  </si>
  <si>
    <t>RA-13</t>
  </si>
  <si>
    <t>RA-15</t>
  </si>
  <si>
    <t>RA-16</t>
  </si>
  <si>
    <t>RA-17</t>
  </si>
  <si>
    <t>RA-18</t>
  </si>
  <si>
    <t>RA-19</t>
  </si>
  <si>
    <t>RA-##</t>
  </si>
  <si>
    <t>RA-PC-01</t>
  </si>
  <si>
    <t>RA-PC-02</t>
  </si>
  <si>
    <t>RA-PC-03</t>
  </si>
  <si>
    <t>RA-PC-05</t>
  </si>
  <si>
    <t>RA-PC-06</t>
  </si>
  <si>
    <t xml:space="preserve">Restate </t>
  </si>
  <si>
    <t>Adjust To</t>
  </si>
  <si>
    <t>Surcharge</t>
  </si>
  <si>
    <t>Bad Debt</t>
  </si>
  <si>
    <t>Average</t>
  </si>
  <si>
    <t>Revenues</t>
  </si>
  <si>
    <t>For 2000</t>
  </si>
  <si>
    <t>Rate Base</t>
  </si>
  <si>
    <t>(J)</t>
  </si>
  <si>
    <t>(K)</t>
  </si>
  <si>
    <t>(L)</t>
  </si>
  <si>
    <t>(M)</t>
  </si>
  <si>
    <t>(N)</t>
  </si>
  <si>
    <t>(P)</t>
  </si>
  <si>
    <t>(R)</t>
  </si>
  <si>
    <t>(S)</t>
  </si>
  <si>
    <t>(Q)</t>
  </si>
  <si>
    <t>(Z)</t>
  </si>
  <si>
    <t>(Y)</t>
  </si>
  <si>
    <t>(AA)</t>
  </si>
  <si>
    <t>(AB)</t>
  </si>
  <si>
    <t>(AC)</t>
  </si>
  <si>
    <t>(AD)</t>
  </si>
  <si>
    <t>(AE)</t>
  </si>
  <si>
    <t>(AF)</t>
  </si>
  <si>
    <t>RESTATING2</t>
  </si>
  <si>
    <t xml:space="preserve">RESTATING ADJUSTMENTS </t>
  </si>
  <si>
    <t>DETAIL OF ADJUSTMENTS TO TAXES AND RATE BASE</t>
  </si>
  <si>
    <t>Restating Adj.  Page 2</t>
  </si>
  <si>
    <t>Restating Adj.  Page 4</t>
  </si>
  <si>
    <t>Restating Adj.  Page 6</t>
  </si>
  <si>
    <t>Restating Adj.  Page 8</t>
  </si>
  <si>
    <t>Restating Adj.  Page 10</t>
  </si>
  <si>
    <t>Other Operating Income</t>
  </si>
  <si>
    <t>PROFORMA1</t>
  </si>
  <si>
    <t>PROFORMA ADJUSTMENTS TO INCOME</t>
  </si>
  <si>
    <t>Pro Forma Adj.  Page 1</t>
  </si>
  <si>
    <t>Pro Forma Adj.  Page 3</t>
  </si>
  <si>
    <t>Pro Forma Adj.  Page 5</t>
  </si>
  <si>
    <t>Pro Forma Adj.  Page 7</t>
  </si>
  <si>
    <t>Pro Forma Adj.  Page 9</t>
  </si>
  <si>
    <t>C-PA-1</t>
  </si>
  <si>
    <t>C-PA-2</t>
  </si>
  <si>
    <t>C-PA-3</t>
  </si>
  <si>
    <t>C-PA-4</t>
  </si>
  <si>
    <t>C-PA-5</t>
  </si>
  <si>
    <t>C-PA-6</t>
  </si>
  <si>
    <t>C-PA-7</t>
  </si>
  <si>
    <t>C-PA-8</t>
  </si>
  <si>
    <t>C-PA-9A</t>
  </si>
  <si>
    <t>C-PA-10</t>
  </si>
  <si>
    <t>S-RA-16</t>
  </si>
  <si>
    <t>C-RA-4</t>
  </si>
  <si>
    <t>C-PA-9B</t>
  </si>
  <si>
    <t>P-15</t>
  </si>
  <si>
    <t>P-16</t>
  </si>
  <si>
    <t>P-17</t>
  </si>
  <si>
    <t>P-18</t>
  </si>
  <si>
    <t>P-19</t>
  </si>
  <si>
    <t>P-##</t>
  </si>
  <si>
    <t>Reduce</t>
  </si>
  <si>
    <t>Medical/</t>
  </si>
  <si>
    <t>Rate</t>
  </si>
  <si>
    <t>Insurance</t>
  </si>
  <si>
    <t>Purchase New</t>
  </si>
  <si>
    <t>Purchase (2)</t>
  </si>
  <si>
    <t>Working</t>
  </si>
  <si>
    <t>Salaries</t>
  </si>
  <si>
    <t>Depreciation</t>
  </si>
  <si>
    <t>Indian</t>
  </si>
  <si>
    <t>Dental</t>
  </si>
  <si>
    <t>Case</t>
  </si>
  <si>
    <t>Increase</t>
  </si>
  <si>
    <t>Generator</t>
  </si>
  <si>
    <t>Power</t>
  </si>
  <si>
    <t>Billing</t>
  </si>
  <si>
    <t>Meter</t>
  </si>
  <si>
    <t>Developer</t>
  </si>
  <si>
    <t>Capital</t>
  </si>
  <si>
    <t>Owner/</t>
  </si>
  <si>
    <t>Adj. Owner's</t>
  </si>
  <si>
    <t>Employees</t>
  </si>
  <si>
    <t>Springs Rates</t>
  </si>
  <si>
    <t>Increase Adj.</t>
  </si>
  <si>
    <t>Expense</t>
  </si>
  <si>
    <t>Adjustment</t>
  </si>
  <si>
    <t>O&amp;M</t>
  </si>
  <si>
    <t>Software</t>
  </si>
  <si>
    <t>Jeeps</t>
  </si>
  <si>
    <t>Lawsuit</t>
  </si>
  <si>
    <t>Allowance</t>
  </si>
  <si>
    <t>Operator</t>
  </si>
  <si>
    <t>Vehicle</t>
  </si>
  <si>
    <t>====&gt;</t>
  </si>
  <si>
    <t>=====&gt;</t>
  </si>
  <si>
    <t>PROFORMA2</t>
  </si>
  <si>
    <t>PROFORMA ADJUSTMENTS</t>
  </si>
  <si>
    <t>Proforma Adj.   Page 2</t>
  </si>
  <si>
    <t>Proforma Adj.   Page 4</t>
  </si>
  <si>
    <t>Proforma Adj.   Page 6</t>
  </si>
  <si>
    <t>Proforma Adj.   Page 8</t>
  </si>
  <si>
    <t>Proforma Adj.   Page 10</t>
  </si>
  <si>
    <t>P-20</t>
  </si>
  <si>
    <t>P-21</t>
  </si>
  <si>
    <t>P-22</t>
  </si>
  <si>
    <t>P-23</t>
  </si>
  <si>
    <t>P-24</t>
  </si>
  <si>
    <t>P-25</t>
  </si>
  <si>
    <t>P-26</t>
  </si>
  <si>
    <t>P-27</t>
  </si>
  <si>
    <t>P-28</t>
  </si>
  <si>
    <t>P-29</t>
  </si>
  <si>
    <t>20979+46026</t>
  </si>
  <si>
    <t>FACTOR INPUT SHEET</t>
  </si>
  <si>
    <t>RAINIER VIEW WATER CO., INC.</t>
  </si>
  <si>
    <t>Company Rebuttal</t>
  </si>
  <si>
    <t>FACTOR INPUT</t>
  </si>
  <si>
    <t>PRO FORMA INCOME STATEMENT</t>
  </si>
  <si>
    <t>Docket No. UW-010877</t>
  </si>
  <si>
    <t>FOR THE 12 MONTHS ENDED DECEMBER 31, 2000</t>
  </si>
  <si>
    <t>Page 1 of 1</t>
  </si>
  <si>
    <t>Percent</t>
  </si>
  <si>
    <t>Ln #</t>
  </si>
  <si>
    <t>Recommended</t>
  </si>
  <si>
    <t xml:space="preserve">  Decimal Factor</t>
  </si>
  <si>
    <t xml:space="preserve">   Test Period 12 Months Ending Year</t>
  </si>
  <si>
    <t>N/a</t>
  </si>
  <si>
    <t xml:space="preserve">   Net-To-Gross Revenue Conversion Factor</t>
  </si>
  <si>
    <t xml:space="preserve">   Recommended Rate of Return</t>
  </si>
  <si>
    <t xml:space="preserve">   Uncollectible Factor</t>
  </si>
  <si>
    <t xml:space="preserve">   Utility Tax</t>
  </si>
  <si>
    <t xml:space="preserve">   WUTC Regulatory Fee</t>
  </si>
  <si>
    <t xml:space="preserve">   Federal Tax Rate</t>
  </si>
  <si>
    <t>CONVERSION FACTOR</t>
  </si>
  <si>
    <t>GROSS REVENUE CONVERSION FACTOR</t>
  </si>
  <si>
    <t>REVENUE</t>
  </si>
  <si>
    <t>SENSITIVE</t>
  </si>
  <si>
    <t>STATUTORY</t>
  </si>
  <si>
    <t>DESCRIPTION</t>
  </si>
  <si>
    <t>SOURCE</t>
  </si>
  <si>
    <t>RATES</t>
  </si>
  <si>
    <t>TAX RATE</t>
  </si>
  <si>
    <t xml:space="preserve">  REVENUES</t>
  </si>
  <si>
    <t>Constant</t>
  </si>
  <si>
    <t xml:space="preserve">  EXPENSES:</t>
  </si>
  <si>
    <t xml:space="preserve">  LESS: PROVISION FOR UNCOLLECTIBLES</t>
  </si>
  <si>
    <t xml:space="preserve">            WUTC REGULATORY FEE</t>
  </si>
  <si>
    <t xml:space="preserve">            UTILITY TAX</t>
  </si>
  <si>
    <t xml:space="preserve">              TOTAL REVENUE SENSITIVE EXPENSES</t>
  </si>
  <si>
    <t>+ Ln 2...Ln 6</t>
  </si>
  <si>
    <t xml:space="preserve">  TAXABLE INCOME BEFORE FIT</t>
  </si>
  <si>
    <t>Ln 1 - Ln 7</t>
  </si>
  <si>
    <t xml:space="preserve">  LESS: FEDERAL INCOME TAX</t>
  </si>
  <si>
    <t xml:space="preserve">  NET TO GROSS CONVERSION FACTOR</t>
  </si>
  <si>
    <t>Ln 8 - Ln 9</t>
  </si>
  <si>
    <t xml:space="preserve">  GROSS REVENUE CONVERSION FACTOR - MULTIPLIER</t>
  </si>
  <si>
    <t>1/Ln 9</t>
  </si>
  <si>
    <t>COST OF CAPITAL</t>
  </si>
  <si>
    <t>REVIEW OF COST OF CAPITAL</t>
  </si>
  <si>
    <t>Debt</t>
  </si>
  <si>
    <t>Weighed</t>
  </si>
  <si>
    <t>Outstanding</t>
  </si>
  <si>
    <t>WEIGHTED</t>
  </si>
  <si>
    <t>AMOUNT</t>
  </si>
  <si>
    <t>CAPITAL</t>
  </si>
  <si>
    <t>COST</t>
  </si>
  <si>
    <t>($000)</t>
  </si>
  <si>
    <t>STRUCTURE</t>
  </si>
  <si>
    <t>[See Note]</t>
  </si>
  <si>
    <t>(%)</t>
  </si>
  <si>
    <t xml:space="preserve">  DEBT</t>
  </si>
  <si>
    <t xml:space="preserve">  COMMON EQUITY</t>
  </si>
  <si>
    <t xml:space="preserve">  TOTALS</t>
  </si>
  <si>
    <t>check ==&gt;</t>
  </si>
  <si>
    <t>CALCULATION OF PRO FORMA DEBT ADJUSTMENT</t>
  </si>
  <si>
    <t>PROFORMA DEBT</t>
  </si>
  <si>
    <t>LINE</t>
  </si>
  <si>
    <t>FEDERAL</t>
  </si>
  <si>
    <t>OTHER</t>
  </si>
  <si>
    <t>TOTAL</t>
  </si>
  <si>
    <t>NO.</t>
  </si>
  <si>
    <t xml:space="preserve">  TOTAL PRO FORMA RATE BASE</t>
  </si>
  <si>
    <t>PRO FORMA PG1</t>
  </si>
  <si>
    <t xml:space="preserve">  ADDED CWIP</t>
  </si>
  <si>
    <t>INPUT</t>
  </si>
  <si>
    <t xml:space="preserve">      TOTAL RATE BASE &amp; CWIP</t>
  </si>
  <si>
    <t>Ln 1 + Ln 2</t>
  </si>
  <si>
    <t xml:space="preserve">  WEIGHTED COST OF DEBT</t>
  </si>
  <si>
    <t>RECOMMENDED</t>
  </si>
  <si>
    <t xml:space="preserve">  PRO FORMA INTEREST EXPENSE</t>
  </si>
  <si>
    <t>Ln 3 x Ln 4</t>
  </si>
  <si>
    <t xml:space="preserve">  ACTUAL INTEREST EXPENSE</t>
  </si>
  <si>
    <t>PER BOOKS</t>
  </si>
  <si>
    <t xml:space="preserve">  CHANGE IN INTEREST EXPENSE</t>
  </si>
  <si>
    <t>Ln 5 - Ln 6</t>
  </si>
  <si>
    <t xml:space="preserve">  FEDERAL/OTHER INC. TAX RATE</t>
  </si>
  <si>
    <t>CURRENT RATE</t>
  </si>
  <si>
    <t xml:space="preserve">  FED./OTHER INCOME TAX EFFECT</t>
  </si>
  <si>
    <t>Ln 7 x Ln 8</t>
  </si>
  <si>
    <t xml:space="preserve">  LESS DEDUCTION FOR "OTHER"</t>
  </si>
  <si>
    <t>OTHER x FIT RATE</t>
  </si>
  <si>
    <t xml:space="preserve">  NET OPERATING INCOME EFFECT</t>
  </si>
  <si>
    <t>- Ln 9 + Ln 10</t>
  </si>
  <si>
    <t>REVENUE REQUIREMENT</t>
  </si>
  <si>
    <t>CALCULATION OF REVENUE REQUIREMENT</t>
  </si>
  <si>
    <t>LN #</t>
  </si>
  <si>
    <t xml:space="preserve">   Total Pro Forma Rate Base</t>
  </si>
  <si>
    <t xml:space="preserve">   Proposed Rate of Return</t>
  </si>
  <si>
    <t xml:space="preserve">   Net Operating Income Requirement</t>
  </si>
  <si>
    <t>Ln 1 x (Ln 2/100)</t>
  </si>
  <si>
    <t>Switch</t>
  </si>
  <si>
    <t xml:space="preserve">   Pro Forma Net Operating Income</t>
  </si>
  <si>
    <t xml:space="preserve">   Net Operating Income (Excess) or Deficiency</t>
  </si>
  <si>
    <t>Ln 3 - Ln 4</t>
  </si>
  <si>
    <t xml:space="preserve">   Conversion Factor</t>
  </si>
  <si>
    <t xml:space="preserve">   Revenue (Excess) or Deficiency</t>
  </si>
  <si>
    <t>Calculated</t>
  </si>
  <si>
    <t xml:space="preserve">   Indicated Percent Increase (Decrease)</t>
  </si>
  <si>
    <t xml:space="preserve">  Company's Proposed Increase In Revenues</t>
  </si>
  <si>
    <t>Company Proposed</t>
  </si>
  <si>
    <t xml:space="preserve">  Company's Proposed Increase %</t>
  </si>
  <si>
    <t>CALCULATION OF RELATIVE EFFECT OF EACH ADJUSTMENT ON ROR</t>
  </si>
  <si>
    <t>FACTORS</t>
  </si>
  <si>
    <t>With Kettle Falls</t>
  </si>
  <si>
    <t>SUMMARY_CASE</t>
  </si>
  <si>
    <t>SUMMARY PRO FORMA INCOME STATEMENT</t>
  </si>
  <si>
    <t>Net-to-Gross Factor</t>
  </si>
  <si>
    <t>Impact On</t>
  </si>
  <si>
    <t>Net</t>
  </si>
  <si>
    <t>(Excess) Or</t>
  </si>
  <si>
    <t>Target Overall Return</t>
  </si>
  <si>
    <t>Operating</t>
  </si>
  <si>
    <t>of</t>
  </si>
  <si>
    <t>Income</t>
  </si>
  <si>
    <t>Base</t>
  </si>
  <si>
    <t>Return</t>
  </si>
  <si>
    <t xml:space="preserve">Proportion to </t>
  </si>
  <si>
    <t>Input adjustment number</t>
  </si>
  <si>
    <t>ACTUAL RESULTS OF OPERATIONS</t>
  </si>
  <si>
    <t>Total Weighted</t>
  </si>
  <si>
    <t>Weighted Effect</t>
  </si>
  <si>
    <t>ADJUSTMENT INPUT DESCRIPTION</t>
  </si>
  <si>
    <t xml:space="preserve">  See Column S ====&gt;</t>
  </si>
  <si>
    <t>Percentage Effect</t>
  </si>
  <si>
    <t>Effect</t>
  </si>
  <si>
    <t>Of Each Adjustment</t>
  </si>
  <si>
    <t>RESTATING ADJUSTMENTS</t>
  </si>
  <si>
    <t xml:space="preserve">  C-RA-01</t>
  </si>
  <si>
    <t>Restate Surcharge Revenues</t>
  </si>
  <si>
    <t xml:space="preserve">  C-RA-02</t>
  </si>
  <si>
    <t>Bad Debt For 2000</t>
  </si>
  <si>
    <t xml:space="preserve">  C-RA-03</t>
  </si>
  <si>
    <t>Adj. to Average Rate Base</t>
  </si>
  <si>
    <t xml:space="preserve">  RA-##</t>
  </si>
  <si>
    <t xml:space="preserve">  "</t>
  </si>
  <si>
    <t xml:space="preserve"> TOTAL RESTATING ADJUSTMENTS</t>
  </si>
  <si>
    <t>SUBTOTAL</t>
  </si>
  <si>
    <t xml:space="preserve"> RESTATED RESULTS OF OPERATIONS</t>
  </si>
  <si>
    <t xml:space="preserve"> PRO FORMA ADJUSTMENTS</t>
  </si>
  <si>
    <t>C-PA-1A</t>
  </si>
  <si>
    <t>Salaries - Employees</t>
  </si>
  <si>
    <t>C-PA-02</t>
  </si>
  <si>
    <t>Reduce Indian Springs Rates</t>
  </si>
  <si>
    <t>C-PA-03</t>
  </si>
  <si>
    <t>Medical/Dental Increase Adj.</t>
  </si>
  <si>
    <t>C-PA-04</t>
  </si>
  <si>
    <t>Rate Case Expense</t>
  </si>
  <si>
    <t>C-PA-05</t>
  </si>
  <si>
    <t>Insurance Increase Adj.</t>
  </si>
  <si>
    <t>C-PA-06</t>
  </si>
  <si>
    <t>Generator O&amp;M</t>
  </si>
  <si>
    <t>C-PA-07</t>
  </si>
  <si>
    <t>Power Increase</t>
  </si>
  <si>
    <t>C-PA-08</t>
  </si>
  <si>
    <t>Purchase New Billing Software</t>
  </si>
  <si>
    <t>Depr. Adj. Jeeps &amp; Software</t>
  </si>
  <si>
    <t>Depr. Adj. Owner's Vehicle</t>
  </si>
  <si>
    <t>Developer Lawsuit</t>
  </si>
  <si>
    <t>Working Capital Allowance</t>
  </si>
  <si>
    <t>C-PA-1B</t>
  </si>
  <si>
    <t>Salaries - Owner/Operator</t>
  </si>
  <si>
    <t xml:space="preserve"> TOTAL PRO FORMA ADJUSTMENTS</t>
  </si>
  <si>
    <t xml:space="preserve"> PRO FORMA RESULTS OF OPERATIONS</t>
  </si>
  <si>
    <t xml:space="preserve"> NOI &amp; REV. (EXCESS) OR DEFICIENCY</t>
  </si>
  <si>
    <t xml:space="preserve"> RESULTS AT PROPOSED RATES</t>
  </si>
  <si>
    <t>Balance Check</t>
  </si>
  <si>
    <t xml:space="preserve"> TOTAL RESTATING &amp; PRO FORMA ADJUSTMENTS</t>
  </si>
  <si>
    <t>cross check</t>
  </si>
  <si>
    <t>REVENUE REQUIREMENT DISTRIBUTION TO CUSTOMERS</t>
  </si>
  <si>
    <t>REVENUE AT</t>
  </si>
  <si>
    <t>PRESENT</t>
  </si>
  <si>
    <t>INCREASE</t>
  </si>
  <si>
    <t>PROPOSED</t>
  </si>
  <si>
    <t>PERCENT</t>
  </si>
  <si>
    <t>(DECREASE)</t>
  </si>
  <si>
    <t xml:space="preserve">  REVENUE REQUIREMENT</t>
  </si>
  <si>
    <t xml:space="preserve">    UN-METERED SALES</t>
  </si>
  <si>
    <t xml:space="preserve">    METERED SALES</t>
  </si>
  <si>
    <t xml:space="preserve">      TOTAL REVENUE INCREASE (DECREASE)</t>
  </si>
  <si>
    <t xml:space="preserve">   TOTAL UN-METERED CUSTOMERS</t>
  </si>
  <si>
    <t>PER COMPANY</t>
  </si>
  <si>
    <t xml:space="preserve">   TOTAL METERED CUSTOMERS</t>
  </si>
  <si>
    <t xml:space="preserve">   AVERAGE USAGE PER CUSTOMER</t>
  </si>
  <si>
    <t>CURRENT</t>
  </si>
  <si>
    <t>% INCREASE</t>
  </si>
  <si>
    <t xml:space="preserve">   UN-METERED</t>
  </si>
  <si>
    <t>PER TARIFFS</t>
  </si>
  <si>
    <t xml:space="preserve">   METERED BASE RATE</t>
  </si>
  <si>
    <t xml:space="preserve">   METERED OVERAGE</t>
  </si>
  <si>
    <t>UN-METERED</t>
  </si>
  <si>
    <t>BASE RATE</t>
  </si>
  <si>
    <t>OVERAGE</t>
  </si>
  <si>
    <t xml:space="preserve">   PROPOSED INCREASE IN RATES</t>
  </si>
  <si>
    <t>FROM COLUMN (E)</t>
  </si>
  <si>
    <t xml:space="preserve">x 10 </t>
  </si>
  <si>
    <t xml:space="preserve">   TOTAL CUSTOMERS</t>
  </si>
  <si>
    <t xml:space="preserve">   MONTHLY INCREASE</t>
  </si>
  <si>
    <t xml:space="preserve">   x 12 MONTHS TO ANNUALIZE</t>
  </si>
  <si>
    <t xml:space="preserve">x 12 </t>
  </si>
  <si>
    <t xml:space="preserve">   ANNUAL INCREASE</t>
  </si>
  <si>
    <t>PRO FORMA INCOME STATEMENT WUTC STAFF VS. COMPANY</t>
  </si>
  <si>
    <t>OPPOSING CASES</t>
  </si>
  <si>
    <t xml:space="preserve">                     PER STAFF</t>
  </si>
  <si>
    <t xml:space="preserve">            PER COMPANY</t>
  </si>
  <si>
    <t xml:space="preserve">           BRIEF EXHIBIT 1</t>
  </si>
  <si>
    <t>Net Operating</t>
  </si>
  <si>
    <t>Contested or</t>
  </si>
  <si>
    <t xml:space="preserve">            DIFFERENCES</t>
  </si>
  <si>
    <t>Uncontested</t>
  </si>
  <si>
    <t>NOI</t>
  </si>
  <si>
    <t xml:space="preserve">  ACTUAL RESULTS OF OPERATIONS</t>
  </si>
  <si>
    <t xml:space="preserve">  RATE OF RETURN  - PER BOOKS - %</t>
  </si>
  <si>
    <t xml:space="preserve"> S-RA-1/C-RA-1 Restate Surcharge Revenues</t>
  </si>
  <si>
    <t xml:space="preserve"> S-PA-8/C-RA-2 Bad Debts</t>
  </si>
  <si>
    <t xml:space="preserve"> S-RA-14&amp;15/C-PA-3A Adjust to Average Rate Base</t>
  </si>
  <si>
    <t xml:space="preserve"> S-RA-2 &amp; S-RA-11 Ready-To Serve Revenues</t>
  </si>
  <si>
    <t xml:space="preserve"> S-RA-3 CoBank Refund</t>
  </si>
  <si>
    <t xml:space="preserve"> S-RA-4 Salaries &amp; Wages (Officer Compensation)</t>
  </si>
  <si>
    <t xml:space="preserve"> S-RA-5 Legal Adjustment</t>
  </si>
  <si>
    <t xml:space="preserve"> S-RA-6 Building Rent</t>
  </si>
  <si>
    <t xml:space="preserve"> S-RA-7 Vehicle Insurance</t>
  </si>
  <si>
    <t xml:space="preserve"> S-RA-8 Regulatory Expense</t>
  </si>
  <si>
    <t xml:space="preserve"> S-RA-10 CIAC Adjustment</t>
  </si>
  <si>
    <t xml:space="preserve"> S-RA-12 Interest Income Adjustment</t>
  </si>
  <si>
    <t xml:space="preserve"> S-RA-13 Income Tax Adjustment</t>
  </si>
  <si>
    <t xml:space="preserve"> S-RA-16/C-PA-16 Working Capital Allowance</t>
  </si>
  <si>
    <t xml:space="preserve"> S-RA-9/C-RA-3B Depreciation Expense Adjustment</t>
  </si>
  <si>
    <t xml:space="preserve"> RATE OF RETURN - RESTATED - %</t>
  </si>
  <si>
    <t xml:space="preserve"> S-PA-1A/C-PA-1A Salaries - Employees</t>
  </si>
  <si>
    <t xml:space="preserve"> C-PA-2 Reduce Indian Springs Rates</t>
  </si>
  <si>
    <t xml:space="preserve"> S-PA-2/C-PA-3 Medical/Dental</t>
  </si>
  <si>
    <t xml:space="preserve"> S-PA-7/C-PA-4 Rate Case Expense</t>
  </si>
  <si>
    <t xml:space="preserve"> S-PA-5&amp;6/C-PA-5 Insurance Adjustments</t>
  </si>
  <si>
    <t xml:space="preserve"> S-PA-4/C-PA-6 Generator O&amp;M (Materials &amp; Sup)</t>
  </si>
  <si>
    <t xml:space="preserve"> S-PA-3/C-PA-7 Power Increases</t>
  </si>
  <si>
    <t xml:space="preserve"> C-PA-8 Purchase New Billing System Software</t>
  </si>
  <si>
    <t xml:space="preserve"> S-PA-9A/C-PA-9A Depreciation Adj. Jeeps and Software</t>
  </si>
  <si>
    <t xml:space="preserve"> S-PA-9B/C-PA-9B Depreciation Adj. Owner's Vehicle</t>
  </si>
  <si>
    <t xml:space="preserve"> C-PA-10 Developer Lawsuit</t>
  </si>
  <si>
    <t xml:space="preserve"> S-PA-10 Interest Expense Adjustment</t>
  </si>
  <si>
    <t xml:space="preserve"> RATE OF RETURN - PRO FORMA BEFORE RATES - %</t>
  </si>
  <si>
    <t xml:space="preserve"> NOI. (EXCESS) OR DEFICIENCY</t>
  </si>
  <si>
    <t xml:space="preserve"> RESULTS AT RECOMMENDED RATE LEVEL</t>
  </si>
  <si>
    <t xml:space="preserve"> RATE OF RETURN  - % AFTER RATE ADJ.</t>
  </si>
  <si>
    <t>BALANCE SHEET ANALYSIS - REVIEW OF COMPANY'S RESPONSE TO BENCH REQUEST NO. 6.</t>
  </si>
  <si>
    <t>AS OF DECEMBER 31, 1999 &amp; 2000</t>
  </si>
  <si>
    <t xml:space="preserve">             RATE BASE</t>
  </si>
  <si>
    <t xml:space="preserve">                   CAPITAL STRUCTURE</t>
  </si>
  <si>
    <t>Company</t>
  </si>
  <si>
    <t>Staff</t>
  </si>
  <si>
    <t>Various</t>
  </si>
  <si>
    <t>Proposed</t>
  </si>
  <si>
    <t>Balance At</t>
  </si>
  <si>
    <t>Beginning-End</t>
  </si>
  <si>
    <t xml:space="preserve">Average </t>
  </si>
  <si>
    <t>Dates</t>
  </si>
  <si>
    <t>Cost</t>
  </si>
  <si>
    <t>December 31, 1999</t>
  </si>
  <si>
    <t>December 31, 2000</t>
  </si>
  <si>
    <t>Of Year Balances</t>
  </si>
  <si>
    <t>Amount - $</t>
  </si>
  <si>
    <t>Percent - %</t>
  </si>
  <si>
    <t>Rates</t>
  </si>
  <si>
    <t xml:space="preserve">  Utility Plant</t>
  </si>
  <si>
    <t xml:space="preserve">    Plant In Service</t>
  </si>
  <si>
    <t xml:space="preserve">    Accumulated depreciation and amortization</t>
  </si>
  <si>
    <t xml:space="preserve">      Net Utility Plant</t>
  </si>
  <si>
    <t xml:space="preserve">  Current Assets</t>
  </si>
  <si>
    <t xml:space="preserve">    Cash in Checking</t>
  </si>
  <si>
    <t xml:space="preserve">    Special Deposits-Savings</t>
  </si>
  <si>
    <t xml:space="preserve">    Offsite Facilities-Bank</t>
  </si>
  <si>
    <t xml:space="preserve">    Petty Cash</t>
  </si>
  <si>
    <t xml:space="preserve">    Accounts Receivable-net of allowance</t>
  </si>
  <si>
    <t xml:space="preserve">    Prepaid Expenses</t>
  </si>
  <si>
    <t xml:space="preserve">      Total Current Assets</t>
  </si>
  <si>
    <t xml:space="preserve">  Other Assets</t>
  </si>
  <si>
    <t xml:space="preserve">    Debt Service Reserves</t>
  </si>
  <si>
    <t xml:space="preserve">    Loan Fees</t>
  </si>
  <si>
    <t xml:space="preserve">    Investments</t>
  </si>
  <si>
    <t xml:space="preserve">      Total Other Assets</t>
  </si>
  <si>
    <t xml:space="preserve">      TOTAL ASSETS</t>
  </si>
  <si>
    <t xml:space="preserve">  Stockholder's Equity and Liabilities</t>
  </si>
  <si>
    <t xml:space="preserve">    Common Stock</t>
  </si>
  <si>
    <t xml:space="preserve">    Retained Earnings</t>
  </si>
  <si>
    <t xml:space="preserve">      Total Stockholder Equity</t>
  </si>
  <si>
    <t xml:space="preserve">  Current Liabilities</t>
  </si>
  <si>
    <t xml:space="preserve">    Note Payable - line of credit</t>
  </si>
  <si>
    <t xml:space="preserve">    Accounts Payable</t>
  </si>
  <si>
    <t xml:space="preserve">    Accrued Expenses</t>
  </si>
  <si>
    <t xml:space="preserve">    Deposits of advances for construction</t>
  </si>
  <si>
    <t xml:space="preserve">      Total Current Liabilities</t>
  </si>
  <si>
    <t xml:space="preserve">   Long Term Debt</t>
  </si>
  <si>
    <t xml:space="preserve">    Long Term Debt</t>
  </si>
  <si>
    <t xml:space="preserve">      Total Long Term Debt</t>
  </si>
  <si>
    <t xml:space="preserve">  Contributions in Aid of Construction (CIAC)</t>
  </si>
  <si>
    <t xml:space="preserve">    Contributions in aid of construction</t>
  </si>
  <si>
    <t xml:space="preserve">    Less: Accumulated Amortization</t>
  </si>
  <si>
    <t xml:space="preserve">      Total CIAC</t>
  </si>
  <si>
    <t xml:space="preserve">      TOTAL STOCKHOLDER'S EQUITY AND LIABILITES</t>
  </si>
  <si>
    <t xml:space="preserve">  RATE BASE</t>
  </si>
  <si>
    <t xml:space="preserve">    Total Average Rate Base Before Adjustments</t>
  </si>
  <si>
    <t xml:space="preserve">    Add: Two Meter Jeeps</t>
  </si>
  <si>
    <t xml:space="preserve">    Add: Working Capital Allowance</t>
  </si>
  <si>
    <t xml:space="preserve">      TOTAL PRO FORMA RATE BASE</t>
  </si>
  <si>
    <t xml:space="preserve">  CAPITAL STRUCTURE AT 12/31/2000</t>
  </si>
  <si>
    <t xml:space="preserve">    Stockholder's Equity</t>
  </si>
  <si>
    <t xml:space="preserve">      Total Capitalization</t>
  </si>
  <si>
    <t xml:space="preserve">  CAPITAL STRUCTURE AT 9/30/2001</t>
  </si>
  <si>
    <t xml:space="preserve">   AVERAGE TEST PERIOD CAPITAL STRUCTURE</t>
  </si>
  <si>
    <t xml:space="preserve">  COMPANY PROPOSED CAPITAL STRUCTURE</t>
  </si>
  <si>
    <t xml:space="preserve">  WUTC STAFF PROPOSED CAPITAL STRUCTURE</t>
  </si>
  <si>
    <t xml:space="preserve">      Total Capitalization per Exhibit No.______(DPK-8)</t>
  </si>
  <si>
    <t xml:space="preserve">      Total Capitalization per Exhibit No.______(DPK-2)</t>
  </si>
  <si>
    <t xml:space="preserve">  SUPPORT STAFF RECOMMENDED - USE 9/30/2001</t>
  </si>
  <si>
    <t xml:space="preserve">  INVESTOR-SUPPLIED WORKING CAPITAL  1/</t>
  </si>
  <si>
    <t xml:space="preserve">  Average Shareholder's Equity</t>
  </si>
  <si>
    <t xml:space="preserve">  Average Long-Term Debt</t>
  </si>
  <si>
    <t xml:space="preserve">    Total Equity and Long-Term Debt</t>
  </si>
  <si>
    <t xml:space="preserve">    Less: Debt Service Reserves</t>
  </si>
  <si>
    <t xml:space="preserve">             Loan Fees </t>
  </si>
  <si>
    <t xml:space="preserve">   Average Net Investor-Supplied Capital</t>
  </si>
  <si>
    <t xml:space="preserve">   Average "Per Books" Rate Base</t>
  </si>
  <si>
    <t xml:space="preserve">    Average Investor-Supplied Working Capital</t>
  </si>
  <si>
    <t xml:space="preserve">    1/ Per Support Staff</t>
  </si>
  <si>
    <t>Effective Tax</t>
  </si>
  <si>
    <t>Cumulative</t>
  </si>
  <si>
    <t>Tax          +</t>
  </si>
  <si>
    <t xml:space="preserve"> % on Excess</t>
  </si>
  <si>
    <t>Tax</t>
  </si>
  <si>
    <t>$  0         -      43,850</t>
  </si>
  <si>
    <t>43,850    -   105,950</t>
  </si>
  <si>
    <t>105,950  -   161,450</t>
  </si>
  <si>
    <t>161,450  -   288,350</t>
  </si>
  <si>
    <t xml:space="preserve">288,350   -                  </t>
  </si>
  <si>
    <t>Net Oper. Income</t>
  </si>
  <si>
    <t>CONTESTED &amp; UNCONTESTED ADJUSTMENTS</t>
  </si>
  <si>
    <t>UNCONTESTED ADJUSTMENTS</t>
  </si>
  <si>
    <t xml:space="preserve"> S-PA-9A/C-PA-9A Jeeps and Software</t>
  </si>
  <si>
    <t xml:space="preserve"> TOTAL UNCONTESTED ADJUSTMENTS</t>
  </si>
  <si>
    <t>CONTESTED ADJUSTMENTS</t>
  </si>
  <si>
    <t xml:space="preserve"> S-RA-4/C-PA-1B Salaries &amp; Wages (Officer Compensation)</t>
  </si>
  <si>
    <t xml:space="preserve">  TOTAL CONTESTED ADJUSTMENTS</t>
  </si>
  <si>
    <t>RAINIER VIEW WATER COMPANY, INC.</t>
  </si>
  <si>
    <t>REVIEW OF BAD DEBTS EXPENSE</t>
  </si>
  <si>
    <t>YEARS 1996 THROUGH 2001</t>
  </si>
  <si>
    <t>YEAR</t>
  </si>
  <si>
    <t>1996</t>
  </si>
  <si>
    <t>1997</t>
  </si>
  <si>
    <t>1998</t>
  </si>
  <si>
    <t>1999</t>
  </si>
  <si>
    <t>2000</t>
  </si>
  <si>
    <t>2001</t>
  </si>
  <si>
    <t>CTRL-P WUTC STAFF CASE  CTRL-A COMPANY REBUTTAL CASE</t>
  </si>
  <si>
    <t xml:space="preserve">  Ready to Serve Revenue</t>
  </si>
  <si>
    <t xml:space="preserve">  Co-Bank Patronage Refund</t>
  </si>
  <si>
    <t xml:space="preserve">  Depreciation</t>
  </si>
  <si>
    <t xml:space="preserve">  Amortization</t>
  </si>
  <si>
    <t xml:space="preserve">  Amortization of CIAC</t>
  </si>
  <si>
    <t>FIT - Net Deductions (Including Interest Expense)</t>
  </si>
  <si>
    <t>S-RA-1</t>
  </si>
  <si>
    <t>S-RA-2</t>
  </si>
  <si>
    <t>S-RA-3</t>
  </si>
  <si>
    <t>S-RA-4</t>
  </si>
  <si>
    <t>S-RA-5</t>
  </si>
  <si>
    <t>S-RA-6</t>
  </si>
  <si>
    <t>S-RA-7</t>
  </si>
  <si>
    <t>S-RA-8</t>
  </si>
  <si>
    <t>S-RA-9</t>
  </si>
  <si>
    <t>S-RA-10</t>
  </si>
  <si>
    <t>S-RA-11</t>
  </si>
  <si>
    <t>S-RA-12</t>
  </si>
  <si>
    <t>S-RA-13</t>
  </si>
  <si>
    <t>S-RA-14</t>
  </si>
  <si>
    <t>S-RA-15</t>
  </si>
  <si>
    <t>RA-#3</t>
  </si>
  <si>
    <t>Salaries &amp;</t>
  </si>
  <si>
    <t>Regulatory</t>
  </si>
  <si>
    <t>Ready To</t>
  </si>
  <si>
    <t>CoBank</t>
  </si>
  <si>
    <t>Wages</t>
  </si>
  <si>
    <t>Legal</t>
  </si>
  <si>
    <t xml:space="preserve">Building </t>
  </si>
  <si>
    <t>Commission</t>
  </si>
  <si>
    <t>CIAC</t>
  </si>
  <si>
    <t>Excise</t>
  </si>
  <si>
    <t>Interest</t>
  </si>
  <si>
    <t>Serve</t>
  </si>
  <si>
    <t>Refund</t>
  </si>
  <si>
    <t>Owner</t>
  </si>
  <si>
    <t>Adj.</t>
  </si>
  <si>
    <t>Rent</t>
  </si>
  <si>
    <t>Taxes</t>
  </si>
  <si>
    <t>S-PA-1</t>
  </si>
  <si>
    <t>S-PA-2</t>
  </si>
  <si>
    <t>S-PA-3</t>
  </si>
  <si>
    <t>S-PA-4</t>
  </si>
  <si>
    <t>S-PA-5</t>
  </si>
  <si>
    <t>S-PA-6</t>
  </si>
  <si>
    <t>S-PA-7</t>
  </si>
  <si>
    <t>S-PA-8</t>
  </si>
  <si>
    <t>S-PA-9A</t>
  </si>
  <si>
    <t>S-PA-10</t>
  </si>
  <si>
    <t>S-PA-9B</t>
  </si>
  <si>
    <t>P-12</t>
  </si>
  <si>
    <t>P-13</t>
  </si>
  <si>
    <t>P-14</t>
  </si>
  <si>
    <t>Liability</t>
  </si>
  <si>
    <t>Bad</t>
  </si>
  <si>
    <t>Rate Case</t>
  </si>
  <si>
    <t xml:space="preserve">Adj. Jeeps </t>
  </si>
  <si>
    <t>&amp; Software</t>
  </si>
  <si>
    <t>Appendix A</t>
  </si>
  <si>
    <t xml:space="preserve">            TOTAL REVENUE SENSITIVE EXPENSES</t>
  </si>
  <si>
    <t>new weighted cost of debt</t>
  </si>
  <si>
    <t>CALCULATION OF PRO FORMA DEBT ADJUSTMENT S-PA-10</t>
  </si>
  <si>
    <t xml:space="preserve"> S-RA-01</t>
  </si>
  <si>
    <t xml:space="preserve">  S-RA-02</t>
  </si>
  <si>
    <t>Ready-To-Serve Revenues</t>
  </si>
  <si>
    <t xml:space="preserve">  S-RA-03</t>
  </si>
  <si>
    <t>CoBank Refund</t>
  </si>
  <si>
    <t xml:space="preserve">  S-RA-04</t>
  </si>
  <si>
    <t>Salaries &amp; Wages</t>
  </si>
  <si>
    <t xml:space="preserve">  S-RA-05</t>
  </si>
  <si>
    <t>Legal Adjustment</t>
  </si>
  <si>
    <t xml:space="preserve">  S-RA-06</t>
  </si>
  <si>
    <t>Building Rent</t>
  </si>
  <si>
    <t xml:space="preserve">  S-RA-07</t>
  </si>
  <si>
    <t>Vehicle Insurance</t>
  </si>
  <si>
    <t xml:space="preserve">  S-RA-08</t>
  </si>
  <si>
    <t>Regulatory Commission Expense</t>
  </si>
  <si>
    <t xml:space="preserve">  S-RA-09</t>
  </si>
  <si>
    <t>Depreciation Adjustment</t>
  </si>
  <si>
    <t xml:space="preserve">  S-RA-10</t>
  </si>
  <si>
    <t>CIAC Adjustment</t>
  </si>
  <si>
    <t xml:space="preserve">  S-RA-11</t>
  </si>
  <si>
    <t>Excise Tax Adjustment</t>
  </si>
  <si>
    <t xml:space="preserve">  S-RA-12</t>
  </si>
  <si>
    <t>Interest Income Adjustment</t>
  </si>
  <si>
    <t xml:space="preserve">  S-RA-13</t>
  </si>
  <si>
    <t>Income Tax Adjustment</t>
  </si>
  <si>
    <t xml:space="preserve">  S-RA-14</t>
  </si>
  <si>
    <t>Adjust to Average Rate Base</t>
  </si>
  <si>
    <t xml:space="preserve">  S-RA-15</t>
  </si>
  <si>
    <t>Adjust to Average CIAC</t>
  </si>
  <si>
    <t xml:space="preserve">  S-RA-16</t>
  </si>
  <si>
    <t>S-PA-01</t>
  </si>
  <si>
    <t>S-PA-02</t>
  </si>
  <si>
    <t>S-PA-03</t>
  </si>
  <si>
    <t>S-PA-04</t>
  </si>
  <si>
    <t>S-PA-05</t>
  </si>
  <si>
    <t>Reduce Insurance Adj.</t>
  </si>
  <si>
    <t>S-PA-06</t>
  </si>
  <si>
    <t>Liability Insurance Adj.</t>
  </si>
  <si>
    <t>S-PA-07</t>
  </si>
  <si>
    <t>S-PA-08</t>
  </si>
  <si>
    <t>Bad Debt Adjustment</t>
  </si>
  <si>
    <t>Depreciation Adj. Jeeps &amp; Software</t>
  </si>
  <si>
    <t>Depreciation Adj. Owners' Vehicle</t>
  </si>
  <si>
    <t>Interest Expense Adjustment</t>
  </si>
  <si>
    <t>INACTIVE MACRO</t>
  </si>
  <si>
    <t>{SET "PRINT-HEADER-RIGHT-TEXT";" APPENDIX F, PAGE # OF %"}</t>
  </si>
  <si>
    <t>MACROS</t>
  </si>
  <si>
    <t>CTRL-P - PRINT MACRO</t>
  </si>
  <si>
    <t>CTRL-G - PRINT MACRO</t>
  </si>
  <si>
    <t>CTRL-S - PRINT MACRO</t>
  </si>
  <si>
    <t>CTRL-A - PRINT MACRO</t>
  </si>
  <si>
    <t>CTRL-B - PRINT MACRO</t>
  </si>
  <si>
    <t>CTRL-D - PRINT MACRO</t>
  </si>
  <si>
    <t>CTRL-R - PRINT MACRO</t>
  </si>
  <si>
    <t>CTRL-U - PRINT MACRO</t>
  </si>
  <si>
    <t>{SET "PRINT-ORIENTATION";"PORTRAIT"}</t>
  </si>
  <si>
    <t>{SET "PRINT-SIZE";"FIT-ALL"}</t>
  </si>
  <si>
    <t>{SET "PRINT-HEADER-LEFT-TEXT";"WUTC STAFF'S CASE AT BRIEF, EXHIBIT 75"}</t>
  </si>
  <si>
    <t>{SET "PRINT-HEADER-RIGHT-TEXT";" APPENDIX F, PAGE 1 OF 15"}</t>
  </si>
  <si>
    <t>{SET "PRINT-HEADER-RIGHT-TEXT";"APPENDIX A, PAGE # OF %"}</t>
  </si>
  <si>
    <t>{SET "PRINT-HEADER-LEFT-TEXT";"         INITIAL ORDER IN DOCKET UW-010877"}</t>
  </si>
  <si>
    <t>{SET "PRINT-HEADER-RIGHT-TEXT";"APPENDIX D,  PAGE 1 OF 1"}</t>
  </si>
  <si>
    <t>{SET "PRINT-HEADER-LEFT-TEXT";"RAINIER'S CASE PER BRIEF: EXHIBIT 1"}</t>
  </si>
  <si>
    <t>{SET "PRINT-HEADER-RIGHT-TEXT";"APPENDIX C,  PAGE 1 OF 1"}</t>
  </si>
  <si>
    <t>{SET "PRINT-CENTERED","HORIZONTAL"}</t>
  </si>
  <si>
    <t>{SET "PRINT-HEADER-RIGHT-TEXT";" APPENDIX A, PAGE 1 OF 1"}</t>
  </si>
  <si>
    <t>{SET "PRINT-HEADER-RIGHT-TEXT";" APPENDIX B, PAGE 1 OF 1"}</t>
  </si>
  <si>
    <t>{SET "PRINT-MARGIN-TOP";"1.0in"}</t>
  </si>
  <si>
    <t>{SET "PRINT-MARGIN-TOP";"0.5in"}</t>
  </si>
  <si>
    <t>{SET "PRINT-MARGIN-BOTTOM";"1.0in"}</t>
  </si>
  <si>
    <t>{SET "PRINT-MARGIN-BOTTOM";"0.5in"}</t>
  </si>
  <si>
    <t>{SET "PRINT-MARGIN-LEFT";"0.75in"}</t>
  </si>
  <si>
    <t>{SET "PRINT-MARGIN-LEFT";"1.00in"}</t>
  </si>
  <si>
    <t>{SELECT "SUMMARY1"}</t>
  </si>
  <si>
    <t>{SET "PRINT-HEADER-RIGHT-TEXT";" APPENDIX G, PAGE 1 OF 17"}</t>
  </si>
  <si>
    <t>{SET "PRINT-HEADER-RIGHT-TEXT";" APPENDIX E, PAGE 1 OF 17"}</t>
  </si>
  <si>
    <t>{SET "PRINT-MARGIN-RIGHT";"0.75in"}</t>
  </si>
  <si>
    <t>{SELECT-APPEND "SUMMARY2"}</t>
  </si>
  <si>
    <t>{SELECT "SUMMARY_CASE"}</t>
  </si>
  <si>
    <t>{SELECT "RATEEFFECT"}</t>
  </si>
  <si>
    <t>{SELECT "SUMMARY_CASEAA"}</t>
  </si>
  <si>
    <t>{SELECT "UNCONTESTED"}</t>
  </si>
  <si>
    <t>{SELECT-APPEND "RA1A"}</t>
  </si>
  <si>
    <t>{PRINT "SELECTION"}</t>
  </si>
  <si>
    <t>{SELECT "CASECOMPARE"}</t>
  </si>
  <si>
    <t>{SELECT-APPEND "RA1B"}</t>
  </si>
  <si>
    <t>{SET "PRINT-HEADER-RIGHT-TEXT";" APPENDIX G, PAGE # OF %"}</t>
  </si>
  <si>
    <t>{SET "PRINT-HEADER-RIGHT-TEXT";" APPENDIX E, PAGE # OF %"}</t>
  </si>
  <si>
    <t>{GOTO}A:A1~</t>
  </si>
  <si>
    <t>{SELECT "UNCONTESTED2"}</t>
  </si>
  <si>
    <t>{SELECT-APPEND "RA2A"}</t>
  </si>
  <si>
    <t>{SELECT "CASECOMPARE2"}</t>
  </si>
  <si>
    <t>{SELECT-APPEND "RA2B"}</t>
  </si>
  <si>
    <t>{SELECT-APPEND "SUMMARY1"}</t>
  </si>
  <si>
    <t>{SELECT-APPEND "SUMMARY1AA"}</t>
  </si>
  <si>
    <t>{SELECT-APPEND "RA3A"}</t>
  </si>
  <si>
    <t>{SET "PRINT-HEADER-RIGHT-TEXT";"APPENDIX A,  PAGE # OF %"}</t>
  </si>
  <si>
    <t>{SELECT-APPEND "SUMMARY2AA"}</t>
  </si>
  <si>
    <t>{SELECT-APPEND "RA3B"}</t>
  </si>
  <si>
    <t>{SELECT-APPEND "RA1AAA"}</t>
  </si>
  <si>
    <t>{SELECT-APPEND "RA4A"}</t>
  </si>
  <si>
    <t>{SELECT-APPEND "RA1BAA"}</t>
  </si>
  <si>
    <t>{SELECT-APPEND "RA4B"}</t>
  </si>
  <si>
    <t>{GOTO}A:B593~</t>
  </si>
  <si>
    <t>{SELECT-APPEND "P1_AAA"}</t>
  </si>
  <si>
    <t>{SELECT-APPEND "RA5A"}</t>
  </si>
  <si>
    <t>{SELECT-APPEND "P1_BAA"}</t>
  </si>
  <si>
    <t>{SELECT-APPEND "RA5B"}</t>
  </si>
  <si>
    <t>{SELECT-APPEND "P2_AAA"}</t>
  </si>
  <si>
    <t>{SELECT-APPEND "P1_A"}</t>
  </si>
  <si>
    <t>{SELECT-APPEND "RATEEFFECT"}</t>
  </si>
  <si>
    <t>{SELECT-APPEND "P2_BAA"}</t>
  </si>
  <si>
    <t>{SELECT-APPEND "P1_B"}</t>
  </si>
  <si>
    <t>{SELECT-APPEND "P3_AAA"}</t>
  </si>
  <si>
    <t>{SELECT-APPEND "P2_A"}</t>
  </si>
  <si>
    <t>{SELECT-APPEND "P3_BAA"}</t>
  </si>
  <si>
    <t>{SELECT-APPEND "P2_B"}</t>
  </si>
  <si>
    <t>{SELECT-APPEND "CAPCOSTAA"}</t>
  </si>
  <si>
    <t>{SELECT-APPEND "CAPCOST"}</t>
  </si>
  <si>
    <t>{SELECT-APPEND "CASECOMPARE2"}</t>
  </si>
  <si>
    <t>{SELECT-APPEND "NET_GROSSAA"}</t>
  </si>
  <si>
    <t>{SELECT-APPEND "PRODEBT"}</t>
  </si>
  <si>
    <t>{SELECT-APPEND "BALANCESHEET"}</t>
  </si>
  <si>
    <t>{SELECT-APPEND "PRODEBTAA"}</t>
  </si>
  <si>
    <t>{SELECT-APPEND "NET_GROSS"}</t>
  </si>
  <si>
    <t>{SELECT-APPEND "REVENUE_REQAA"}</t>
  </si>
  <si>
    <t>{SELECT-APPEND "REVENUE_REQUIRE"}</t>
  </si>
  <si>
    <t>NOTE: AVAILABLE IF ADDITIONAL ADJUSTMENTS ADDED</t>
  </si>
  <si>
    <t>{SELECT-APPEND "RA2AAA"}</t>
  </si>
  <si>
    <t>{SELECT-APPEND "P4_A"}</t>
  </si>
  <si>
    <t>{SELECT-APPEND "RA2BAA"}</t>
  </si>
  <si>
    <t>{SELECT-APPEND "P4_B"}</t>
  </si>
  <si>
    <t>{SELECT-APPEND "RA3AAA"}</t>
  </si>
  <si>
    <t>{SELECT-APPEND "P5_A"}</t>
  </si>
  <si>
    <t>{SELECT-APPEND "RA3BAA"}</t>
  </si>
  <si>
    <t>{SELECT-APPEND "P5_B"}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</si>
</sst>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000"/>
    <numFmt numFmtId="166" formatCode="0.000000%"/>
    <numFmt numFmtId="167" formatCode="0.00000000"/>
    <numFmt numFmtId="168" formatCode="0.000%"/>
    <numFmt numFmtId="169" formatCode="#,##0.00000000_);\(#,##0.00000000\)"/>
    <numFmt numFmtId="170" formatCode="0.0000%"/>
    <numFmt numFmtId="171" formatCode="#,##0.0000000_);\(#,##0.0000000\)"/>
    <numFmt numFmtId="172" formatCode="#,##0.000000_);\(#,##0.000000\)"/>
    <numFmt numFmtId="173" formatCode="0.0000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4"/>
      <name val="Arial"/>
      <family val="0"/>
    </font>
    <font>
      <sz val="24"/>
      <name val="Arial"/>
      <family val="0"/>
    </font>
    <font>
      <b/>
      <u val="single"/>
      <sz val="12"/>
      <name val="Arial"/>
      <family val="2"/>
    </font>
    <font>
      <b/>
      <sz val="18"/>
      <name val="Arial"/>
      <family val="0"/>
    </font>
    <font>
      <b/>
      <i/>
      <sz val="12"/>
      <name val="Arial"/>
      <family val="0"/>
    </font>
    <font>
      <b/>
      <i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37" fontId="4" fillId="0" borderId="0" xfId="0" applyAlignment="1">
      <alignment/>
    </xf>
    <xf numFmtId="0" fontId="4" fillId="0" borderId="0" xfId="0" applyAlignment="1">
      <alignment horizontal="center"/>
    </xf>
    <xf numFmtId="0" fontId="6" fillId="0" borderId="0" xfId="0" applyAlignment="1">
      <alignment/>
    </xf>
    <xf numFmtId="37" fontId="7" fillId="0" borderId="0" xfId="0" applyAlignment="1">
      <alignment/>
    </xf>
    <xf numFmtId="0" fontId="5" fillId="0" borderId="1" xfId="0" applyBorder="1" applyAlignment="1">
      <alignment/>
    </xf>
    <xf numFmtId="0" fontId="4" fillId="0" borderId="2" xfId="0" applyBorder="1" applyAlignment="1">
      <alignment/>
    </xf>
    <xf numFmtId="10" fontId="5" fillId="0" borderId="2" xfId="0" applyBorder="1" applyAlignment="1">
      <alignment/>
    </xf>
    <xf numFmtId="37" fontId="4" fillId="0" borderId="2" xfId="0" applyBorder="1" applyAlignment="1">
      <alignment/>
    </xf>
    <xf numFmtId="37" fontId="5" fillId="0" borderId="2" xfId="0" applyBorder="1" applyAlignment="1">
      <alignment/>
    </xf>
    <xf numFmtId="37" fontId="4" fillId="0" borderId="3" xfId="0" applyBorder="1" applyAlignment="1">
      <alignment/>
    </xf>
    <xf numFmtId="0" fontId="5" fillId="0" borderId="4" xfId="0" applyBorder="1" applyAlignment="1">
      <alignment/>
    </xf>
    <xf numFmtId="0" fontId="8" fillId="0" borderId="0" xfId="0" applyAlignment="1">
      <alignment/>
    </xf>
    <xf numFmtId="164" fontId="5" fillId="0" borderId="0" xfId="0" applyAlignment="1">
      <alignment/>
    </xf>
    <xf numFmtId="37" fontId="5" fillId="0" borderId="0" xfId="0" applyAlignment="1">
      <alignment/>
    </xf>
    <xf numFmtId="37" fontId="4" fillId="0" borderId="5" xfId="0" applyBorder="1" applyAlignment="1">
      <alignment/>
    </xf>
    <xf numFmtId="37" fontId="5" fillId="0" borderId="4" xfId="0" applyBorder="1" applyAlignment="1">
      <alignment/>
    </xf>
    <xf numFmtId="37" fontId="8" fillId="0" borderId="0" xfId="0" applyAlignment="1">
      <alignment/>
    </xf>
    <xf numFmtId="0" fontId="4" fillId="0" borderId="5" xfId="0" applyBorder="1" applyAlignment="1">
      <alignment horizontal="center"/>
    </xf>
    <xf numFmtId="0" fontId="5" fillId="0" borderId="0" xfId="0" applyAlignment="1">
      <alignment horizontal="center"/>
    </xf>
    <xf numFmtId="37" fontId="5" fillId="0" borderId="5" xfId="0" applyBorder="1" applyAlignment="1">
      <alignment horizontal="center"/>
    </xf>
    <xf numFmtId="37" fontId="5" fillId="0" borderId="0" xfId="0" applyAlignment="1">
      <alignment horizontal="center"/>
    </xf>
    <xf numFmtId="0" fontId="5" fillId="0" borderId="4" xfId="0" applyBorder="1" applyAlignment="1">
      <alignment horizontal="center"/>
    </xf>
    <xf numFmtId="0" fontId="5" fillId="0" borderId="5" xfId="0" applyBorder="1" applyAlignment="1">
      <alignment horizontal="center"/>
    </xf>
    <xf numFmtId="0" fontId="5" fillId="0" borderId="6" xfId="0" applyBorder="1" applyAlignment="1">
      <alignment horizontal="center"/>
    </xf>
    <xf numFmtId="0" fontId="5" fillId="0" borderId="7" xfId="0" applyBorder="1" applyAlignment="1">
      <alignment horizontal="center"/>
    </xf>
    <xf numFmtId="37" fontId="5" fillId="0" borderId="7" xfId="0" applyBorder="1" applyAlignment="1">
      <alignment horizontal="center"/>
    </xf>
    <xf numFmtId="0" fontId="5" fillId="0" borderId="8" xfId="0" applyBorder="1" applyAlignment="1">
      <alignment horizontal="center"/>
    </xf>
    <xf numFmtId="37" fontId="5" fillId="0" borderId="1" xfId="0" applyBorder="1" applyAlignment="1">
      <alignment horizontal="center"/>
    </xf>
    <xf numFmtId="37" fontId="5" fillId="0" borderId="9" xfId="0" applyBorder="1" applyAlignment="1">
      <alignment horizontal="center"/>
    </xf>
    <xf numFmtId="37" fontId="5" fillId="0" borderId="2" xfId="0" applyBorder="1" applyAlignment="1">
      <alignment horizontal="center"/>
    </xf>
    <xf numFmtId="37" fontId="5" fillId="0" borderId="3" xfId="0" applyBorder="1" applyAlignment="1">
      <alignment horizontal="center"/>
    </xf>
    <xf numFmtId="37" fontId="4" fillId="0" borderId="4" xfId="0" applyBorder="1" applyAlignment="1">
      <alignment horizontal="center"/>
    </xf>
    <xf numFmtId="37" fontId="4" fillId="0" borderId="10" xfId="0" applyBorder="1" applyAlignment="1">
      <alignment horizontal="center"/>
    </xf>
    <xf numFmtId="37" fontId="4" fillId="0" borderId="0" xfId="0" applyAlignment="1">
      <alignment horizontal="center"/>
    </xf>
    <xf numFmtId="37" fontId="4" fillId="0" borderId="5" xfId="0" applyBorder="1" applyAlignment="1">
      <alignment horizontal="center"/>
    </xf>
    <xf numFmtId="37" fontId="4" fillId="0" borderId="10" xfId="0" applyBorder="1" applyAlignment="1">
      <alignment/>
    </xf>
    <xf numFmtId="37" fontId="4" fillId="0" borderId="4" xfId="0" applyBorder="1" applyAlignment="1">
      <alignment/>
    </xf>
    <xf numFmtId="0" fontId="4" fillId="0" borderId="4" xfId="0" applyBorder="1" applyAlignment="1">
      <alignment horizontal="center"/>
    </xf>
    <xf numFmtId="0" fontId="4" fillId="0" borderId="4" xfId="0" applyBorder="1" applyAlignment="1">
      <alignment/>
    </xf>
    <xf numFmtId="0" fontId="4" fillId="0" borderId="10" xfId="0" applyBorder="1" applyAlignment="1">
      <alignment horizontal="center"/>
    </xf>
    <xf numFmtId="5" fontId="4" fillId="0" borderId="4" xfId="0" applyBorder="1" applyAlignment="1">
      <alignment/>
    </xf>
    <xf numFmtId="5" fontId="4" fillId="0" borderId="0" xfId="0" applyAlignment="1">
      <alignment/>
    </xf>
    <xf numFmtId="5" fontId="4" fillId="0" borderId="5" xfId="0" applyBorder="1" applyAlignment="1">
      <alignment/>
    </xf>
    <xf numFmtId="10" fontId="4" fillId="0" borderId="0" xfId="0" applyAlignment="1">
      <alignment/>
    </xf>
    <xf numFmtId="0" fontId="4" fillId="0" borderId="4" xfId="0" applyBorder="1" applyAlignment="1">
      <alignment/>
    </xf>
    <xf numFmtId="37" fontId="4" fillId="0" borderId="0" xfId="0" applyAlignment="1">
      <alignment/>
    </xf>
    <xf numFmtId="37" fontId="4" fillId="0" borderId="5" xfId="0" applyBorder="1" applyAlignment="1">
      <alignment/>
    </xf>
    <xf numFmtId="164" fontId="4" fillId="0" borderId="0" xfId="0" applyAlignment="1">
      <alignment/>
    </xf>
    <xf numFmtId="0" fontId="4" fillId="0" borderId="11" xfId="0" applyBorder="1" applyAlignment="1">
      <alignment/>
    </xf>
    <xf numFmtId="0" fontId="4" fillId="0" borderId="12" xfId="0" applyBorder="1" applyAlignment="1">
      <alignment/>
    </xf>
    <xf numFmtId="37" fontId="4" fillId="0" borderId="12" xfId="0" applyBorder="1" applyAlignment="1">
      <alignment/>
    </xf>
    <xf numFmtId="37" fontId="4" fillId="0" borderId="13" xfId="0" applyBorder="1" applyAlignment="1">
      <alignment/>
    </xf>
    <xf numFmtId="165" fontId="4" fillId="0" borderId="0" xfId="0" applyAlignment="1">
      <alignment/>
    </xf>
    <xf numFmtId="0" fontId="5" fillId="0" borderId="2" xfId="0" applyBorder="1" applyAlignment="1">
      <alignment/>
    </xf>
    <xf numFmtId="0" fontId="5" fillId="0" borderId="3" xfId="0" applyBorder="1" applyAlignment="1">
      <alignment/>
    </xf>
    <xf numFmtId="166" fontId="4" fillId="0" borderId="0" xfId="0" applyAlignment="1">
      <alignment/>
    </xf>
    <xf numFmtId="167" fontId="4" fillId="0" borderId="0" xfId="0" applyAlignment="1">
      <alignment/>
    </xf>
    <xf numFmtId="0" fontId="5" fillId="0" borderId="14" xfId="0" applyBorder="1" applyAlignment="1">
      <alignment/>
    </xf>
    <xf numFmtId="0" fontId="5" fillId="0" borderId="15" xfId="0" applyBorder="1" applyAlignment="1">
      <alignment/>
    </xf>
    <xf numFmtId="0" fontId="5" fillId="0" borderId="16" xfId="0" applyBorder="1" applyAlignment="1">
      <alignment/>
    </xf>
    <xf numFmtId="0" fontId="4" fillId="0" borderId="17" xfId="0" applyBorder="1" applyAlignment="1">
      <alignment/>
    </xf>
    <xf numFmtId="0" fontId="4" fillId="0" borderId="18" xfId="0" applyBorder="1" applyAlignment="1">
      <alignment/>
    </xf>
    <xf numFmtId="37" fontId="4" fillId="0" borderId="19" xfId="0" applyBorder="1" applyAlignment="1">
      <alignment/>
    </xf>
    <xf numFmtId="0" fontId="4" fillId="0" borderId="5" xfId="0" applyBorder="1" applyAlignment="1">
      <alignment/>
    </xf>
    <xf numFmtId="5" fontId="5" fillId="0" borderId="20" xfId="0" applyBorder="1" applyAlignment="1">
      <alignment/>
    </xf>
    <xf numFmtId="5" fontId="5" fillId="0" borderId="21" xfId="0" applyBorder="1" applyAlignment="1">
      <alignment/>
    </xf>
    <xf numFmtId="5" fontId="5" fillId="0" borderId="22" xfId="0" applyBorder="1" applyAlignment="1">
      <alignment/>
    </xf>
    <xf numFmtId="37" fontId="4" fillId="2" borderId="4" xfId="0" applyFill="1" applyBorder="1" applyAlignment="1">
      <alignment/>
    </xf>
    <xf numFmtId="37" fontId="4" fillId="2" borderId="0" xfId="0" applyFill="1" applyAlignment="1">
      <alignment/>
    </xf>
    <xf numFmtId="37" fontId="4" fillId="2" borderId="5" xfId="0" applyFill="1" applyBorder="1" applyAlignment="1">
      <alignment/>
    </xf>
    <xf numFmtId="5" fontId="4" fillId="0" borderId="4" xfId="0" applyBorder="1" applyAlignment="1">
      <alignment horizontal="left"/>
    </xf>
    <xf numFmtId="5" fontId="4" fillId="0" borderId="4" xfId="0" applyBorder="1" applyAlignment="1">
      <alignment/>
    </xf>
    <xf numFmtId="37" fontId="4" fillId="0" borderId="4" xfId="0" applyBorder="1" applyAlignment="1">
      <alignment/>
    </xf>
    <xf numFmtId="37" fontId="4" fillId="0" borderId="11" xfId="0" applyBorder="1" applyAlignment="1">
      <alignment/>
    </xf>
    <xf numFmtId="37" fontId="4" fillId="0" borderId="4" xfId="0" applyBorder="1" applyAlignment="1">
      <alignment horizontal="left"/>
    </xf>
    <xf numFmtId="10" fontId="5" fillId="0" borderId="20" xfId="0" applyBorder="1" applyAlignment="1">
      <alignment/>
    </xf>
    <xf numFmtId="10" fontId="5" fillId="0" borderId="21" xfId="0" applyBorder="1" applyAlignment="1">
      <alignment/>
    </xf>
    <xf numFmtId="10" fontId="5" fillId="0" borderId="22" xfId="0" applyBorder="1" applyAlignment="1">
      <alignment/>
    </xf>
    <xf numFmtId="37" fontId="4" fillId="0" borderId="6" xfId="0" applyBorder="1" applyAlignment="1">
      <alignment horizontal="center"/>
    </xf>
    <xf numFmtId="0" fontId="4" fillId="0" borderId="6" xfId="0" applyBorder="1" applyAlignment="1">
      <alignment/>
    </xf>
    <xf numFmtId="0" fontId="4" fillId="0" borderId="23" xfId="0" applyBorder="1" applyAlignment="1">
      <alignment/>
    </xf>
    <xf numFmtId="37" fontId="4" fillId="2" borderId="6" xfId="0" applyFill="1" applyBorder="1" applyAlignment="1">
      <alignment/>
    </xf>
    <xf numFmtId="37" fontId="4" fillId="2" borderId="7" xfId="0" applyFill="1" applyBorder="1" applyAlignment="1">
      <alignment/>
    </xf>
    <xf numFmtId="37" fontId="4" fillId="2" borderId="8" xfId="0" applyFill="1" applyBorder="1" applyAlignment="1">
      <alignment/>
    </xf>
    <xf numFmtId="37" fontId="4" fillId="0" borderId="7" xfId="0" applyBorder="1" applyAlignment="1">
      <alignment/>
    </xf>
    <xf numFmtId="37" fontId="8" fillId="0" borderId="4" xfId="0" applyBorder="1" applyAlignment="1">
      <alignment/>
    </xf>
    <xf numFmtId="37" fontId="5" fillId="0" borderId="14" xfId="0" applyBorder="1" applyAlignment="1">
      <alignment/>
    </xf>
    <xf numFmtId="37" fontId="5" fillId="0" borderId="15" xfId="0" applyBorder="1" applyAlignment="1">
      <alignment/>
    </xf>
    <xf numFmtId="37" fontId="5" fillId="0" borderId="16" xfId="0" applyBorder="1" applyAlignment="1">
      <alignment/>
    </xf>
    <xf numFmtId="37" fontId="4" fillId="0" borderId="14" xfId="0" applyBorder="1" applyAlignment="1">
      <alignment/>
    </xf>
    <xf numFmtId="37" fontId="4" fillId="0" borderId="15" xfId="0" applyBorder="1" applyAlignment="1">
      <alignment/>
    </xf>
    <xf numFmtId="37" fontId="4" fillId="0" borderId="16" xfId="0" applyBorder="1" applyAlignment="1">
      <alignment/>
    </xf>
    <xf numFmtId="0" fontId="4" fillId="0" borderId="17" xfId="0" applyBorder="1" applyAlignment="1">
      <alignment/>
    </xf>
    <xf numFmtId="0" fontId="4" fillId="0" borderId="18" xfId="0" applyBorder="1" applyAlignment="1">
      <alignment/>
    </xf>
    <xf numFmtId="0" fontId="4" fillId="0" borderId="19" xfId="0" applyBorder="1" applyAlignment="1">
      <alignment/>
    </xf>
    <xf numFmtId="0" fontId="4" fillId="0" borderId="12" xfId="0" applyBorder="1" applyAlignment="1">
      <alignment/>
    </xf>
    <xf numFmtId="0" fontId="4" fillId="0" borderId="13" xfId="0" applyBorder="1" applyAlignment="1">
      <alignment/>
    </xf>
    <xf numFmtId="37" fontId="4" fillId="0" borderId="4" xfId="0" applyBorder="1" applyAlignment="1">
      <alignment horizontal="left"/>
    </xf>
    <xf numFmtId="37" fontId="4" fillId="0" borderId="6" xfId="0" applyBorder="1" applyAlignment="1">
      <alignment/>
    </xf>
    <xf numFmtId="37" fontId="4" fillId="0" borderId="8" xfId="0" applyBorder="1" applyAlignment="1">
      <alignment/>
    </xf>
    <xf numFmtId="0" fontId="4" fillId="0" borderId="0" xfId="0" applyAlignment="1">
      <alignment horizontal="right"/>
    </xf>
    <xf numFmtId="37" fontId="5" fillId="0" borderId="3" xfId="0" applyBorder="1" applyAlignment="1">
      <alignment/>
    </xf>
    <xf numFmtId="37" fontId="5" fillId="0" borderId="5" xfId="0" applyBorder="1" applyAlignment="1">
      <alignment/>
    </xf>
    <xf numFmtId="0" fontId="5" fillId="0" borderId="1" xfId="0" applyBorder="1" applyAlignment="1">
      <alignment horizontal="center"/>
    </xf>
    <xf numFmtId="0" fontId="5" fillId="0" borderId="2" xfId="0" applyBorder="1" applyAlignment="1">
      <alignment horizontal="center"/>
    </xf>
    <xf numFmtId="0" fontId="5" fillId="0" borderId="3" xfId="0" applyBorder="1" applyAlignment="1">
      <alignment horizontal="center"/>
    </xf>
    <xf numFmtId="0" fontId="5" fillId="0" borderId="10" xfId="0" applyBorder="1" applyAlignment="1">
      <alignment/>
    </xf>
    <xf numFmtId="0" fontId="4" fillId="0" borderId="10" xfId="0" applyBorder="1" applyAlignment="1">
      <alignment/>
    </xf>
    <xf numFmtId="5" fontId="4" fillId="0" borderId="10" xfId="0" applyBorder="1" applyAlignment="1">
      <alignment/>
    </xf>
    <xf numFmtId="5" fontId="4" fillId="0" borderId="0" xfId="0" applyAlignment="1">
      <alignment/>
    </xf>
    <xf numFmtId="5" fontId="4" fillId="0" borderId="5" xfId="0" applyBorder="1" applyAlignment="1">
      <alignment/>
    </xf>
    <xf numFmtId="0" fontId="4" fillId="0" borderId="5" xfId="0" applyBorder="1" applyAlignment="1">
      <alignment/>
    </xf>
    <xf numFmtId="0" fontId="4" fillId="0" borderId="24" xfId="0" applyBorder="1" applyAlignment="1">
      <alignment/>
    </xf>
    <xf numFmtId="0" fontId="5" fillId="0" borderId="9" xfId="0" applyBorder="1" applyAlignment="1">
      <alignment/>
    </xf>
    <xf numFmtId="0" fontId="5" fillId="0" borderId="25" xfId="0" applyBorder="1" applyAlignment="1">
      <alignment/>
    </xf>
    <xf numFmtId="0" fontId="4" fillId="0" borderId="26" xfId="0" applyBorder="1" applyAlignment="1">
      <alignment/>
    </xf>
    <xf numFmtId="0" fontId="4" fillId="0" borderId="19" xfId="0" applyBorder="1" applyAlignment="1">
      <alignment/>
    </xf>
    <xf numFmtId="5" fontId="5" fillId="0" borderId="27" xfId="0" applyBorder="1" applyAlignment="1">
      <alignment/>
    </xf>
    <xf numFmtId="37" fontId="4" fillId="2" borderId="10" xfId="0" applyFill="1" applyBorder="1" applyAlignment="1">
      <alignment/>
    </xf>
    <xf numFmtId="5" fontId="4" fillId="0" borderId="10" xfId="0" applyBorder="1" applyAlignment="1">
      <alignment horizontal="left"/>
    </xf>
    <xf numFmtId="5" fontId="4" fillId="0" borderId="0" xfId="0" applyAlignment="1">
      <alignment horizontal="left"/>
    </xf>
    <xf numFmtId="5" fontId="4" fillId="0" borderId="5" xfId="0" applyBorder="1" applyAlignment="1">
      <alignment horizontal="left"/>
    </xf>
    <xf numFmtId="37" fontId="4" fillId="0" borderId="24" xfId="0" applyBorder="1" applyAlignment="1">
      <alignment/>
    </xf>
    <xf numFmtId="37" fontId="4" fillId="0" borderId="10" xfId="0" applyBorder="1" applyAlignment="1">
      <alignment horizontal="left"/>
    </xf>
    <xf numFmtId="37" fontId="4" fillId="0" borderId="0" xfId="0" applyAlignment="1">
      <alignment horizontal="left"/>
    </xf>
    <xf numFmtId="37" fontId="4" fillId="0" borderId="5" xfId="0" applyBorder="1" applyAlignment="1">
      <alignment horizontal="left"/>
    </xf>
    <xf numFmtId="10" fontId="5" fillId="0" borderId="10" xfId="0" applyBorder="1" applyAlignment="1">
      <alignment/>
    </xf>
    <xf numFmtId="10" fontId="5" fillId="0" borderId="0" xfId="0" applyAlignment="1">
      <alignment/>
    </xf>
    <xf numFmtId="10" fontId="5" fillId="0" borderId="5" xfId="0" applyBorder="1" applyAlignment="1">
      <alignment/>
    </xf>
    <xf numFmtId="37" fontId="4" fillId="0" borderId="23" xfId="0" applyBorder="1" applyAlignment="1">
      <alignment horizontal="center"/>
    </xf>
    <xf numFmtId="10" fontId="4" fillId="0" borderId="23" xfId="0" applyBorder="1" applyAlignment="1">
      <alignment/>
    </xf>
    <xf numFmtId="10" fontId="4" fillId="0" borderId="7" xfId="0" applyBorder="1" applyAlignment="1">
      <alignment/>
    </xf>
    <xf numFmtId="10" fontId="4" fillId="0" borderId="8" xfId="0" applyBorder="1" applyAlignment="1">
      <alignment/>
    </xf>
    <xf numFmtId="37" fontId="5" fillId="0" borderId="25" xfId="0" applyBorder="1" applyAlignment="1">
      <alignment/>
    </xf>
    <xf numFmtId="37" fontId="5" fillId="0" borderId="15" xfId="0" applyBorder="1" applyAlignment="1">
      <alignment/>
    </xf>
    <xf numFmtId="37" fontId="5" fillId="0" borderId="16" xfId="0" applyBorder="1" applyAlignment="1">
      <alignment/>
    </xf>
    <xf numFmtId="37" fontId="5" fillId="0" borderId="14" xfId="0" applyBorder="1" applyAlignment="1">
      <alignment/>
    </xf>
    <xf numFmtId="37" fontId="4" fillId="0" borderId="25" xfId="0" applyBorder="1" applyAlignment="1">
      <alignment/>
    </xf>
    <xf numFmtId="0" fontId="4" fillId="0" borderId="26" xfId="0" applyBorder="1" applyAlignment="1">
      <alignment/>
    </xf>
    <xf numFmtId="37" fontId="4" fillId="0" borderId="10" xfId="0" applyBorder="1" applyAlignment="1">
      <alignment horizontal="left"/>
    </xf>
    <xf numFmtId="37" fontId="4" fillId="0" borderId="0" xfId="0" applyAlignment="1">
      <alignment horizontal="left"/>
    </xf>
    <xf numFmtId="37" fontId="4" fillId="0" borderId="5" xfId="0" applyBorder="1" applyAlignment="1">
      <alignment horizontal="left"/>
    </xf>
    <xf numFmtId="37" fontId="4" fillId="0" borderId="23" xfId="0" applyBorder="1" applyAlignment="1">
      <alignment/>
    </xf>
    <xf numFmtId="5" fontId="4" fillId="0" borderId="0" xfId="0" applyAlignment="1">
      <alignment horizontal="right"/>
    </xf>
    <xf numFmtId="168" fontId="4" fillId="0" borderId="0" xfId="0" applyAlignment="1">
      <alignment/>
    </xf>
    <xf numFmtId="0" fontId="4" fillId="0" borderId="3" xfId="0" applyBorder="1" applyAlignment="1">
      <alignment/>
    </xf>
    <xf numFmtId="5" fontId="4" fillId="0" borderId="0" xfId="0" applyAlignment="1">
      <alignment horizontal="right"/>
    </xf>
    <xf numFmtId="0" fontId="5" fillId="0" borderId="1" xfId="0" applyBorder="1" applyAlignment="1">
      <alignment/>
    </xf>
    <xf numFmtId="0" fontId="5" fillId="0" borderId="2" xfId="0" applyBorder="1" applyAlignment="1">
      <alignment/>
    </xf>
    <xf numFmtId="0" fontId="5" fillId="0" borderId="4" xfId="0" applyBorder="1" applyAlignment="1">
      <alignment/>
    </xf>
    <xf numFmtId="10" fontId="5" fillId="0" borderId="0" xfId="0" applyAlignment="1">
      <alignment horizontal="center"/>
    </xf>
    <xf numFmtId="10" fontId="4" fillId="0" borderId="0" xfId="0" applyAlignment="1">
      <alignment horizontal="center"/>
    </xf>
    <xf numFmtId="0" fontId="5" fillId="0" borderId="17" xfId="0" applyBorder="1" applyAlignment="1">
      <alignment horizontal="center"/>
    </xf>
    <xf numFmtId="0" fontId="5" fillId="0" borderId="28" xfId="0" applyBorder="1" applyAlignment="1">
      <alignment horizontal="center"/>
    </xf>
    <xf numFmtId="0" fontId="5" fillId="0" borderId="18" xfId="0" applyBorder="1" applyAlignment="1">
      <alignment horizontal="center"/>
    </xf>
    <xf numFmtId="0" fontId="5" fillId="0" borderId="28" xfId="0" applyBorder="1" applyAlignment="1">
      <alignment horizontal="center"/>
    </xf>
    <xf numFmtId="169" fontId="5" fillId="0" borderId="28" xfId="0" applyBorder="1" applyAlignment="1">
      <alignment horizontal="center"/>
    </xf>
    <xf numFmtId="0" fontId="4" fillId="0" borderId="28" xfId="0" applyBorder="1" applyAlignment="1">
      <alignment horizontal="center"/>
    </xf>
    <xf numFmtId="0" fontId="4" fillId="0" borderId="29" xfId="0" applyBorder="1" applyAlignment="1">
      <alignment horizontal="center"/>
    </xf>
    <xf numFmtId="0" fontId="4" fillId="0" borderId="30" xfId="0" applyBorder="1" applyAlignment="1">
      <alignment/>
    </xf>
    <xf numFmtId="0" fontId="4" fillId="0" borderId="30" xfId="0" applyBorder="1" applyAlignment="1">
      <alignment horizontal="center"/>
    </xf>
    <xf numFmtId="169" fontId="4" fillId="0" borderId="30" xfId="0" applyBorder="1" applyAlignment="1">
      <alignment horizontal="center"/>
    </xf>
    <xf numFmtId="0" fontId="4" fillId="0" borderId="31" xfId="0" applyBorder="1" applyAlignment="1">
      <alignment/>
    </xf>
    <xf numFmtId="10" fontId="4" fillId="0" borderId="0" xfId="0" applyAlignment="1">
      <alignment/>
    </xf>
    <xf numFmtId="170" fontId="4" fillId="0" borderId="30" xfId="0" applyBorder="1" applyAlignment="1">
      <alignment/>
    </xf>
    <xf numFmtId="169" fontId="4" fillId="0" borderId="30" xfId="0" applyBorder="1" applyAlignment="1">
      <alignment/>
    </xf>
    <xf numFmtId="37" fontId="4" fillId="0" borderId="30" xfId="0" applyBorder="1" applyAlignment="1">
      <alignment/>
    </xf>
    <xf numFmtId="37" fontId="4" fillId="0" borderId="31" xfId="0" applyBorder="1" applyAlignment="1">
      <alignment/>
    </xf>
    <xf numFmtId="10" fontId="4" fillId="0" borderId="30" xfId="0" applyBorder="1" applyAlignment="1">
      <alignment/>
    </xf>
    <xf numFmtId="170" fontId="4" fillId="0" borderId="30" xfId="0" applyBorder="1" applyAlignment="1">
      <alignment/>
    </xf>
    <xf numFmtId="0" fontId="4" fillId="0" borderId="32" xfId="0" applyBorder="1" applyAlignment="1">
      <alignment/>
    </xf>
    <xf numFmtId="0" fontId="4" fillId="0" borderId="7" xfId="0" applyBorder="1" applyAlignment="1">
      <alignment/>
    </xf>
    <xf numFmtId="170" fontId="4" fillId="0" borderId="32" xfId="0" applyBorder="1" applyAlignment="1">
      <alignment/>
    </xf>
    <xf numFmtId="169" fontId="4" fillId="0" borderId="32" xfId="0" applyBorder="1" applyAlignment="1">
      <alignment/>
    </xf>
    <xf numFmtId="37" fontId="4" fillId="0" borderId="32" xfId="0" applyBorder="1" applyAlignment="1">
      <alignment/>
    </xf>
    <xf numFmtId="37" fontId="4" fillId="0" borderId="33" xfId="0" applyBorder="1" applyAlignment="1">
      <alignment/>
    </xf>
    <xf numFmtId="37" fontId="5" fillId="0" borderId="1" xfId="0" applyBorder="1" applyAlignment="1">
      <alignment/>
    </xf>
    <xf numFmtId="37" fontId="5" fillId="0" borderId="34" xfId="0" applyBorder="1" applyAlignment="1">
      <alignment horizontal="center"/>
    </xf>
    <xf numFmtId="0" fontId="5" fillId="0" borderId="34" xfId="0" applyBorder="1" applyAlignment="1">
      <alignment horizontal="center"/>
    </xf>
    <xf numFmtId="0" fontId="5" fillId="0" borderId="35" xfId="0" applyBorder="1" applyAlignment="1">
      <alignment horizontal="center"/>
    </xf>
    <xf numFmtId="37" fontId="5" fillId="0" borderId="36" xfId="0" applyBorder="1" applyAlignment="1">
      <alignment horizontal="center"/>
    </xf>
    <xf numFmtId="37" fontId="4" fillId="0" borderId="30" xfId="0" applyBorder="1" applyAlignment="1">
      <alignment horizontal="center"/>
    </xf>
    <xf numFmtId="37" fontId="4" fillId="0" borderId="37" xfId="0" applyBorder="1" applyAlignment="1">
      <alignment horizontal="center"/>
    </xf>
    <xf numFmtId="37" fontId="4" fillId="0" borderId="31" xfId="0" applyBorder="1" applyAlignment="1">
      <alignment horizontal="center"/>
    </xf>
    <xf numFmtId="37" fontId="4" fillId="0" borderId="37" xfId="0" applyBorder="1" applyAlignment="1">
      <alignment/>
    </xf>
    <xf numFmtId="1" fontId="4" fillId="0" borderId="4" xfId="0" applyBorder="1" applyAlignment="1">
      <alignment/>
    </xf>
    <xf numFmtId="0" fontId="4" fillId="0" borderId="30" xfId="0" applyBorder="1" applyAlignment="1">
      <alignment horizontal="center"/>
    </xf>
    <xf numFmtId="171" fontId="4" fillId="0" borderId="37" xfId="0" applyBorder="1" applyAlignment="1">
      <alignment/>
    </xf>
    <xf numFmtId="171" fontId="4" fillId="0" borderId="38" xfId="0" applyBorder="1" applyAlignment="1">
      <alignment/>
    </xf>
    <xf numFmtId="171" fontId="4" fillId="0" borderId="37" xfId="0" applyBorder="1" applyAlignment="1">
      <alignment horizontal="right"/>
    </xf>
    <xf numFmtId="171" fontId="5" fillId="0" borderId="39" xfId="0" applyBorder="1" applyAlignment="1">
      <alignment/>
    </xf>
    <xf numFmtId="37" fontId="4" fillId="0" borderId="37" xfId="0" applyBorder="1" applyAlignment="1">
      <alignment horizontal="right"/>
    </xf>
    <xf numFmtId="1" fontId="4" fillId="0" borderId="6" xfId="0" applyBorder="1" applyAlignment="1">
      <alignment/>
    </xf>
    <xf numFmtId="170" fontId="4" fillId="0" borderId="32" xfId="0" applyBorder="1" applyAlignment="1">
      <alignment/>
    </xf>
    <xf numFmtId="172" fontId="4" fillId="0" borderId="40" xfId="0" applyBorder="1" applyAlignment="1">
      <alignment/>
    </xf>
    <xf numFmtId="37" fontId="5" fillId="0" borderId="0" xfId="0" applyAlignment="1">
      <alignment/>
    </xf>
    <xf numFmtId="173" fontId="4" fillId="0" borderId="0" xfId="0" applyAlignment="1">
      <alignment/>
    </xf>
    <xf numFmtId="0" fontId="4" fillId="0" borderId="0" xfId="0" applyAlignment="1">
      <alignment horizontal="left"/>
    </xf>
    <xf numFmtId="1" fontId="4" fillId="0" borderId="4" xfId="0" applyBorder="1" applyAlignment="1">
      <alignment horizontal="center"/>
    </xf>
    <xf numFmtId="5" fontId="4" fillId="0" borderId="30" xfId="0" applyBorder="1" applyAlignment="1">
      <alignment/>
    </xf>
    <xf numFmtId="10" fontId="5" fillId="0" borderId="31" xfId="0" applyBorder="1" applyAlignment="1">
      <alignment/>
    </xf>
    <xf numFmtId="0" fontId="4" fillId="0" borderId="30" xfId="0" applyBorder="1" applyAlignment="1">
      <alignment/>
    </xf>
    <xf numFmtId="37" fontId="5" fillId="0" borderId="31" xfId="0" applyBorder="1" applyAlignment="1">
      <alignment/>
    </xf>
    <xf numFmtId="37" fontId="4" fillId="0" borderId="30" xfId="0" applyBorder="1" applyAlignment="1">
      <alignment horizontal="right"/>
    </xf>
    <xf numFmtId="37" fontId="4" fillId="0" borderId="0" xfId="0" applyAlignment="1">
      <alignment horizontal="right"/>
    </xf>
    <xf numFmtId="37" fontId="4" fillId="0" borderId="31" xfId="0" applyBorder="1" applyAlignment="1">
      <alignment horizontal="right"/>
    </xf>
    <xf numFmtId="5" fontId="4" fillId="0" borderId="41" xfId="0" applyBorder="1" applyAlignment="1">
      <alignment/>
    </xf>
    <xf numFmtId="10" fontId="4" fillId="0" borderId="42" xfId="0" applyBorder="1" applyAlignment="1">
      <alignment/>
    </xf>
    <xf numFmtId="10" fontId="5" fillId="0" borderId="43" xfId="0" applyBorder="1" applyAlignment="1">
      <alignment/>
    </xf>
    <xf numFmtId="0" fontId="4" fillId="0" borderId="33" xfId="0" applyBorder="1" applyAlignment="1">
      <alignment horizontal="right"/>
    </xf>
    <xf numFmtId="0" fontId="4" fillId="0" borderId="1" xfId="0" applyBorder="1" applyAlignment="1">
      <alignment/>
    </xf>
    <xf numFmtId="0" fontId="4" fillId="0" borderId="3" xfId="0" applyBorder="1" applyAlignment="1">
      <alignment/>
    </xf>
    <xf numFmtId="1" fontId="4" fillId="0" borderId="0" xfId="0" applyAlignment="1">
      <alignment/>
    </xf>
    <xf numFmtId="37" fontId="4" fillId="0" borderId="1" xfId="0" applyBorder="1" applyAlignment="1">
      <alignment horizontal="center"/>
    </xf>
    <xf numFmtId="37" fontId="4" fillId="0" borderId="34" xfId="0" applyBorder="1" applyAlignment="1">
      <alignment horizontal="center"/>
    </xf>
    <xf numFmtId="37" fontId="4" fillId="0" borderId="2" xfId="0" applyBorder="1" applyAlignment="1">
      <alignment horizontal="center"/>
    </xf>
    <xf numFmtId="37" fontId="4" fillId="0" borderId="35" xfId="0" applyBorder="1" applyAlignment="1">
      <alignment horizontal="center"/>
    </xf>
    <xf numFmtId="5" fontId="4" fillId="0" borderId="30" xfId="0" applyBorder="1" applyAlignment="1">
      <alignment/>
    </xf>
    <xf numFmtId="37" fontId="4" fillId="0" borderId="37" xfId="0" applyBorder="1" applyAlignment="1">
      <alignment/>
    </xf>
    <xf numFmtId="0" fontId="4" fillId="0" borderId="44" xfId="0" applyBorder="1" applyAlignment="1">
      <alignment/>
    </xf>
    <xf numFmtId="5" fontId="4" fillId="0" borderId="45" xfId="0" applyBorder="1" applyAlignment="1">
      <alignment/>
    </xf>
    <xf numFmtId="5" fontId="4" fillId="0" borderId="46" xfId="0" applyBorder="1" applyAlignment="1">
      <alignment/>
    </xf>
    <xf numFmtId="0" fontId="4" fillId="0" borderId="37" xfId="0" applyBorder="1" applyAlignment="1">
      <alignment/>
    </xf>
    <xf numFmtId="10" fontId="4" fillId="0" borderId="37" xfId="0" applyBorder="1" applyAlignment="1">
      <alignment/>
    </xf>
    <xf numFmtId="5" fontId="4" fillId="0" borderId="37" xfId="0" applyBorder="1" applyAlignment="1">
      <alignment/>
    </xf>
    <xf numFmtId="37" fontId="4" fillId="0" borderId="30" xfId="0" applyBorder="1" applyAlignment="1">
      <alignment/>
    </xf>
    <xf numFmtId="5" fontId="4" fillId="0" borderId="28" xfId="0" applyBorder="1" applyAlignment="1">
      <alignment/>
    </xf>
    <xf numFmtId="5" fontId="4" fillId="0" borderId="18" xfId="0" applyBorder="1" applyAlignment="1">
      <alignment/>
    </xf>
    <xf numFmtId="5" fontId="4" fillId="0" borderId="45" xfId="0" applyBorder="1" applyAlignment="1">
      <alignment/>
    </xf>
    <xf numFmtId="5" fontId="4" fillId="0" borderId="12" xfId="0" applyBorder="1" applyAlignment="1">
      <alignment/>
    </xf>
    <xf numFmtId="5" fontId="4" fillId="0" borderId="39" xfId="0" applyBorder="1" applyAlignment="1">
      <alignment/>
    </xf>
    <xf numFmtId="5" fontId="4" fillId="0" borderId="42" xfId="0" applyBorder="1" applyAlignment="1">
      <alignment/>
    </xf>
    <xf numFmtId="5" fontId="5" fillId="0" borderId="47" xfId="0" applyBorder="1" applyAlignment="1">
      <alignment/>
    </xf>
    <xf numFmtId="37" fontId="4" fillId="0" borderId="40" xfId="0" applyBorder="1" applyAlignment="1">
      <alignment/>
    </xf>
    <xf numFmtId="37" fontId="8" fillId="0" borderId="5" xfId="0" applyBorder="1" applyAlignment="1">
      <alignment/>
    </xf>
    <xf numFmtId="37" fontId="4" fillId="0" borderId="48" xfId="0" applyBorder="1" applyAlignment="1">
      <alignment horizontal="center"/>
    </xf>
    <xf numFmtId="0" fontId="4" fillId="0" borderId="2" xfId="0" applyBorder="1" applyAlignment="1">
      <alignment horizontal="center"/>
    </xf>
    <xf numFmtId="0" fontId="4" fillId="0" borderId="36" xfId="0" applyBorder="1" applyAlignment="1">
      <alignment horizontal="center"/>
    </xf>
    <xf numFmtId="37" fontId="4" fillId="0" borderId="49" xfId="0" applyBorder="1" applyAlignment="1">
      <alignment horizontal="center"/>
    </xf>
    <xf numFmtId="0" fontId="4" fillId="0" borderId="49" xfId="0" applyBorder="1" applyAlignment="1">
      <alignment/>
    </xf>
    <xf numFmtId="5" fontId="4" fillId="0" borderId="31" xfId="0" applyBorder="1" applyAlignment="1">
      <alignment/>
    </xf>
    <xf numFmtId="10" fontId="4" fillId="0" borderId="31" xfId="0" applyBorder="1" applyAlignment="1">
      <alignment/>
    </xf>
    <xf numFmtId="170" fontId="4" fillId="0" borderId="31" xfId="0" applyBorder="1" applyAlignment="1">
      <alignment/>
    </xf>
    <xf numFmtId="5" fontId="4" fillId="0" borderId="29" xfId="0" applyBorder="1" applyAlignment="1">
      <alignment/>
    </xf>
    <xf numFmtId="5" fontId="4" fillId="0" borderId="43" xfId="0" applyBorder="1" applyAlignment="1">
      <alignment/>
    </xf>
    <xf numFmtId="171" fontId="4" fillId="0" borderId="31" xfId="0" applyBorder="1" applyAlignment="1">
      <alignment/>
    </xf>
    <xf numFmtId="5" fontId="5" fillId="0" borderId="43" xfId="0" applyBorder="1" applyAlignment="1">
      <alignment/>
    </xf>
    <xf numFmtId="0" fontId="4" fillId="0" borderId="50" xfId="0" applyBorder="1" applyAlignment="1">
      <alignment/>
    </xf>
    <xf numFmtId="37" fontId="4" fillId="0" borderId="33" xfId="0" applyBorder="1" applyAlignment="1">
      <alignment/>
    </xf>
    <xf numFmtId="37" fontId="4" fillId="0" borderId="1" xfId="0" applyBorder="1" applyAlignment="1">
      <alignment/>
    </xf>
    <xf numFmtId="37" fontId="5" fillId="0" borderId="2" xfId="0" applyBorder="1" applyAlignment="1">
      <alignment/>
    </xf>
    <xf numFmtId="37" fontId="4" fillId="0" borderId="2" xfId="0" applyBorder="1" applyAlignment="1">
      <alignment/>
    </xf>
    <xf numFmtId="37" fontId="9" fillId="0" borderId="2" xfId="0" applyBorder="1" applyAlignment="1">
      <alignment/>
    </xf>
    <xf numFmtId="37" fontId="4" fillId="0" borderId="3" xfId="0" applyBorder="1" applyAlignment="1">
      <alignment/>
    </xf>
    <xf numFmtId="37" fontId="4" fillId="0" borderId="28" xfId="0" applyBorder="1" applyAlignment="1">
      <alignment/>
    </xf>
    <xf numFmtId="37" fontId="4" fillId="0" borderId="18" xfId="0" applyBorder="1" applyAlignment="1">
      <alignment/>
    </xf>
    <xf numFmtId="37" fontId="4" fillId="0" borderId="51" xfId="0" applyBorder="1" applyAlignment="1">
      <alignment/>
    </xf>
    <xf numFmtId="37" fontId="4" fillId="0" borderId="44" xfId="0" applyBorder="1" applyAlignment="1">
      <alignment/>
    </xf>
    <xf numFmtId="37" fontId="5" fillId="0" borderId="0" xfId="0" applyAlignment="1">
      <alignment horizontal="left"/>
    </xf>
    <xf numFmtId="37" fontId="5" fillId="0" borderId="0" xfId="0" applyAlignment="1">
      <alignment horizontal="center"/>
    </xf>
    <xf numFmtId="37" fontId="5" fillId="0" borderId="5" xfId="0" applyBorder="1" applyAlignment="1">
      <alignment horizontal="center"/>
    </xf>
    <xf numFmtId="37" fontId="5" fillId="0" borderId="4" xfId="0" applyBorder="1" applyAlignment="1">
      <alignment/>
    </xf>
    <xf numFmtId="37" fontId="4" fillId="0" borderId="30" xfId="0" applyBorder="1" applyAlignment="1">
      <alignment horizontal="left"/>
    </xf>
    <xf numFmtId="37" fontId="5" fillId="0" borderId="9" xfId="0" applyBorder="1" applyAlignment="1">
      <alignment horizontal="center"/>
    </xf>
    <xf numFmtId="37" fontId="5" fillId="0" borderId="2" xfId="0" applyBorder="1" applyAlignment="1">
      <alignment horizontal="center"/>
    </xf>
    <xf numFmtId="37" fontId="5" fillId="0" borderId="1" xfId="0" applyBorder="1" applyAlignment="1">
      <alignment horizontal="center"/>
    </xf>
    <xf numFmtId="37" fontId="5" fillId="0" borderId="35" xfId="0" applyBorder="1" applyAlignment="1">
      <alignment horizontal="center"/>
    </xf>
    <xf numFmtId="37" fontId="5" fillId="0" borderId="34" xfId="0" applyBorder="1" applyAlignment="1">
      <alignment horizontal="center"/>
    </xf>
    <xf numFmtId="37" fontId="5" fillId="0" borderId="36" xfId="0" applyBorder="1" applyAlignment="1">
      <alignment horizontal="center"/>
    </xf>
    <xf numFmtId="37" fontId="4" fillId="0" borderId="10" xfId="0" applyBorder="1" applyAlignment="1">
      <alignment horizontal="center"/>
    </xf>
    <xf numFmtId="37" fontId="4" fillId="0" borderId="31" xfId="0" applyBorder="1" applyAlignment="1">
      <alignment/>
    </xf>
    <xf numFmtId="37" fontId="4" fillId="0" borderId="18" xfId="0" applyBorder="1" applyAlignment="1">
      <alignment horizontal="left"/>
    </xf>
    <xf numFmtId="37" fontId="4" fillId="0" borderId="0" xfId="0" applyAlignment="1">
      <alignment horizontal="center"/>
    </xf>
    <xf numFmtId="5" fontId="5" fillId="0" borderId="17" xfId="0" applyBorder="1" applyAlignment="1">
      <alignment/>
    </xf>
    <xf numFmtId="5" fontId="5" fillId="0" borderId="38" xfId="0" applyBorder="1" applyAlignment="1">
      <alignment/>
    </xf>
    <xf numFmtId="37" fontId="5" fillId="0" borderId="28" xfId="0" applyBorder="1" applyAlignment="1">
      <alignment/>
    </xf>
    <xf numFmtId="10" fontId="5" fillId="0" borderId="38" xfId="0" applyBorder="1" applyAlignment="1">
      <alignment/>
    </xf>
    <xf numFmtId="10" fontId="5" fillId="0" borderId="29" xfId="0" applyBorder="1" applyAlignment="1">
      <alignment/>
    </xf>
    <xf numFmtId="37" fontId="4" fillId="0" borderId="17" xfId="0" applyBorder="1" applyAlignment="1">
      <alignment/>
    </xf>
    <xf numFmtId="37" fontId="4" fillId="0" borderId="38" xfId="0" applyBorder="1" applyAlignment="1">
      <alignment/>
    </xf>
    <xf numFmtId="37" fontId="4" fillId="0" borderId="29" xfId="0" applyBorder="1" applyAlignment="1">
      <alignment/>
    </xf>
    <xf numFmtId="37" fontId="8" fillId="0" borderId="0" xfId="0" applyAlignment="1">
      <alignment/>
    </xf>
    <xf numFmtId="37" fontId="4" fillId="0" borderId="18" xfId="0" applyBorder="1" applyAlignment="1">
      <alignment/>
    </xf>
    <xf numFmtId="37" fontId="4" fillId="0" borderId="18" xfId="0" applyBorder="1" applyAlignment="1">
      <alignment horizontal="center"/>
    </xf>
    <xf numFmtId="37" fontId="4" fillId="0" borderId="4" xfId="0" applyBorder="1" applyAlignment="1">
      <alignment horizontal="center"/>
    </xf>
    <xf numFmtId="37" fontId="4" fillId="0" borderId="0" xfId="0" applyAlignment="1">
      <alignment horizontal="right"/>
    </xf>
    <xf numFmtId="10" fontId="4" fillId="0" borderId="28" xfId="0" applyBorder="1" applyAlignment="1">
      <alignment/>
    </xf>
    <xf numFmtId="10" fontId="5" fillId="0" borderId="28" xfId="0" applyBorder="1" applyAlignment="1">
      <alignment/>
    </xf>
    <xf numFmtId="37" fontId="5" fillId="0" borderId="17" xfId="0" applyBorder="1" applyAlignment="1">
      <alignment/>
    </xf>
    <xf numFmtId="37" fontId="5" fillId="0" borderId="38" xfId="0" applyBorder="1" applyAlignment="1">
      <alignment/>
    </xf>
    <xf numFmtId="5" fontId="5" fillId="0" borderId="28" xfId="0" applyBorder="1" applyAlignment="1">
      <alignment/>
    </xf>
    <xf numFmtId="10" fontId="4" fillId="0" borderId="38" xfId="0" applyBorder="1" applyAlignment="1">
      <alignment/>
    </xf>
    <xf numFmtId="5" fontId="4" fillId="0" borderId="17" xfId="0" applyBorder="1" applyAlignment="1">
      <alignment/>
    </xf>
    <xf numFmtId="5" fontId="4" fillId="0" borderId="38" xfId="0" applyBorder="1" applyAlignment="1">
      <alignment/>
    </xf>
    <xf numFmtId="37" fontId="4" fillId="0" borderId="52" xfId="0" applyBorder="1" applyAlignment="1">
      <alignment/>
    </xf>
    <xf numFmtId="37" fontId="4" fillId="0" borderId="53" xfId="0" applyBorder="1" applyAlignment="1">
      <alignment/>
    </xf>
    <xf numFmtId="37" fontId="4" fillId="0" borderId="53" xfId="0" applyBorder="1" applyAlignment="1">
      <alignment/>
    </xf>
    <xf numFmtId="37" fontId="4" fillId="0" borderId="54" xfId="0" applyBorder="1" applyAlignment="1">
      <alignment/>
    </xf>
    <xf numFmtId="5" fontId="5" fillId="0" borderId="4" xfId="0" applyBorder="1" applyAlignment="1">
      <alignment/>
    </xf>
    <xf numFmtId="5" fontId="5" fillId="0" borderId="37" xfId="0" applyBorder="1" applyAlignment="1">
      <alignment/>
    </xf>
    <xf numFmtId="5" fontId="5" fillId="0" borderId="30" xfId="0" applyBorder="1" applyAlignment="1">
      <alignment/>
    </xf>
    <xf numFmtId="37" fontId="4" fillId="0" borderId="23" xfId="0" applyBorder="1" applyAlignment="1">
      <alignment horizontal="center"/>
    </xf>
    <xf numFmtId="37" fontId="4" fillId="0" borderId="7" xfId="0" applyBorder="1" applyAlignment="1">
      <alignment/>
    </xf>
    <xf numFmtId="37" fontId="4" fillId="0" borderId="55" xfId="0" applyBorder="1" applyAlignment="1">
      <alignment/>
    </xf>
    <xf numFmtId="37" fontId="4" fillId="0" borderId="56" xfId="0" applyBorder="1" applyAlignment="1">
      <alignment/>
    </xf>
    <xf numFmtId="37" fontId="4" fillId="0" borderId="57" xfId="0" applyBorder="1" applyAlignment="1">
      <alignment/>
    </xf>
    <xf numFmtId="37" fontId="4" fillId="0" borderId="58" xfId="0" applyBorder="1" applyAlignment="1">
      <alignment/>
    </xf>
    <xf numFmtId="37" fontId="5" fillId="0" borderId="26" xfId="0" applyBorder="1" applyAlignment="1">
      <alignment/>
    </xf>
    <xf numFmtId="10" fontId="4" fillId="0" borderId="59" xfId="0" applyBorder="1" applyAlignment="1">
      <alignment/>
    </xf>
    <xf numFmtId="5" fontId="4" fillId="0" borderId="39" xfId="0" applyBorder="1" applyAlignment="1">
      <alignment/>
    </xf>
    <xf numFmtId="10" fontId="4" fillId="0" borderId="60" xfId="0" applyBorder="1" applyAlignment="1">
      <alignment/>
    </xf>
    <xf numFmtId="0" fontId="4" fillId="0" borderId="40" xfId="0" applyBorder="1" applyAlignment="1">
      <alignment horizontal="center"/>
    </xf>
    <xf numFmtId="0" fontId="4" fillId="0" borderId="33" xfId="0" applyBorder="1" applyAlignment="1">
      <alignment horizontal="center"/>
    </xf>
    <xf numFmtId="7" fontId="4" fillId="0" borderId="37" xfId="0" applyBorder="1" applyAlignment="1">
      <alignment/>
    </xf>
    <xf numFmtId="39" fontId="4" fillId="0" borderId="37" xfId="0" applyBorder="1" applyAlignment="1">
      <alignment/>
    </xf>
    <xf numFmtId="39" fontId="4" fillId="0" borderId="40" xfId="0" applyBorder="1" applyAlignment="1">
      <alignment horizontal="center"/>
    </xf>
    <xf numFmtId="7" fontId="4" fillId="0" borderId="40" xfId="0" applyBorder="1" applyAlignment="1">
      <alignment horizontal="center"/>
    </xf>
    <xf numFmtId="10" fontId="4" fillId="0" borderId="33" xfId="0" applyBorder="1" applyAlignment="1">
      <alignment horizontal="center"/>
    </xf>
    <xf numFmtId="0" fontId="4" fillId="0" borderId="59" xfId="0" applyBorder="1" applyAlignment="1">
      <alignment horizontal="right"/>
    </xf>
    <xf numFmtId="0" fontId="4" fillId="0" borderId="59" xfId="0" applyBorder="1" applyAlignment="1">
      <alignment/>
    </xf>
    <xf numFmtId="0" fontId="4" fillId="0" borderId="52" xfId="0" applyBorder="1" applyAlignment="1">
      <alignment horizontal="right"/>
    </xf>
    <xf numFmtId="5" fontId="4" fillId="0" borderId="61" xfId="0" applyBorder="1" applyAlignment="1">
      <alignment/>
    </xf>
    <xf numFmtId="5" fontId="4" fillId="0" borderId="62" xfId="0" applyBorder="1" applyAlignment="1">
      <alignment/>
    </xf>
    <xf numFmtId="37" fontId="4" fillId="0" borderId="1" xfId="0" applyBorder="1" applyAlignment="1">
      <alignment/>
    </xf>
    <xf numFmtId="37" fontId="5" fillId="0" borderId="4" xfId="0" applyBorder="1" applyAlignment="1">
      <alignment horizontal="center"/>
    </xf>
    <xf numFmtId="37" fontId="5" fillId="0" borderId="31" xfId="0" applyBorder="1" applyAlignment="1">
      <alignment horizontal="center"/>
    </xf>
    <xf numFmtId="37" fontId="5" fillId="0" borderId="63" xfId="0" applyBorder="1" applyAlignment="1">
      <alignment horizontal="center"/>
    </xf>
    <xf numFmtId="37" fontId="5" fillId="0" borderId="16" xfId="0" applyBorder="1" applyAlignment="1">
      <alignment horizontal="center"/>
    </xf>
    <xf numFmtId="37" fontId="5" fillId="0" borderId="48" xfId="0" applyBorder="1" applyAlignment="1">
      <alignment horizontal="center"/>
    </xf>
    <xf numFmtId="37" fontId="4" fillId="0" borderId="10" xfId="0" applyBorder="1" applyAlignment="1">
      <alignment/>
    </xf>
    <xf numFmtId="37" fontId="4" fillId="0" borderId="49" xfId="0" applyBorder="1" applyAlignment="1">
      <alignment/>
    </xf>
    <xf numFmtId="5" fontId="5" fillId="0" borderId="29" xfId="0" applyBorder="1" applyAlignment="1">
      <alignment/>
    </xf>
    <xf numFmtId="37" fontId="5" fillId="0" borderId="64" xfId="0" applyBorder="1" applyAlignment="1">
      <alignment/>
    </xf>
    <xf numFmtId="37" fontId="5" fillId="0" borderId="29" xfId="0" applyBorder="1" applyAlignment="1">
      <alignment/>
    </xf>
    <xf numFmtId="37" fontId="4" fillId="0" borderId="26" xfId="0" applyBorder="1" applyAlignment="1">
      <alignment/>
    </xf>
    <xf numFmtId="37" fontId="4" fillId="0" borderId="64" xfId="0" applyBorder="1" applyAlignment="1">
      <alignment/>
    </xf>
    <xf numFmtId="37" fontId="5" fillId="0" borderId="31" xfId="0" applyBorder="1" applyAlignment="1">
      <alignment/>
    </xf>
    <xf numFmtId="10" fontId="4" fillId="0" borderId="29" xfId="0" applyBorder="1" applyAlignment="1">
      <alignment/>
    </xf>
    <xf numFmtId="5" fontId="5" fillId="0" borderId="31" xfId="0" applyBorder="1" applyAlignment="1">
      <alignment/>
    </xf>
    <xf numFmtId="37" fontId="4" fillId="0" borderId="65" xfId="0" applyBorder="1" applyAlignment="1">
      <alignment/>
    </xf>
    <xf numFmtId="37" fontId="4" fillId="0" borderId="66" xfId="0" applyBorder="1" applyAlignment="1">
      <alignment/>
    </xf>
    <xf numFmtId="37" fontId="4" fillId="0" borderId="45" xfId="0" applyBorder="1" applyAlignment="1">
      <alignment/>
    </xf>
    <xf numFmtId="37" fontId="4" fillId="0" borderId="46" xfId="0" applyBorder="1" applyAlignment="1">
      <alignment/>
    </xf>
    <xf numFmtId="37" fontId="4" fillId="0" borderId="13" xfId="0" applyBorder="1" applyAlignment="1">
      <alignment/>
    </xf>
    <xf numFmtId="37" fontId="4" fillId="0" borderId="30" xfId="0" applyBorder="1" applyAlignment="1">
      <alignment horizontal="center"/>
    </xf>
    <xf numFmtId="37" fontId="4" fillId="0" borderId="44" xfId="0" applyBorder="1" applyAlignment="1">
      <alignment horizontal="center"/>
    </xf>
    <xf numFmtId="37" fontId="5" fillId="0" borderId="67" xfId="0" applyBorder="1" applyAlignment="1">
      <alignment horizontal="center"/>
    </xf>
    <xf numFmtId="37" fontId="4" fillId="0" borderId="44" xfId="0" applyBorder="1" applyAlignment="1">
      <alignment/>
    </xf>
    <xf numFmtId="37" fontId="10" fillId="0" borderId="0" xfId="0" applyAlignment="1">
      <alignment/>
    </xf>
    <xf numFmtId="5" fontId="4" fillId="0" borderId="44" xfId="0" applyBorder="1" applyAlignment="1">
      <alignment/>
    </xf>
    <xf numFmtId="37" fontId="4" fillId="0" borderId="39" xfId="0" applyBorder="1" applyAlignment="1">
      <alignment/>
    </xf>
    <xf numFmtId="37" fontId="4" fillId="0" borderId="60" xfId="0" applyBorder="1" applyAlignment="1">
      <alignment/>
    </xf>
    <xf numFmtId="37" fontId="4" fillId="0" borderId="68" xfId="0" applyBorder="1" applyAlignment="1">
      <alignment/>
    </xf>
    <xf numFmtId="37" fontId="4" fillId="0" borderId="47" xfId="0" applyBorder="1" applyAlignment="1">
      <alignment/>
    </xf>
    <xf numFmtId="37" fontId="4" fillId="0" borderId="43" xfId="0" applyBorder="1" applyAlignment="1">
      <alignment/>
    </xf>
    <xf numFmtId="10" fontId="4" fillId="0" borderId="47" xfId="0" applyBorder="1" applyAlignment="1">
      <alignment/>
    </xf>
    <xf numFmtId="10" fontId="4" fillId="0" borderId="43" xfId="0" applyBorder="1" applyAlignment="1">
      <alignment/>
    </xf>
    <xf numFmtId="5" fontId="4" fillId="0" borderId="47" xfId="0" applyBorder="1" applyAlignment="1">
      <alignment/>
    </xf>
    <xf numFmtId="37" fontId="4" fillId="0" borderId="6" xfId="0" applyBorder="1" applyAlignment="1">
      <alignment/>
    </xf>
    <xf numFmtId="37" fontId="4" fillId="0" borderId="40" xfId="0" applyBorder="1" applyAlignment="1">
      <alignment/>
    </xf>
    <xf numFmtId="37" fontId="4" fillId="0" borderId="69" xfId="0" applyBorder="1" applyAlignment="1">
      <alignment/>
    </xf>
    <xf numFmtId="37" fontId="8" fillId="0" borderId="26" xfId="0" applyBorder="1" applyAlignment="1">
      <alignment/>
    </xf>
    <xf numFmtId="10" fontId="4" fillId="0" borderId="5" xfId="0" applyBorder="1" applyAlignment="1">
      <alignment/>
    </xf>
    <xf numFmtId="169" fontId="4" fillId="0" borderId="0" xfId="0" applyAlignment="1">
      <alignment/>
    </xf>
    <xf numFmtId="0" fontId="11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4.7109375" style="0" customWidth="1"/>
    <col min="3" max="3" width="45.7109375" style="0" customWidth="1"/>
    <col min="4" max="6" width="15.7109375" style="0" customWidth="1"/>
    <col min="7" max="16384" width="12.7109375" style="0" customWidth="1"/>
  </cols>
  <sheetData>
    <row r="1" spans="1:34" ht="15.75">
      <c r="A1" s="1"/>
      <c r="B1" s="2"/>
      <c r="C1" s="3" t="s">
        <v>0</v>
      </c>
      <c r="D1" s="2"/>
      <c r="E1" s="4"/>
      <c r="F1" s="5" t="str">
        <f>"Year "&amp;FIXED(+$E$348,0)</f>
        <v>Year 2,000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8.5" customHeight="1">
      <c r="A2" s="4"/>
      <c r="B2" s="1"/>
      <c r="C2" s="3" t="s">
        <v>1</v>
      </c>
      <c r="D2" s="4"/>
      <c r="E2" s="4"/>
      <c r="F2" s="4"/>
      <c r="G2" s="3" t="s">
        <v>2</v>
      </c>
      <c r="H2" s="4"/>
      <c r="I2" s="4"/>
      <c r="J2" s="4"/>
      <c r="K2" s="4"/>
      <c r="L2" s="4"/>
      <c r="M2" s="4"/>
      <c r="N2" s="6"/>
      <c r="O2" s="7"/>
      <c r="P2" s="7"/>
      <c r="Q2" s="7"/>
      <c r="R2" s="7"/>
      <c r="S2" s="7"/>
      <c r="T2" s="7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.75">
      <c r="A3" s="1" t="s">
        <v>3</v>
      </c>
      <c r="B3" s="8" t="str">
        <f>$B$340</f>
        <v>RAINIER VIEW WATER CO., INC.</v>
      </c>
      <c r="C3" s="9"/>
      <c r="D3" s="9"/>
      <c r="E3" s="9"/>
      <c r="F3" s="9"/>
      <c r="G3" s="9"/>
      <c r="H3" s="10"/>
      <c r="I3" s="11"/>
      <c r="J3" s="12" t="str">
        <f>G340</f>
        <v>Company Rebuttal</v>
      </c>
      <c r="K3" s="1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5.75">
      <c r="A4" s="1" t="s">
        <v>4</v>
      </c>
      <c r="B4" s="14" t="str">
        <f>$B$341</f>
        <v>PRO FORMA INCOME STATEMENT</v>
      </c>
      <c r="C4" s="1"/>
      <c r="D4" s="1"/>
      <c r="E4" s="1"/>
      <c r="F4" s="15"/>
      <c r="G4" s="1"/>
      <c r="H4" s="16"/>
      <c r="I4" s="4"/>
      <c r="J4" s="17" t="str">
        <f>G341</f>
        <v>Docket No. UW-010877</v>
      </c>
      <c r="K4" s="1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5.75">
      <c r="A5" s="1">
        <v>0</v>
      </c>
      <c r="B5" s="19" t="str">
        <f>$B$342</f>
        <v>FOR THE 12 MONTHS ENDED DECEMBER 31, 2000</v>
      </c>
      <c r="C5" s="4"/>
      <c r="D5" s="4"/>
      <c r="E5" s="1"/>
      <c r="F5" s="20"/>
      <c r="G5" s="4"/>
      <c r="H5" s="4"/>
      <c r="I5" s="4"/>
      <c r="J5" s="17" t="s">
        <v>5</v>
      </c>
      <c r="K5" s="1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5.75">
      <c r="A6" s="1"/>
      <c r="B6" s="19"/>
      <c r="C6" s="4"/>
      <c r="D6" s="4"/>
      <c r="E6" s="1"/>
      <c r="F6" s="20"/>
      <c r="G6" s="4"/>
      <c r="H6" s="4"/>
      <c r="I6" s="4"/>
      <c r="J6" s="4"/>
      <c r="K6" s="1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5.75">
      <c r="A7" s="4"/>
      <c r="B7" s="14" t="s">
        <v>6</v>
      </c>
      <c r="C7" s="4"/>
      <c r="D7" s="4"/>
      <c r="E7" s="1"/>
      <c r="F7" s="20"/>
      <c r="G7" s="4"/>
      <c r="H7" s="4"/>
      <c r="I7" s="4"/>
      <c r="J7" s="4"/>
      <c r="K7" s="2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5.75">
      <c r="A8" s="4"/>
      <c r="B8" s="19"/>
      <c r="C8" s="17"/>
      <c r="D8" s="17"/>
      <c r="E8" s="22"/>
      <c r="F8" s="17"/>
      <c r="G8" s="22"/>
      <c r="H8" s="17"/>
      <c r="I8" s="22"/>
      <c r="J8" s="17"/>
      <c r="K8" s="23" t="s">
        <v>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"/>
    </row>
    <row r="9" spans="1:34" ht="15.75">
      <c r="A9" s="4"/>
      <c r="B9" s="19"/>
      <c r="C9" s="17"/>
      <c r="D9" s="17"/>
      <c r="E9" s="22" t="s">
        <v>8</v>
      </c>
      <c r="F9" s="24" t="s">
        <v>9</v>
      </c>
      <c r="G9" s="24" t="s">
        <v>10</v>
      </c>
      <c r="H9" s="24" t="s">
        <v>9</v>
      </c>
      <c r="I9" s="24" t="s">
        <v>11</v>
      </c>
      <c r="J9" s="24" t="s">
        <v>12</v>
      </c>
      <c r="K9" s="23" t="s">
        <v>13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5.75">
      <c r="A10" s="4"/>
      <c r="B10" s="25" t="s">
        <v>14</v>
      </c>
      <c r="C10" s="17"/>
      <c r="D10" s="17"/>
      <c r="E10" s="24" t="s">
        <v>15</v>
      </c>
      <c r="F10" s="24" t="s">
        <v>16</v>
      </c>
      <c r="G10" s="24" t="s">
        <v>15</v>
      </c>
      <c r="H10" s="24" t="s">
        <v>13</v>
      </c>
      <c r="I10" s="24" t="s">
        <v>15</v>
      </c>
      <c r="J10" s="24" t="s">
        <v>17</v>
      </c>
      <c r="K10" s="26" t="s">
        <v>15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5.75">
      <c r="A11" s="4"/>
      <c r="B11" s="27" t="s">
        <v>18</v>
      </c>
      <c r="C11" s="28" t="s">
        <v>19</v>
      </c>
      <c r="D11" s="28" t="s">
        <v>20</v>
      </c>
      <c r="E11" s="29" t="s">
        <v>21</v>
      </c>
      <c r="F11" s="29" t="s">
        <v>22</v>
      </c>
      <c r="G11" s="29" t="s">
        <v>21</v>
      </c>
      <c r="H11" s="28" t="s">
        <v>23</v>
      </c>
      <c r="I11" s="29" t="s">
        <v>21</v>
      </c>
      <c r="J11" s="29" t="s">
        <v>24</v>
      </c>
      <c r="K11" s="30" t="s">
        <v>21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5.75">
      <c r="A12" s="4"/>
      <c r="B12" s="31"/>
      <c r="C12" s="31" t="s">
        <v>25</v>
      </c>
      <c r="D12" s="32" t="s">
        <v>26</v>
      </c>
      <c r="E12" s="31" t="s">
        <v>27</v>
      </c>
      <c r="F12" s="33" t="s">
        <v>28</v>
      </c>
      <c r="G12" s="33" t="s">
        <v>29</v>
      </c>
      <c r="H12" s="33" t="s">
        <v>30</v>
      </c>
      <c r="I12" s="33" t="s">
        <v>31</v>
      </c>
      <c r="J12" s="33" t="s">
        <v>32</v>
      </c>
      <c r="K12" s="34" t="s">
        <v>33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5">
      <c r="A13" s="4"/>
      <c r="B13" s="35"/>
      <c r="C13" s="35"/>
      <c r="D13" s="36"/>
      <c r="E13" s="35"/>
      <c r="F13" s="37"/>
      <c r="G13" s="37"/>
      <c r="H13" s="37"/>
      <c r="I13" s="37"/>
      <c r="J13" s="37"/>
      <c r="K13" s="38"/>
      <c r="L13" s="4"/>
      <c r="M13" s="4"/>
      <c r="N13" s="4"/>
      <c r="O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5.75">
      <c r="A14" s="4"/>
      <c r="B14" s="35"/>
      <c r="C14" s="14" t="s">
        <v>34</v>
      </c>
      <c r="D14" s="39"/>
      <c r="E14" s="40"/>
      <c r="F14" s="4"/>
      <c r="G14" s="4"/>
      <c r="H14" s="4"/>
      <c r="I14" s="4"/>
      <c r="J14" s="4"/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">
      <c r="A15" s="4"/>
      <c r="B15" s="41">
        <v>1</v>
      </c>
      <c r="C15" s="42" t="s">
        <v>35</v>
      </c>
      <c r="D15" s="43" t="s">
        <v>36</v>
      </c>
      <c r="E15" s="44">
        <v>61772</v>
      </c>
      <c r="F15" s="45">
        <f>E126</f>
        <v>0</v>
      </c>
      <c r="G15" s="45">
        <f>E15+F15</f>
        <v>61772</v>
      </c>
      <c r="H15" s="45">
        <f>E239</f>
        <v>0</v>
      </c>
      <c r="I15" s="45">
        <f>G15+H15</f>
        <v>61772</v>
      </c>
      <c r="J15" s="45">
        <v>7643</v>
      </c>
      <c r="K15" s="46">
        <f>I15+J15</f>
        <v>69415</v>
      </c>
      <c r="L15" s="47"/>
      <c r="M15" s="4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5">
      <c r="A16" s="4"/>
      <c r="B16" s="41">
        <f>B15+1</f>
        <v>2</v>
      </c>
      <c r="C16" s="42" t="s">
        <v>37</v>
      </c>
      <c r="D16" s="43" t="s">
        <v>36</v>
      </c>
      <c r="E16" s="48">
        <v>2706447</v>
      </c>
      <c r="F16" s="1">
        <f>E127</f>
        <v>0</v>
      </c>
      <c r="G16" s="1">
        <f>E16+F16</f>
        <v>2706447</v>
      </c>
      <c r="H16" s="1">
        <f>E240</f>
        <v>-45433</v>
      </c>
      <c r="I16" s="1">
        <f>G16+H16</f>
        <v>2661014</v>
      </c>
      <c r="J16" s="49">
        <f>F482-J15</f>
        <v>431605.89008619584</v>
      </c>
      <c r="K16" s="50">
        <f>I16+J16</f>
        <v>3092619.890086196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5">
      <c r="A17" s="4"/>
      <c r="B17" s="41">
        <f>B16+1</f>
        <v>3</v>
      </c>
      <c r="C17" s="42" t="s">
        <v>38</v>
      </c>
      <c r="D17" s="43" t="s">
        <v>36</v>
      </c>
      <c r="E17" s="48">
        <v>436467</v>
      </c>
      <c r="F17" s="1">
        <f>E128</f>
        <v>-190201</v>
      </c>
      <c r="G17" s="1">
        <f>E17+F17</f>
        <v>246266</v>
      </c>
      <c r="H17" s="1">
        <f>E241</f>
        <v>0</v>
      </c>
      <c r="I17" s="1">
        <f>G17+H17</f>
        <v>246266</v>
      </c>
      <c r="J17" s="49"/>
      <c r="K17" s="50">
        <f>I17+J17</f>
        <v>246266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5">
      <c r="A18" s="4"/>
      <c r="B18" s="41">
        <f>B17+1</f>
        <v>4</v>
      </c>
      <c r="C18" s="42" t="s">
        <v>39</v>
      </c>
      <c r="D18" s="43" t="s">
        <v>36</v>
      </c>
      <c r="E18" s="48">
        <v>12177</v>
      </c>
      <c r="F18" s="1">
        <f>E129</f>
        <v>0</v>
      </c>
      <c r="G18" s="1">
        <f>E18+F18</f>
        <v>12177</v>
      </c>
      <c r="H18" s="1">
        <f>E242</f>
        <v>0</v>
      </c>
      <c r="I18" s="1">
        <f>G18+H18</f>
        <v>12177</v>
      </c>
      <c r="J18" s="49">
        <v>0</v>
      </c>
      <c r="K18" s="50">
        <f>I18+J18</f>
        <v>12177</v>
      </c>
      <c r="L18" s="5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5">
      <c r="A19" s="4"/>
      <c r="B19" s="41">
        <f>B18+1</f>
        <v>5</v>
      </c>
      <c r="C19" s="42" t="s">
        <v>40</v>
      </c>
      <c r="D19" s="41" t="str">
        <f>"Ln "&amp;FIXED(+B15,0)&amp;"+"&amp;FIXED(+B16,0)&amp;"+"&amp;FIXED(+B17,0)&amp;"+"&amp;FIXED(+B18,0)</f>
        <v>Ln 1+2+3+4</v>
      </c>
      <c r="E19" s="52">
        <f aca="true" t="shared" si="0" ref="E19:K19">SUM(E15:E18)</f>
        <v>3216863</v>
      </c>
      <c r="F19" s="53">
        <f t="shared" si="0"/>
        <v>-190201</v>
      </c>
      <c r="G19" s="53">
        <f t="shared" si="0"/>
        <v>3026662</v>
      </c>
      <c r="H19" s="53">
        <f t="shared" si="0"/>
        <v>-45433</v>
      </c>
      <c r="I19" s="53">
        <f t="shared" si="0"/>
        <v>2981229</v>
      </c>
      <c r="J19" s="54">
        <f t="shared" si="0"/>
        <v>439248.89008619584</v>
      </c>
      <c r="K19" s="55">
        <f t="shared" si="0"/>
        <v>3420477.890086196</v>
      </c>
      <c r="L19" s="5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5">
      <c r="A20" s="4"/>
      <c r="B20" s="41">
        <f>B19+1</f>
        <v>6</v>
      </c>
      <c r="C20" s="42" t="s">
        <v>41</v>
      </c>
      <c r="D20" s="43" t="s">
        <v>36</v>
      </c>
      <c r="E20" s="42">
        <v>42912</v>
      </c>
      <c r="F20" s="1">
        <f>E131</f>
        <v>0</v>
      </c>
      <c r="G20" s="1">
        <f>E20+F20</f>
        <v>42912</v>
      </c>
      <c r="H20" s="1">
        <f>E244</f>
        <v>0</v>
      </c>
      <c r="I20" s="1">
        <f>G20+H20</f>
        <v>42912</v>
      </c>
      <c r="J20" s="49">
        <v>0</v>
      </c>
      <c r="K20" s="50">
        <f>I20+J20</f>
        <v>42912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5">
      <c r="A21" s="4"/>
      <c r="B21" s="41"/>
      <c r="C21" s="42"/>
      <c r="D21" s="43"/>
      <c r="E21" s="42"/>
      <c r="F21" s="1"/>
      <c r="G21" s="1"/>
      <c r="H21" s="1"/>
      <c r="I21" s="1"/>
      <c r="J21" s="49"/>
      <c r="K21" s="50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5.75">
      <c r="A22" s="4"/>
      <c r="B22" s="41">
        <f>B20+1</f>
        <v>7</v>
      </c>
      <c r="C22" s="14" t="s">
        <v>42</v>
      </c>
      <c r="D22" s="41" t="str">
        <f>"Ln "&amp;FIXED(+B19,0)&amp;"+"&amp;FIXED(+B20,0)</f>
        <v>Ln 5+6</v>
      </c>
      <c r="E22" s="8">
        <f aca="true" t="shared" si="1" ref="E22:K22">E19+E20</f>
        <v>3259775</v>
      </c>
      <c r="F22" s="57">
        <f t="shared" si="1"/>
        <v>-190201</v>
      </c>
      <c r="G22" s="57">
        <f t="shared" si="1"/>
        <v>3069574</v>
      </c>
      <c r="H22" s="57">
        <f t="shared" si="1"/>
        <v>-45433</v>
      </c>
      <c r="I22" s="57">
        <f t="shared" si="1"/>
        <v>3024141</v>
      </c>
      <c r="J22" s="57">
        <f t="shared" si="1"/>
        <v>439248.89008619584</v>
      </c>
      <c r="K22" s="58">
        <f t="shared" si="1"/>
        <v>3463389.890086196</v>
      </c>
      <c r="L22" s="5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5.75">
      <c r="A23" s="4"/>
      <c r="B23" s="41"/>
      <c r="C23" s="14"/>
      <c r="D23" s="41"/>
      <c r="E23" s="8"/>
      <c r="F23" s="57"/>
      <c r="G23" s="57"/>
      <c r="H23" s="57"/>
      <c r="I23" s="57"/>
      <c r="J23" s="57"/>
      <c r="K23" s="58"/>
      <c r="L23" s="5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>
      <c r="A24" s="4"/>
      <c r="B24" s="35"/>
      <c r="C24" s="14" t="s">
        <v>43</v>
      </c>
      <c r="D24" s="39"/>
      <c r="E24" s="40"/>
      <c r="F24" s="4"/>
      <c r="G24" s="4"/>
      <c r="H24" s="4"/>
      <c r="I24" s="4"/>
      <c r="J24" s="4"/>
      <c r="K24" s="1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5">
      <c r="A25" s="4"/>
      <c r="B25" s="41">
        <f>B22+1</f>
        <v>8</v>
      </c>
      <c r="C25" s="42" t="s">
        <v>44</v>
      </c>
      <c r="D25" s="43" t="s">
        <v>36</v>
      </c>
      <c r="E25" s="48">
        <v>621844</v>
      </c>
      <c r="F25" s="1">
        <f aca="true" t="shared" si="2" ref="F25:F45">E136</f>
        <v>0</v>
      </c>
      <c r="G25" s="1">
        <f aca="true" t="shared" si="3" ref="G25:G45">E25+F25</f>
        <v>621844</v>
      </c>
      <c r="H25" s="1">
        <f aca="true" t="shared" si="4" ref="H25:H45">E249</f>
        <v>133056</v>
      </c>
      <c r="I25" s="1">
        <f aca="true" t="shared" si="5" ref="I25:I45">G25+H25</f>
        <v>754900</v>
      </c>
      <c r="J25" s="1">
        <v>0</v>
      </c>
      <c r="K25" s="50">
        <f aca="true" t="shared" si="6" ref="K25:K45">I25+J25</f>
        <v>754900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">
      <c r="A26" s="4"/>
      <c r="B26" s="41">
        <f aca="true" t="shared" si="7" ref="B26:B46">B25+1</f>
        <v>9</v>
      </c>
      <c r="C26" s="42" t="s">
        <v>45</v>
      </c>
      <c r="D26" s="43" t="s">
        <v>36</v>
      </c>
      <c r="E26" s="48">
        <v>76440</v>
      </c>
      <c r="F26" s="1">
        <f t="shared" si="2"/>
        <v>0</v>
      </c>
      <c r="G26" s="1">
        <f t="shared" si="3"/>
        <v>76440</v>
      </c>
      <c r="H26" s="1">
        <f t="shared" si="4"/>
        <v>5800</v>
      </c>
      <c r="I26" s="1">
        <f t="shared" si="5"/>
        <v>82240</v>
      </c>
      <c r="J26" s="1">
        <v>0</v>
      </c>
      <c r="K26" s="50">
        <f t="shared" si="6"/>
        <v>82240</v>
      </c>
      <c r="L26" s="4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">
      <c r="A27" s="4"/>
      <c r="B27" s="41">
        <f t="shared" si="7"/>
        <v>10</v>
      </c>
      <c r="C27" s="42" t="s">
        <v>46</v>
      </c>
      <c r="D27" s="43" t="s">
        <v>36</v>
      </c>
      <c r="E27" s="48">
        <v>155856</v>
      </c>
      <c r="F27" s="1">
        <f t="shared" si="2"/>
        <v>0</v>
      </c>
      <c r="G27" s="1">
        <f t="shared" si="3"/>
        <v>155856</v>
      </c>
      <c r="H27" s="1">
        <f t="shared" si="4"/>
        <v>49798</v>
      </c>
      <c r="I27" s="1">
        <f t="shared" si="5"/>
        <v>205654</v>
      </c>
      <c r="J27" s="1">
        <v>0</v>
      </c>
      <c r="K27" s="50">
        <f t="shared" si="6"/>
        <v>205654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">
      <c r="A28" s="4"/>
      <c r="B28" s="41">
        <f t="shared" si="7"/>
        <v>11</v>
      </c>
      <c r="C28" s="42" t="s">
        <v>47</v>
      </c>
      <c r="D28" s="43" t="s">
        <v>36</v>
      </c>
      <c r="E28" s="48">
        <v>173896</v>
      </c>
      <c r="F28" s="1">
        <f t="shared" si="2"/>
        <v>0</v>
      </c>
      <c r="G28" s="1">
        <f t="shared" si="3"/>
        <v>173896</v>
      </c>
      <c r="H28" s="1">
        <f t="shared" si="4"/>
        <v>46345</v>
      </c>
      <c r="I28" s="1">
        <f t="shared" si="5"/>
        <v>220241</v>
      </c>
      <c r="J28" s="1">
        <v>0</v>
      </c>
      <c r="K28" s="50">
        <f t="shared" si="6"/>
        <v>220241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">
      <c r="A29" s="4"/>
      <c r="B29" s="41">
        <f t="shared" si="7"/>
        <v>12</v>
      </c>
      <c r="C29" s="42" t="s">
        <v>48</v>
      </c>
      <c r="D29" s="43" t="s">
        <v>36</v>
      </c>
      <c r="E29" s="42">
        <v>79313</v>
      </c>
      <c r="F29" s="1">
        <f t="shared" si="2"/>
        <v>0</v>
      </c>
      <c r="G29" s="1">
        <f t="shared" si="3"/>
        <v>79313</v>
      </c>
      <c r="H29" s="1">
        <f t="shared" si="4"/>
        <v>0</v>
      </c>
      <c r="I29" s="1">
        <f t="shared" si="5"/>
        <v>79313</v>
      </c>
      <c r="J29" s="1">
        <v>0</v>
      </c>
      <c r="K29" s="50">
        <f t="shared" si="6"/>
        <v>79313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">
      <c r="A30" s="4"/>
      <c r="B30" s="41">
        <f t="shared" si="7"/>
        <v>13</v>
      </c>
      <c r="C30" s="42" t="s">
        <v>49</v>
      </c>
      <c r="D30" s="43" t="s">
        <v>36</v>
      </c>
      <c r="E30" s="42">
        <v>376036</v>
      </c>
      <c r="F30" s="1">
        <f t="shared" si="2"/>
        <v>0</v>
      </c>
      <c r="G30" s="1">
        <f t="shared" si="3"/>
        <v>376036</v>
      </c>
      <c r="H30" s="1">
        <f t="shared" si="4"/>
        <v>23918</v>
      </c>
      <c r="I30" s="1">
        <f t="shared" si="5"/>
        <v>399954</v>
      </c>
      <c r="J30" s="1">
        <v>0</v>
      </c>
      <c r="K30" s="50">
        <f t="shared" si="6"/>
        <v>399954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">
      <c r="A31" s="4"/>
      <c r="B31" s="41">
        <f t="shared" si="7"/>
        <v>14</v>
      </c>
      <c r="C31" s="42" t="s">
        <v>50</v>
      </c>
      <c r="D31" s="43" t="s">
        <v>36</v>
      </c>
      <c r="E31" s="48">
        <v>37709</v>
      </c>
      <c r="F31" s="1">
        <f t="shared" si="2"/>
        <v>0</v>
      </c>
      <c r="G31" s="1">
        <f t="shared" si="3"/>
        <v>37709</v>
      </c>
      <c r="H31" s="1">
        <f t="shared" si="4"/>
        <v>0</v>
      </c>
      <c r="I31" s="1">
        <f t="shared" si="5"/>
        <v>37709</v>
      </c>
      <c r="J31" s="1">
        <v>0</v>
      </c>
      <c r="K31" s="50">
        <f t="shared" si="6"/>
        <v>37709</v>
      </c>
      <c r="L31" s="60"/>
      <c r="M31" s="1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">
      <c r="A32" s="4"/>
      <c r="B32" s="41">
        <f t="shared" si="7"/>
        <v>15</v>
      </c>
      <c r="C32" s="42" t="s">
        <v>51</v>
      </c>
      <c r="D32" s="43" t="s">
        <v>36</v>
      </c>
      <c r="E32" s="42">
        <v>26961</v>
      </c>
      <c r="F32" s="1">
        <f t="shared" si="2"/>
        <v>0</v>
      </c>
      <c r="G32" s="1">
        <f t="shared" si="3"/>
        <v>26961</v>
      </c>
      <c r="H32" s="1">
        <f t="shared" si="4"/>
        <v>0</v>
      </c>
      <c r="I32" s="1">
        <f t="shared" si="5"/>
        <v>26961</v>
      </c>
      <c r="J32" s="1">
        <v>0</v>
      </c>
      <c r="K32" s="50">
        <f t="shared" si="6"/>
        <v>26961</v>
      </c>
      <c r="L32" s="1"/>
      <c r="M32" s="1"/>
      <c r="N32" s="1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">
      <c r="A33" s="4"/>
      <c r="B33" s="41">
        <f t="shared" si="7"/>
        <v>16</v>
      </c>
      <c r="C33" s="42" t="s">
        <v>52</v>
      </c>
      <c r="D33" s="43" t="s">
        <v>36</v>
      </c>
      <c r="E33" s="42">
        <v>29681</v>
      </c>
      <c r="F33" s="1">
        <f t="shared" si="2"/>
        <v>0</v>
      </c>
      <c r="G33" s="1">
        <f t="shared" si="3"/>
        <v>29681</v>
      </c>
      <c r="H33" s="1">
        <f t="shared" si="4"/>
        <v>6342</v>
      </c>
      <c r="I33" s="1">
        <f t="shared" si="5"/>
        <v>36023</v>
      </c>
      <c r="J33" s="1">
        <v>0</v>
      </c>
      <c r="K33" s="50">
        <f t="shared" si="6"/>
        <v>36023</v>
      </c>
      <c r="L33" s="1"/>
      <c r="M33" s="1"/>
      <c r="N33" s="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">
      <c r="A34" s="4"/>
      <c r="B34" s="41">
        <f t="shared" si="7"/>
        <v>17</v>
      </c>
      <c r="C34" s="42" t="s">
        <v>53</v>
      </c>
      <c r="D34" s="43" t="s">
        <v>36</v>
      </c>
      <c r="E34" s="42">
        <v>7138</v>
      </c>
      <c r="F34" s="1">
        <f t="shared" si="2"/>
        <v>0</v>
      </c>
      <c r="G34" s="1">
        <f t="shared" si="3"/>
        <v>7138</v>
      </c>
      <c r="H34" s="1">
        <f t="shared" si="4"/>
        <v>0</v>
      </c>
      <c r="I34" s="1">
        <f t="shared" si="5"/>
        <v>7138</v>
      </c>
      <c r="J34" s="1">
        <v>0</v>
      </c>
      <c r="K34" s="50">
        <f t="shared" si="6"/>
        <v>7138</v>
      </c>
      <c r="L34" s="1"/>
      <c r="M34" s="1"/>
      <c r="N34" s="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">
      <c r="A35" s="4"/>
      <c r="B35" s="41">
        <f t="shared" si="7"/>
        <v>18</v>
      </c>
      <c r="C35" s="42" t="s">
        <v>54</v>
      </c>
      <c r="D35" s="43" t="s">
        <v>36</v>
      </c>
      <c r="E35" s="42">
        <v>49740</v>
      </c>
      <c r="F35" s="1">
        <f t="shared" si="2"/>
        <v>0</v>
      </c>
      <c r="G35" s="1">
        <f t="shared" si="3"/>
        <v>49740</v>
      </c>
      <c r="H35" s="1">
        <f t="shared" si="4"/>
        <v>0</v>
      </c>
      <c r="I35" s="1">
        <f t="shared" si="5"/>
        <v>49740</v>
      </c>
      <c r="J35" s="1">
        <v>0</v>
      </c>
      <c r="K35" s="50">
        <f t="shared" si="6"/>
        <v>49740</v>
      </c>
      <c r="L35" s="1"/>
      <c r="M35" s="1"/>
      <c r="N35" s="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">
      <c r="A36" s="4"/>
      <c r="B36" s="41">
        <f t="shared" si="7"/>
        <v>19</v>
      </c>
      <c r="C36" s="42" t="s">
        <v>55</v>
      </c>
      <c r="D36" s="43" t="s">
        <v>36</v>
      </c>
      <c r="E36" s="42">
        <v>200</v>
      </c>
      <c r="F36" s="1">
        <f t="shared" si="2"/>
        <v>0</v>
      </c>
      <c r="G36" s="1">
        <f t="shared" si="3"/>
        <v>200</v>
      </c>
      <c r="H36" s="1">
        <f t="shared" si="4"/>
        <v>0</v>
      </c>
      <c r="I36" s="1">
        <f t="shared" si="5"/>
        <v>200</v>
      </c>
      <c r="J36" s="1">
        <v>0</v>
      </c>
      <c r="K36" s="50">
        <f t="shared" si="6"/>
        <v>200</v>
      </c>
      <c r="L36" s="1"/>
      <c r="M36" s="1"/>
      <c r="N36" s="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">
      <c r="A37" s="4"/>
      <c r="B37" s="41">
        <f t="shared" si="7"/>
        <v>20</v>
      </c>
      <c r="C37" s="42" t="s">
        <v>56</v>
      </c>
      <c r="D37" s="43" t="s">
        <v>36</v>
      </c>
      <c r="E37" s="42">
        <v>89840</v>
      </c>
      <c r="F37" s="1">
        <f t="shared" si="2"/>
        <v>0</v>
      </c>
      <c r="G37" s="1">
        <f t="shared" si="3"/>
        <v>89840</v>
      </c>
      <c r="H37" s="1">
        <f t="shared" si="4"/>
        <v>0</v>
      </c>
      <c r="I37" s="1">
        <f t="shared" si="5"/>
        <v>89840</v>
      </c>
      <c r="J37" s="1">
        <v>0</v>
      </c>
      <c r="K37" s="50">
        <f t="shared" si="6"/>
        <v>89840</v>
      </c>
      <c r="L37" s="1"/>
      <c r="M37" s="1"/>
      <c r="N37" s="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">
      <c r="A38" s="4"/>
      <c r="B38" s="41">
        <f t="shared" si="7"/>
        <v>21</v>
      </c>
      <c r="C38" s="42" t="s">
        <v>57</v>
      </c>
      <c r="D38" s="43" t="s">
        <v>36</v>
      </c>
      <c r="E38" s="42">
        <v>34259</v>
      </c>
      <c r="F38" s="1">
        <f t="shared" si="2"/>
        <v>0</v>
      </c>
      <c r="G38" s="1">
        <f t="shared" si="3"/>
        <v>34259</v>
      </c>
      <c r="H38" s="1">
        <f t="shared" si="4"/>
        <v>-6911</v>
      </c>
      <c r="I38" s="1">
        <f t="shared" si="5"/>
        <v>27348</v>
      </c>
      <c r="J38" s="1">
        <v>0</v>
      </c>
      <c r="K38" s="50">
        <f t="shared" si="6"/>
        <v>27348</v>
      </c>
      <c r="L38" s="1"/>
      <c r="M38" s="1"/>
      <c r="N38" s="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">
      <c r="A39" s="4"/>
      <c r="B39" s="41">
        <f t="shared" si="7"/>
        <v>22</v>
      </c>
      <c r="C39" s="42" t="s">
        <v>58</v>
      </c>
      <c r="D39" s="43" t="s">
        <v>36</v>
      </c>
      <c r="E39" s="42">
        <v>14785</v>
      </c>
      <c r="F39" s="1">
        <f t="shared" si="2"/>
        <v>0</v>
      </c>
      <c r="G39" s="1">
        <f t="shared" si="3"/>
        <v>14785</v>
      </c>
      <c r="H39" s="1">
        <f t="shared" si="4"/>
        <v>55069</v>
      </c>
      <c r="I39" s="1">
        <f t="shared" si="5"/>
        <v>69854</v>
      </c>
      <c r="J39" s="1">
        <v>0</v>
      </c>
      <c r="K39" s="50">
        <f t="shared" si="6"/>
        <v>69854</v>
      </c>
      <c r="L39" s="1"/>
      <c r="M39" s="1"/>
      <c r="N39" s="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">
      <c r="A40" s="4"/>
      <c r="B40" s="41">
        <f t="shared" si="7"/>
        <v>23</v>
      </c>
      <c r="C40" s="42" t="s">
        <v>59</v>
      </c>
      <c r="D40" s="43" t="s">
        <v>36</v>
      </c>
      <c r="E40" s="42">
        <v>5479</v>
      </c>
      <c r="F40" s="1">
        <f t="shared" si="2"/>
        <v>0</v>
      </c>
      <c r="G40" s="1">
        <f t="shared" si="3"/>
        <v>5479</v>
      </c>
      <c r="H40" s="1">
        <f t="shared" si="4"/>
        <v>0</v>
      </c>
      <c r="I40" s="1">
        <f t="shared" si="5"/>
        <v>5479</v>
      </c>
      <c r="J40" s="1">
        <f>J22*(E358+E362)</f>
        <v>878.4977801723919</v>
      </c>
      <c r="K40" s="50">
        <f t="shared" si="6"/>
        <v>6357.497780172392</v>
      </c>
      <c r="L40" s="1"/>
      <c r="M40" s="1"/>
      <c r="N40" s="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">
      <c r="A41" s="4"/>
      <c r="B41" s="41">
        <f t="shared" si="7"/>
        <v>24</v>
      </c>
      <c r="C41" s="42" t="s">
        <v>60</v>
      </c>
      <c r="D41" s="43" t="s">
        <v>36</v>
      </c>
      <c r="E41" s="42">
        <v>17197</v>
      </c>
      <c r="F41" s="1">
        <f t="shared" si="2"/>
        <v>0</v>
      </c>
      <c r="G41" s="1">
        <f t="shared" si="3"/>
        <v>17197</v>
      </c>
      <c r="H41" s="1">
        <f t="shared" si="4"/>
        <v>0</v>
      </c>
      <c r="I41" s="1">
        <f t="shared" si="5"/>
        <v>17197</v>
      </c>
      <c r="J41" s="1">
        <v>0</v>
      </c>
      <c r="K41" s="50">
        <f t="shared" si="6"/>
        <v>17197</v>
      </c>
      <c r="L41" s="1"/>
      <c r="M41" s="1"/>
      <c r="N41" s="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">
      <c r="A42" s="4"/>
      <c r="B42" s="41">
        <f t="shared" si="7"/>
        <v>25</v>
      </c>
      <c r="C42" s="42" t="s">
        <v>61</v>
      </c>
      <c r="D42" s="43" t="s">
        <v>36</v>
      </c>
      <c r="E42" s="42">
        <v>402532</v>
      </c>
      <c r="F42" s="1">
        <f t="shared" si="2"/>
        <v>-75731</v>
      </c>
      <c r="G42" s="1">
        <f t="shared" si="3"/>
        <v>326801</v>
      </c>
      <c r="H42" s="1">
        <f t="shared" si="4"/>
        <v>9239</v>
      </c>
      <c r="I42" s="1">
        <f t="shared" si="5"/>
        <v>336040</v>
      </c>
      <c r="J42" s="1">
        <v>0</v>
      </c>
      <c r="K42" s="50">
        <f t="shared" si="6"/>
        <v>336040</v>
      </c>
      <c r="L42" s="1"/>
      <c r="M42" s="1"/>
      <c r="N42" s="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">
      <c r="A43" s="4"/>
      <c r="B43" s="41">
        <f t="shared" si="7"/>
        <v>26</v>
      </c>
      <c r="C43" s="42" t="s">
        <v>62</v>
      </c>
      <c r="D43" s="43" t="s">
        <v>36</v>
      </c>
      <c r="E43" s="42">
        <v>-627</v>
      </c>
      <c r="F43" s="1">
        <f t="shared" si="2"/>
        <v>53723</v>
      </c>
      <c r="G43" s="1">
        <f t="shared" si="3"/>
        <v>53096</v>
      </c>
      <c r="H43" s="1">
        <f t="shared" si="4"/>
        <v>0</v>
      </c>
      <c r="I43" s="1">
        <f t="shared" si="5"/>
        <v>53096</v>
      </c>
      <c r="J43" s="1">
        <f>J22*E354</f>
        <v>4392.488900861958</v>
      </c>
      <c r="K43" s="50">
        <f t="shared" si="6"/>
        <v>57488.48890086196</v>
      </c>
      <c r="L43" s="1"/>
      <c r="M43" s="1"/>
      <c r="N43" s="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">
      <c r="A44" s="4"/>
      <c r="B44" s="41">
        <f t="shared" si="7"/>
        <v>27</v>
      </c>
      <c r="C44" s="42" t="s">
        <v>63</v>
      </c>
      <c r="D44" s="43" t="s">
        <v>36</v>
      </c>
      <c r="E44" s="42">
        <v>295886</v>
      </c>
      <c r="F44" s="1">
        <f t="shared" si="2"/>
        <v>-12266.937960000003</v>
      </c>
      <c r="G44" s="1">
        <f t="shared" si="3"/>
        <v>283619.06204</v>
      </c>
      <c r="H44" s="1">
        <f t="shared" si="4"/>
        <v>16124.702910000004</v>
      </c>
      <c r="I44" s="1">
        <f t="shared" si="5"/>
        <v>299743.76495</v>
      </c>
      <c r="J44" s="1">
        <f>J22*E356</f>
        <v>22089.826682434796</v>
      </c>
      <c r="K44" s="50">
        <f t="shared" si="6"/>
        <v>321833.59163243475</v>
      </c>
      <c r="L44" s="1"/>
      <c r="M44" s="1"/>
      <c r="N44" s="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">
      <c r="A45" s="4"/>
      <c r="B45" s="41">
        <f t="shared" si="7"/>
        <v>28</v>
      </c>
      <c r="C45" s="42" t="s">
        <v>64</v>
      </c>
      <c r="D45" s="43" t="s">
        <v>36</v>
      </c>
      <c r="E45" s="48">
        <v>0</v>
      </c>
      <c r="F45" s="1">
        <f t="shared" si="2"/>
        <v>0</v>
      </c>
      <c r="G45" s="1">
        <f t="shared" si="3"/>
        <v>0</v>
      </c>
      <c r="H45" s="1">
        <f t="shared" si="4"/>
        <v>22567</v>
      </c>
      <c r="I45" s="1">
        <f t="shared" si="5"/>
        <v>22567</v>
      </c>
      <c r="J45" s="1">
        <v>0</v>
      </c>
      <c r="K45" s="50">
        <f t="shared" si="6"/>
        <v>22567</v>
      </c>
      <c r="L45" s="1"/>
      <c r="M45" s="1"/>
      <c r="N45" s="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75">
      <c r="A46" s="4"/>
      <c r="B46" s="41">
        <f t="shared" si="7"/>
        <v>29</v>
      </c>
      <c r="C46" s="14" t="s">
        <v>65</v>
      </c>
      <c r="D46" s="41" t="str">
        <f>"+Ln "&amp;FIXED(+B25,0)&amp;" thru "&amp;FIXED(+B45,0)</f>
        <v>+Ln 8 thru 28</v>
      </c>
      <c r="E46" s="61">
        <f aca="true" t="shared" si="8" ref="E46:K46">SUM(E25:E45)</f>
        <v>2494165</v>
      </c>
      <c r="F46" s="62">
        <f t="shared" si="8"/>
        <v>-34274.93796</v>
      </c>
      <c r="G46" s="62">
        <f t="shared" si="8"/>
        <v>2459890.06204</v>
      </c>
      <c r="H46" s="62">
        <f t="shared" si="8"/>
        <v>361347.70291</v>
      </c>
      <c r="I46" s="62">
        <f t="shared" si="8"/>
        <v>2821237.7649499997</v>
      </c>
      <c r="J46" s="62">
        <f t="shared" si="8"/>
        <v>27360.813363469148</v>
      </c>
      <c r="K46" s="63">
        <f t="shared" si="8"/>
        <v>2848598.578313469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">
      <c r="A47" s="4"/>
      <c r="B47" s="41"/>
      <c r="C47" s="42"/>
      <c r="D47" s="43"/>
      <c r="E47" s="42"/>
      <c r="F47" s="1"/>
      <c r="G47" s="1"/>
      <c r="H47" s="1"/>
      <c r="I47" s="1"/>
      <c r="J47" s="1"/>
      <c r="K47" s="50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.75">
      <c r="A48" s="4"/>
      <c r="B48" s="41">
        <f>B46+1</f>
        <v>30</v>
      </c>
      <c r="C48" s="14" t="s">
        <v>66</v>
      </c>
      <c r="D48" s="41" t="str">
        <f>"Ln "&amp;FIXED(+B22,0)&amp;"-"&amp;FIXED(+B46,0)</f>
        <v>Ln 7-29</v>
      </c>
      <c r="E48" s="64">
        <f aca="true" t="shared" si="9" ref="E48:K48">E22-E46</f>
        <v>765610</v>
      </c>
      <c r="F48" s="65">
        <f t="shared" si="9"/>
        <v>-155926.06204</v>
      </c>
      <c r="G48" s="65">
        <f t="shared" si="9"/>
        <v>609683.9379599998</v>
      </c>
      <c r="H48" s="65">
        <f t="shared" si="9"/>
        <v>-406780.70291</v>
      </c>
      <c r="I48" s="65">
        <f t="shared" si="9"/>
        <v>202903.23505000025</v>
      </c>
      <c r="J48" s="65">
        <f t="shared" si="9"/>
        <v>411888.0767227267</v>
      </c>
      <c r="K48" s="66">
        <f t="shared" si="9"/>
        <v>614791.311772727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.75">
      <c r="A49" s="4"/>
      <c r="B49" s="41"/>
      <c r="C49" s="14"/>
      <c r="D49" s="41"/>
      <c r="E49" s="64"/>
      <c r="F49" s="65"/>
      <c r="G49" s="65"/>
      <c r="H49" s="65"/>
      <c r="I49" s="65"/>
      <c r="J49" s="65"/>
      <c r="K49" s="6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>
      <c r="A50" s="4"/>
      <c r="B50" s="41">
        <f>B48+1</f>
        <v>31</v>
      </c>
      <c r="C50" s="14" t="s">
        <v>67</v>
      </c>
      <c r="D50" s="41" t="str">
        <f>"From Ln "&amp;FIXED(+B87,0)&amp;" or "&amp;FIXED(+B89,0)</f>
        <v>From Ln 46 or 47</v>
      </c>
      <c r="E50" s="42">
        <f aca="true" t="shared" si="10" ref="E50:K50">IF(+E89=0,+E87,+E89)</f>
        <v>167639.04</v>
      </c>
      <c r="F50" s="1">
        <f t="shared" si="10"/>
        <v>-53014.8610936</v>
      </c>
      <c r="G50" s="1">
        <f t="shared" si="10"/>
        <v>114624.17890640002</v>
      </c>
      <c r="H50" s="1">
        <f t="shared" si="10"/>
        <v>-138305.43898940002</v>
      </c>
      <c r="I50" s="1">
        <f t="shared" si="10"/>
        <v>-23681.260083</v>
      </c>
      <c r="J50" s="1">
        <f t="shared" si="10"/>
        <v>140041.94608572708</v>
      </c>
      <c r="K50" s="67">
        <f t="shared" si="10"/>
        <v>116360.68600272707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.75">
      <c r="A51" s="4"/>
      <c r="B51" s="41"/>
      <c r="C51" s="14"/>
      <c r="D51" s="41"/>
      <c r="E51" s="42"/>
      <c r="F51" s="1"/>
      <c r="G51" s="1"/>
      <c r="H51" s="1"/>
      <c r="I51" s="1"/>
      <c r="J51" s="1"/>
      <c r="K51" s="6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.75">
      <c r="A52" s="4"/>
      <c r="B52" s="41">
        <f>B50+1</f>
        <v>32</v>
      </c>
      <c r="C52" s="14" t="s">
        <v>68</v>
      </c>
      <c r="D52" s="41" t="str">
        <f>"Ln "&amp;FIXED(+B46,0)&amp;"+"&amp;FIXED(+B50,0)</f>
        <v>Ln 29+31</v>
      </c>
      <c r="E52" s="61">
        <f aca="true" t="shared" si="11" ref="E52:K52">E46+E50</f>
        <v>2661804.04</v>
      </c>
      <c r="F52" s="62">
        <f t="shared" si="11"/>
        <v>-87289.7990536</v>
      </c>
      <c r="G52" s="62">
        <f t="shared" si="11"/>
        <v>2574514.2409464004</v>
      </c>
      <c r="H52" s="62">
        <f t="shared" si="11"/>
        <v>223042.26392059997</v>
      </c>
      <c r="I52" s="62">
        <f t="shared" si="11"/>
        <v>2797556.5048669996</v>
      </c>
      <c r="J52" s="62">
        <f t="shared" si="11"/>
        <v>167402.75944919622</v>
      </c>
      <c r="K52" s="63">
        <f t="shared" si="11"/>
        <v>2964959.264316196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.75">
      <c r="A53" s="4"/>
      <c r="B53" s="41">
        <f>B52+1</f>
        <v>33</v>
      </c>
      <c r="C53" s="14" t="s">
        <v>69</v>
      </c>
      <c r="D53" s="41" t="str">
        <f>"Ln "&amp;FIXED(+B22,0)&amp;"-"&amp;FIXED(+B52,0)</f>
        <v>Ln 7-32</v>
      </c>
      <c r="E53" s="68">
        <f aca="true" t="shared" si="12" ref="E53:K53">E22-E52</f>
        <v>597970.96</v>
      </c>
      <c r="F53" s="69">
        <f t="shared" si="12"/>
        <v>-102911.2009464</v>
      </c>
      <c r="G53" s="69">
        <f t="shared" si="12"/>
        <v>495059.75905359956</v>
      </c>
      <c r="H53" s="69">
        <f t="shared" si="12"/>
        <v>-268475.26392059994</v>
      </c>
      <c r="I53" s="69">
        <f t="shared" si="12"/>
        <v>226584.49513300043</v>
      </c>
      <c r="J53" s="69">
        <f t="shared" si="12"/>
        <v>271846.1306369996</v>
      </c>
      <c r="K53" s="70">
        <f t="shared" si="12"/>
        <v>498430.6257699998</v>
      </c>
      <c r="L53" s="60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5">
      <c r="A54" s="4"/>
      <c r="B54" s="35"/>
      <c r="C54" s="42"/>
      <c r="D54" s="36"/>
      <c r="E54" s="71"/>
      <c r="F54" s="72"/>
      <c r="G54" s="72"/>
      <c r="H54" s="72"/>
      <c r="I54" s="72"/>
      <c r="J54" s="72"/>
      <c r="K54" s="73"/>
      <c r="L54" s="60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.75">
      <c r="A55" s="4"/>
      <c r="B55" s="43"/>
      <c r="C55" s="14" t="s">
        <v>70</v>
      </c>
      <c r="D55" s="43"/>
      <c r="E55" s="74"/>
      <c r="F55" s="45"/>
      <c r="G55" s="45"/>
      <c r="H55" s="45"/>
      <c r="I55" s="45"/>
      <c r="J55" s="45"/>
      <c r="K55" s="46"/>
      <c r="L55" s="60"/>
      <c r="M55" s="56"/>
      <c r="N55" s="4"/>
      <c r="O55" s="4"/>
      <c r="P55" s="1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">
      <c r="A56" s="4"/>
      <c r="B56" s="41">
        <f>B53+1</f>
        <v>34</v>
      </c>
      <c r="C56" s="42" t="s">
        <v>71</v>
      </c>
      <c r="D56" s="41" t="str">
        <f>"From Ln "&amp;FIXED(+B98,0)</f>
        <v>From Ln 53</v>
      </c>
      <c r="E56" s="75">
        <f>E98</f>
        <v>13051236</v>
      </c>
      <c r="F56" s="45">
        <f>F98</f>
        <v>-416662</v>
      </c>
      <c r="G56" s="45">
        <f>E56+F56</f>
        <v>12634574</v>
      </c>
      <c r="H56" s="45">
        <f>H98</f>
        <v>67005</v>
      </c>
      <c r="I56" s="45">
        <f>G56+H56</f>
        <v>12701579</v>
      </c>
      <c r="J56" s="45">
        <f>J98</f>
        <v>0</v>
      </c>
      <c r="K56" s="46">
        <f>K98</f>
        <v>12701579</v>
      </c>
      <c r="L56" s="60"/>
      <c r="M56" s="4"/>
      <c r="N56" s="4"/>
      <c r="O56" s="4"/>
      <c r="P56" s="1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5">
      <c r="A57" s="4"/>
      <c r="B57" s="41">
        <f>B56+1</f>
        <v>35</v>
      </c>
      <c r="C57" s="42" t="s">
        <v>72</v>
      </c>
      <c r="D57" s="41" t="str">
        <f>"From Ln "&amp;FIXED(+B102,0)</f>
        <v>From Ln 56</v>
      </c>
      <c r="E57" s="76">
        <f>E102</f>
        <v>2663652</v>
      </c>
      <c r="F57" s="49">
        <f>F102</f>
        <v>-289738</v>
      </c>
      <c r="G57" s="4">
        <f>E57+F57</f>
        <v>2373914</v>
      </c>
      <c r="H57" s="49">
        <f>H102</f>
        <v>0</v>
      </c>
      <c r="I57" s="4">
        <f>G57+H57</f>
        <v>2373914</v>
      </c>
      <c r="J57" s="49">
        <f>J102</f>
        <v>0</v>
      </c>
      <c r="K57" s="50">
        <f>K102</f>
        <v>2373914</v>
      </c>
      <c r="L57" s="60"/>
      <c r="M57" s="4"/>
      <c r="N57" s="4"/>
      <c r="O57" s="4"/>
      <c r="P57" s="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">
      <c r="A58" s="4"/>
      <c r="B58" s="41">
        <f>B57+1</f>
        <v>36</v>
      </c>
      <c r="C58" s="42" t="s">
        <v>73</v>
      </c>
      <c r="D58" s="41" t="str">
        <f>"Ln "&amp;FIXED(+B56,0)&amp;"-"&amp;FIXED(+B57,0)</f>
        <v>Ln 34-35</v>
      </c>
      <c r="E58" s="77">
        <f aca="true" t="shared" si="13" ref="E58:K58">E56-E57</f>
        <v>10387584</v>
      </c>
      <c r="F58" s="54">
        <f t="shared" si="13"/>
        <v>-126924</v>
      </c>
      <c r="G58" s="54">
        <f t="shared" si="13"/>
        <v>10260660</v>
      </c>
      <c r="H58" s="54">
        <f t="shared" si="13"/>
        <v>67005</v>
      </c>
      <c r="I58" s="54">
        <f t="shared" si="13"/>
        <v>10327665</v>
      </c>
      <c r="J58" s="54">
        <f t="shared" si="13"/>
        <v>0</v>
      </c>
      <c r="K58" s="55">
        <f t="shared" si="13"/>
        <v>10327665</v>
      </c>
      <c r="L58" s="60"/>
      <c r="M58" s="4"/>
      <c r="N58" s="4"/>
      <c r="O58" s="4"/>
      <c r="P58" s="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">
      <c r="A59" s="4"/>
      <c r="B59" s="41">
        <f>B58+1</f>
        <v>37</v>
      </c>
      <c r="C59" s="42" t="s">
        <v>74</v>
      </c>
      <c r="D59" s="41" t="str">
        <f>"From Ln "&amp;FIXED(+B103,0)</f>
        <v>From Ln 57</v>
      </c>
      <c r="E59" s="76">
        <f>E103</f>
        <v>-5317673</v>
      </c>
      <c r="F59" s="49">
        <f>F103</f>
        <v>24321</v>
      </c>
      <c r="G59" s="4">
        <f>E59+F59</f>
        <v>-5293352</v>
      </c>
      <c r="H59" s="49">
        <f>H103</f>
        <v>0</v>
      </c>
      <c r="I59" s="4">
        <f>G59+H59</f>
        <v>-5293352</v>
      </c>
      <c r="J59" s="49">
        <f>J103</f>
        <v>0</v>
      </c>
      <c r="K59" s="50">
        <f>K103</f>
        <v>-5293352</v>
      </c>
      <c r="L59" s="60"/>
      <c r="M59" s="4"/>
      <c r="N59" s="4"/>
      <c r="O59" s="4"/>
      <c r="P59" s="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">
      <c r="A60" s="4"/>
      <c r="B60" s="41">
        <f>B59+1</f>
        <v>38</v>
      </c>
      <c r="C60" s="42" t="s">
        <v>75</v>
      </c>
      <c r="D60" s="41" t="str">
        <f>"From Ln "&amp;FIXED(+B104,0)</f>
        <v>From Ln 58</v>
      </c>
      <c r="E60" s="76">
        <f>E104</f>
        <v>0</v>
      </c>
      <c r="F60" s="49">
        <f>F104</f>
        <v>0</v>
      </c>
      <c r="G60" s="4">
        <f>E60+F60</f>
        <v>0</v>
      </c>
      <c r="H60" s="49">
        <f>H104</f>
        <v>0</v>
      </c>
      <c r="I60" s="4">
        <f>G60+H60</f>
        <v>0</v>
      </c>
      <c r="J60" s="49">
        <f>J104</f>
        <v>0</v>
      </c>
      <c r="K60" s="50">
        <f>K104</f>
        <v>0</v>
      </c>
      <c r="L60" s="60"/>
      <c r="M60" s="4"/>
      <c r="N60" s="4"/>
      <c r="O60" s="4"/>
      <c r="P60" s="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">
      <c r="A61" s="4"/>
      <c r="B61" s="41">
        <f>B60+1</f>
        <v>39</v>
      </c>
      <c r="C61" s="42" t="s">
        <v>76</v>
      </c>
      <c r="D61" s="41" t="str">
        <f>"From Ln "&amp;FIXED(+B106,0)</f>
        <v>From Ln 59</v>
      </c>
      <c r="E61" s="76">
        <f>E106</f>
        <v>0</v>
      </c>
      <c r="F61" s="49">
        <f>F106</f>
        <v>0</v>
      </c>
      <c r="G61" s="4">
        <f>E61+F61</f>
        <v>0</v>
      </c>
      <c r="H61" s="49">
        <f>H106</f>
        <v>231387</v>
      </c>
      <c r="I61" s="4">
        <f>G61+H61</f>
        <v>231387</v>
      </c>
      <c r="J61" s="49">
        <f>J106</f>
        <v>0</v>
      </c>
      <c r="K61" s="50">
        <f>K106</f>
        <v>231387</v>
      </c>
      <c r="L61" s="60"/>
      <c r="M61" s="4"/>
      <c r="N61" s="4"/>
      <c r="O61" s="4"/>
      <c r="P61" s="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">
      <c r="A62" s="4"/>
      <c r="B62" s="43"/>
      <c r="C62" s="42"/>
      <c r="D62" s="43"/>
      <c r="E62" s="78"/>
      <c r="F62" s="49"/>
      <c r="G62" s="49"/>
      <c r="H62" s="49"/>
      <c r="I62" s="49"/>
      <c r="J62" s="49"/>
      <c r="K62" s="50"/>
      <c r="L62" s="60"/>
      <c r="M62" s="4"/>
      <c r="N62" s="4"/>
      <c r="O62" s="4"/>
      <c r="P62" s="1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.75">
      <c r="A63" s="4"/>
      <c r="B63" s="41">
        <f>B61+1</f>
        <v>40</v>
      </c>
      <c r="C63" s="14" t="s">
        <v>77</v>
      </c>
      <c r="D63" s="41" t="str">
        <f>"Ln "&amp;FIXED(+B58,0)&amp;"+"&amp;FIXED(+B59,0)&amp;"+"&amp;FIXED(+B60,0)&amp;"+"&amp;FIXED(+B61,0)</f>
        <v>Ln 36+37+38+39</v>
      </c>
      <c r="E63" s="68">
        <f aca="true" t="shared" si="14" ref="E63:K63">E58+E59+E60+E61</f>
        <v>5069911</v>
      </c>
      <c r="F63" s="69">
        <f t="shared" si="14"/>
        <v>-102603</v>
      </c>
      <c r="G63" s="69">
        <f t="shared" si="14"/>
        <v>4967308</v>
      </c>
      <c r="H63" s="69">
        <f t="shared" si="14"/>
        <v>298392</v>
      </c>
      <c r="I63" s="69">
        <f t="shared" si="14"/>
        <v>5265700</v>
      </c>
      <c r="J63" s="69">
        <f t="shared" si="14"/>
        <v>0</v>
      </c>
      <c r="K63" s="70">
        <f t="shared" si="14"/>
        <v>5265700</v>
      </c>
      <c r="L63" s="60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">
      <c r="A64" s="4"/>
      <c r="B64" s="35"/>
      <c r="C64" s="42"/>
      <c r="D64" s="43"/>
      <c r="E64" s="71"/>
      <c r="F64" s="72"/>
      <c r="G64" s="72"/>
      <c r="H64" s="72"/>
      <c r="I64" s="72"/>
      <c r="J64" s="72"/>
      <c r="K64" s="73"/>
      <c r="L64" s="4"/>
      <c r="M64" s="4"/>
      <c r="N64" s="4"/>
      <c r="O64" s="4"/>
      <c r="P64" s="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.75">
      <c r="A65" s="4"/>
      <c r="B65" s="41">
        <f>B63+1</f>
        <v>41</v>
      </c>
      <c r="C65" s="14" t="s">
        <v>78</v>
      </c>
      <c r="D65" s="41" t="str">
        <f>"(Ln "&amp;FIXED(+B53,0)&amp;"/"&amp;FIXED(+B63,0)&amp;") x 100"</f>
        <v>(Ln 33/40) x 100</v>
      </c>
      <c r="E65" s="79">
        <f>E53/E63</f>
        <v>0.11794506057404162</v>
      </c>
      <c r="F65" s="80"/>
      <c r="G65" s="80">
        <f>G53/G63</f>
        <v>0.09966359224223655</v>
      </c>
      <c r="H65" s="80"/>
      <c r="I65" s="80">
        <f>I53/I63</f>
        <v>0.04303027045464049</v>
      </c>
      <c r="J65" s="80"/>
      <c r="K65" s="81">
        <f>K53/K63</f>
        <v>0.09465609999999997</v>
      </c>
      <c r="L65" s="4"/>
      <c r="M65" s="4"/>
      <c r="N65" s="4"/>
      <c r="O65" s="4"/>
      <c r="P65" s="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5">
      <c r="A66" s="4"/>
      <c r="B66" s="82"/>
      <c r="C66" s="83"/>
      <c r="D66" s="84"/>
      <c r="E66" s="85"/>
      <c r="F66" s="86"/>
      <c r="G66" s="86"/>
      <c r="H66" s="86"/>
      <c r="I66" s="86"/>
      <c r="J66" s="86"/>
      <c r="K66" s="8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5">
      <c r="A67" s="4"/>
      <c r="B67" s="1"/>
      <c r="C67" s="1"/>
      <c r="D67" s="1"/>
      <c r="E67" s="47"/>
      <c r="F67" s="4"/>
      <c r="G67" s="4" t="s">
        <v>79</v>
      </c>
      <c r="H67" s="4"/>
      <c r="I67" s="4"/>
      <c r="J67" s="1">
        <f>I63*(F472-I65)</f>
        <v>271846.1306369996</v>
      </c>
      <c r="K67" s="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5">
      <c r="A69" s="4"/>
      <c r="B69" s="1"/>
      <c r="C69" s="1"/>
      <c r="D69" s="1"/>
      <c r="E69" s="47"/>
      <c r="F69" s="1"/>
      <c r="G69" s="1"/>
      <c r="H69" s="1"/>
      <c r="I69" s="4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">
      <c r="A70" s="4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5.75">
      <c r="A71" s="1" t="s">
        <v>80</v>
      </c>
      <c r="B71" s="8" t="str">
        <f>$B$340</f>
        <v>RAINIER VIEW WATER CO., INC.</v>
      </c>
      <c r="C71" s="12"/>
      <c r="D71" s="12"/>
      <c r="E71" s="11"/>
      <c r="F71" s="11"/>
      <c r="G71" s="11"/>
      <c r="H71" s="11"/>
      <c r="I71" s="11"/>
      <c r="J71" s="12" t="str">
        <f>G340</f>
        <v>Company Rebuttal</v>
      </c>
      <c r="K71" s="13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>
      <c r="A72" s="4"/>
      <c r="B72" s="14" t="str">
        <f>$B$341</f>
        <v>PRO FORMA INCOME STATEMENT</v>
      </c>
      <c r="C72" s="17"/>
      <c r="D72" s="17"/>
      <c r="E72" s="4"/>
      <c r="F72" s="20"/>
      <c r="G72" s="4"/>
      <c r="H72" s="4"/>
      <c r="I72" s="4"/>
      <c r="J72" s="17" t="str">
        <f>G341</f>
        <v>Docket No. UW-010877</v>
      </c>
      <c r="K72" s="1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.75">
      <c r="A73" s="4"/>
      <c r="B73" s="14" t="s">
        <v>81</v>
      </c>
      <c r="C73" s="17"/>
      <c r="D73" s="17"/>
      <c r="E73" s="4"/>
      <c r="F73" s="4"/>
      <c r="G73" s="4"/>
      <c r="H73" s="4"/>
      <c r="I73" s="4"/>
      <c r="J73" s="17" t="s">
        <v>82</v>
      </c>
      <c r="K73" s="1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>
      <c r="A74" s="4"/>
      <c r="B74" s="14" t="str">
        <f>$B$342</f>
        <v>FOR THE 12 MONTHS ENDED DECEMBER 31, 2000</v>
      </c>
      <c r="C74" s="17"/>
      <c r="D74" s="17"/>
      <c r="E74" s="4"/>
      <c r="F74" s="4"/>
      <c r="G74" s="4"/>
      <c r="H74" s="4"/>
      <c r="I74" s="4"/>
      <c r="J74" s="4"/>
      <c r="K74" s="1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.75">
      <c r="A75" s="4"/>
      <c r="B75" s="19"/>
      <c r="C75" s="4"/>
      <c r="D75" s="4"/>
      <c r="E75" s="4"/>
      <c r="F75" s="4"/>
      <c r="G75" s="4"/>
      <c r="H75" s="4"/>
      <c r="I75" s="4"/>
      <c r="J75" s="4"/>
      <c r="K75" s="1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75">
      <c r="A76" s="4"/>
      <c r="B76" s="19"/>
      <c r="C76" s="17"/>
      <c r="D76" s="17"/>
      <c r="E76" s="24" t="s">
        <v>83</v>
      </c>
      <c r="F76" s="24" t="s">
        <v>9</v>
      </c>
      <c r="G76" s="24" t="s">
        <v>10</v>
      </c>
      <c r="H76" s="24" t="s">
        <v>9</v>
      </c>
      <c r="I76" s="24" t="s">
        <v>11</v>
      </c>
      <c r="J76" s="24" t="s">
        <v>12</v>
      </c>
      <c r="K76" s="23" t="s">
        <v>7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5.75">
      <c r="A77" s="4"/>
      <c r="B77" s="25" t="s">
        <v>14</v>
      </c>
      <c r="C77" s="17"/>
      <c r="D77" s="17"/>
      <c r="E77" s="24" t="s">
        <v>15</v>
      </c>
      <c r="F77" s="24" t="s">
        <v>16</v>
      </c>
      <c r="G77" s="24" t="s">
        <v>15</v>
      </c>
      <c r="H77" s="24" t="s">
        <v>13</v>
      </c>
      <c r="I77" s="24" t="s">
        <v>15</v>
      </c>
      <c r="J77" s="24" t="s">
        <v>17</v>
      </c>
      <c r="K77" s="23" t="s">
        <v>15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5.75">
      <c r="A78" s="4"/>
      <c r="B78" s="25" t="s">
        <v>18</v>
      </c>
      <c r="C78" s="22" t="s">
        <v>19</v>
      </c>
      <c r="D78" s="22" t="s">
        <v>20</v>
      </c>
      <c r="E78" s="24" t="s">
        <v>21</v>
      </c>
      <c r="F78" s="24" t="s">
        <v>22</v>
      </c>
      <c r="G78" s="24" t="s">
        <v>21</v>
      </c>
      <c r="H78" s="24" t="s">
        <v>22</v>
      </c>
      <c r="I78" s="24" t="s">
        <v>21</v>
      </c>
      <c r="J78" s="24" t="s">
        <v>24</v>
      </c>
      <c r="K78" s="23" t="s">
        <v>21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15.75">
      <c r="A79" s="4"/>
      <c r="B79" s="31"/>
      <c r="C79" s="31" t="s">
        <v>25</v>
      </c>
      <c r="D79" s="31" t="s">
        <v>26</v>
      </c>
      <c r="E79" s="31" t="s">
        <v>27</v>
      </c>
      <c r="F79" s="33" t="s">
        <v>28</v>
      </c>
      <c r="G79" s="33" t="s">
        <v>29</v>
      </c>
      <c r="H79" s="33" t="s">
        <v>30</v>
      </c>
      <c r="I79" s="33" t="s">
        <v>31</v>
      </c>
      <c r="J79" s="33" t="s">
        <v>32</v>
      </c>
      <c r="K79" s="34" t="s">
        <v>33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15">
      <c r="A80" s="4"/>
      <c r="B80" s="35"/>
      <c r="C80" s="35"/>
      <c r="D80" s="35"/>
      <c r="E80" s="35"/>
      <c r="F80" s="37"/>
      <c r="G80" s="37"/>
      <c r="H80" s="37"/>
      <c r="I80" s="37"/>
      <c r="J80" s="37"/>
      <c r="K80" s="38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15.75">
      <c r="A81" s="4"/>
      <c r="B81" s="35"/>
      <c r="C81" s="89" t="s">
        <v>84</v>
      </c>
      <c r="D81" s="41"/>
      <c r="E81" s="40"/>
      <c r="F81" s="4"/>
      <c r="G81" s="4"/>
      <c r="H81" s="4"/>
      <c r="I81" s="4"/>
      <c r="J81" s="4"/>
      <c r="K81" s="18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15">
      <c r="A82" s="4"/>
      <c r="B82" s="41">
        <f>B65+1</f>
        <v>42</v>
      </c>
      <c r="C82" s="42" t="s">
        <v>85</v>
      </c>
      <c r="D82" s="41" t="str">
        <f>"From Ln "&amp;FIXED(+B48,0)</f>
        <v>From Ln 30</v>
      </c>
      <c r="E82" s="75">
        <f>E22-E46</f>
        <v>765610</v>
      </c>
      <c r="F82" s="45">
        <f>E193</f>
        <v>-155926.06204</v>
      </c>
      <c r="G82" s="45">
        <f>E82+F82</f>
        <v>609683.93796</v>
      </c>
      <c r="H82" s="45">
        <f>H22-H46</f>
        <v>-406780.70291</v>
      </c>
      <c r="I82" s="45">
        <f>G82+H82</f>
        <v>202903.23505000002</v>
      </c>
      <c r="J82" s="45">
        <f>J22-J46</f>
        <v>411888.0767227267</v>
      </c>
      <c r="K82" s="46">
        <f>K22-K46</f>
        <v>614791.311772727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5">
      <c r="A83" s="4"/>
      <c r="B83" s="41">
        <f>B82+1</f>
        <v>43</v>
      </c>
      <c r="C83" s="40" t="s">
        <v>86</v>
      </c>
      <c r="D83" s="35" t="s">
        <v>36</v>
      </c>
      <c r="E83" s="40">
        <v>72094</v>
      </c>
      <c r="F83" s="49">
        <f>E194</f>
        <v>0</v>
      </c>
      <c r="G83" s="4">
        <f>E83+F83</f>
        <v>72094</v>
      </c>
      <c r="H83" s="1">
        <f>E307</f>
        <v>0</v>
      </c>
      <c r="I83" s="4">
        <f>G83+H83</f>
        <v>72094</v>
      </c>
      <c r="J83" s="4">
        <v>0</v>
      </c>
      <c r="K83" s="18">
        <f>I83+J83</f>
        <v>72094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5">
      <c r="A84" s="4"/>
      <c r="B84" s="41">
        <f>B83+1</f>
        <v>44</v>
      </c>
      <c r="C84" s="40" t="s">
        <v>87</v>
      </c>
      <c r="D84" s="35" t="s">
        <v>36</v>
      </c>
      <c r="E84" s="42">
        <v>-344648</v>
      </c>
      <c r="F84" s="49">
        <f>E195</f>
        <v>0</v>
      </c>
      <c r="G84" s="4">
        <f>E84+F84</f>
        <v>-344648</v>
      </c>
      <c r="H84" s="1">
        <f>E308</f>
        <v>0</v>
      </c>
      <c r="I84" s="4">
        <f>G84+H84</f>
        <v>-344648</v>
      </c>
      <c r="J84" s="4">
        <v>0</v>
      </c>
      <c r="K84" s="18">
        <f>I84+J84</f>
        <v>-344648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15">
      <c r="A85" s="4"/>
      <c r="B85" s="41">
        <f>B84+1</f>
        <v>45</v>
      </c>
      <c r="C85" s="40" t="s">
        <v>88</v>
      </c>
      <c r="D85" s="41" t="str">
        <f>"Ln "&amp;FIXED(+B82,0)&amp;"+"&amp;FIXED(+B83,0)&amp;"+"&amp;FIXED(+B84,0)</f>
        <v>Ln 42+43+44</v>
      </c>
      <c r="E85" s="42">
        <f aca="true" t="shared" si="15" ref="E85:K85">E82+E83+E84</f>
        <v>493056</v>
      </c>
      <c r="F85" s="49">
        <f t="shared" si="15"/>
        <v>-155926.06204</v>
      </c>
      <c r="G85" s="1">
        <f t="shared" si="15"/>
        <v>337129.93796</v>
      </c>
      <c r="H85" s="1">
        <f t="shared" si="15"/>
        <v>-406780.70291</v>
      </c>
      <c r="I85" s="1">
        <f t="shared" si="15"/>
        <v>-69650.76494999998</v>
      </c>
      <c r="J85" s="1">
        <f t="shared" si="15"/>
        <v>411888.0767227267</v>
      </c>
      <c r="K85" s="67">
        <f t="shared" si="15"/>
        <v>342237.31177272694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15">
      <c r="A86" s="4"/>
      <c r="B86" s="35"/>
      <c r="C86" s="40"/>
      <c r="D86" s="40"/>
      <c r="E86" s="40"/>
      <c r="F86" s="4"/>
      <c r="G86" s="4"/>
      <c r="H86" s="4"/>
      <c r="I86" s="4"/>
      <c r="J86" s="4"/>
      <c r="K86" s="1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5.75">
      <c r="A87" s="4"/>
      <c r="B87" s="41">
        <f>B85+1</f>
        <v>46</v>
      </c>
      <c r="C87" s="42" t="s">
        <v>89</v>
      </c>
      <c r="D87" s="42" t="str">
        <f>"Ln "&amp;FIXED(+B85,0)&amp;" x ("&amp;FIXED(+$E$360*100,2)&amp;"%/100)"</f>
        <v>Ln 45 x (34.00%/100)</v>
      </c>
      <c r="E87" s="90">
        <f aca="true" t="shared" si="16" ref="E87:K87">E85*$E$360</f>
        <v>167639.04</v>
      </c>
      <c r="F87" s="91">
        <f t="shared" si="16"/>
        <v>-53014.8610936</v>
      </c>
      <c r="G87" s="91">
        <f t="shared" si="16"/>
        <v>114624.17890640002</v>
      </c>
      <c r="H87" s="91">
        <f t="shared" si="16"/>
        <v>-138305.43898940002</v>
      </c>
      <c r="I87" s="91">
        <f t="shared" si="16"/>
        <v>-23681.260082999997</v>
      </c>
      <c r="J87" s="91">
        <f t="shared" si="16"/>
        <v>140041.94608572708</v>
      </c>
      <c r="K87" s="92">
        <f t="shared" si="16"/>
        <v>116360.68600272716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5">
      <c r="A88" s="4"/>
      <c r="B88" s="35"/>
      <c r="C88" s="40" t="s">
        <v>90</v>
      </c>
      <c r="D88" s="41"/>
      <c r="E88" s="93"/>
      <c r="F88" s="94"/>
      <c r="G88" s="94"/>
      <c r="H88" s="94"/>
      <c r="I88" s="94"/>
      <c r="J88" s="94"/>
      <c r="K88" s="95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5.75">
      <c r="A89" s="4"/>
      <c r="B89" s="41">
        <f>B87+1</f>
        <v>47</v>
      </c>
      <c r="C89" s="42" t="s">
        <v>91</v>
      </c>
      <c r="D89" s="41" t="s">
        <v>36</v>
      </c>
      <c r="E89" s="90">
        <f>E87</f>
        <v>167639.04</v>
      </c>
      <c r="F89" s="62">
        <f>E200</f>
        <v>-53014.8610936</v>
      </c>
      <c r="G89" s="91">
        <f>E89+F89</f>
        <v>114624.17890640002</v>
      </c>
      <c r="H89" s="62">
        <f>E313</f>
        <v>-138305.43898940002</v>
      </c>
      <c r="I89" s="91">
        <f>G89+H89</f>
        <v>-23681.260083</v>
      </c>
      <c r="J89" s="91">
        <f>J87</f>
        <v>140041.94608572708</v>
      </c>
      <c r="K89" s="92">
        <f>I89+J89</f>
        <v>116360.68600272707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5">
      <c r="A90" s="4"/>
      <c r="B90" s="35"/>
      <c r="C90" s="40"/>
      <c r="D90" s="40"/>
      <c r="E90" s="40"/>
      <c r="F90" s="4"/>
      <c r="G90" s="4"/>
      <c r="H90" s="4"/>
      <c r="I90" s="4"/>
      <c r="J90" s="4"/>
      <c r="K90" s="1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5.75">
      <c r="A91" s="4"/>
      <c r="B91" s="35"/>
      <c r="C91" s="89" t="s">
        <v>70</v>
      </c>
      <c r="D91" s="42"/>
      <c r="E91" s="40"/>
      <c r="F91" s="4"/>
      <c r="G91" s="4"/>
      <c r="H91" s="4"/>
      <c r="I91" s="4"/>
      <c r="J91" s="4"/>
      <c r="K91" s="1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5.75">
      <c r="A92" s="4"/>
      <c r="B92" s="35"/>
      <c r="C92" s="14" t="s">
        <v>92</v>
      </c>
      <c r="D92" s="40"/>
      <c r="E92" s="40"/>
      <c r="F92" s="4"/>
      <c r="G92" s="4"/>
      <c r="H92" s="4"/>
      <c r="I92" s="4"/>
      <c r="J92" s="4"/>
      <c r="K92" s="1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5">
      <c r="A93" s="4"/>
      <c r="B93" s="41">
        <f>B89+1</f>
        <v>48</v>
      </c>
      <c r="C93" s="42" t="s">
        <v>93</v>
      </c>
      <c r="D93" s="41" t="s">
        <v>36</v>
      </c>
      <c r="E93" s="44">
        <v>13051236</v>
      </c>
      <c r="F93" s="45">
        <f>E204</f>
        <v>-416662</v>
      </c>
      <c r="G93" s="45">
        <f>E93+F93</f>
        <v>12634574</v>
      </c>
      <c r="H93" s="45">
        <f>E317</f>
        <v>67005</v>
      </c>
      <c r="I93" s="45">
        <f>G93+H93</f>
        <v>12701579</v>
      </c>
      <c r="J93" s="45">
        <v>0</v>
      </c>
      <c r="K93" s="46">
        <f>I93+J93</f>
        <v>12701579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5">
      <c r="A94" s="4"/>
      <c r="B94" s="41">
        <f>B93+1</f>
        <v>49</v>
      </c>
      <c r="C94" s="42"/>
      <c r="D94" s="41" t="s">
        <v>36</v>
      </c>
      <c r="E94" s="48">
        <v>0</v>
      </c>
      <c r="F94" s="49">
        <f>E205</f>
        <v>0</v>
      </c>
      <c r="G94" s="49">
        <f>E94+F94</f>
        <v>0</v>
      </c>
      <c r="H94" s="49">
        <f>E318</f>
        <v>0</v>
      </c>
      <c r="I94" s="4">
        <f>G94+H94</f>
        <v>0</v>
      </c>
      <c r="J94" s="4">
        <v>0</v>
      </c>
      <c r="K94" s="18">
        <f>I94+J94</f>
        <v>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5">
      <c r="A95" s="4"/>
      <c r="B95" s="41">
        <f>B94+1</f>
        <v>50</v>
      </c>
      <c r="C95" s="42"/>
      <c r="D95" s="41" t="s">
        <v>36</v>
      </c>
      <c r="E95" s="42">
        <v>0</v>
      </c>
      <c r="F95" s="49">
        <f>E206</f>
        <v>0</v>
      </c>
      <c r="G95" s="49">
        <f>E95+F95</f>
        <v>0</v>
      </c>
      <c r="H95" s="49">
        <f>E319</f>
        <v>0</v>
      </c>
      <c r="I95" s="4">
        <f>G95+H95</f>
        <v>0</v>
      </c>
      <c r="J95" s="4">
        <v>0</v>
      </c>
      <c r="K95" s="18">
        <f>I95+J95</f>
        <v>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5">
      <c r="A96" s="4"/>
      <c r="B96" s="41">
        <f>B95+1</f>
        <v>51</v>
      </c>
      <c r="C96" s="42"/>
      <c r="D96" s="41" t="s">
        <v>36</v>
      </c>
      <c r="E96" s="42">
        <v>0</v>
      </c>
      <c r="F96" s="49">
        <f>E207</f>
        <v>0</v>
      </c>
      <c r="G96" s="49">
        <f>E96+F96</f>
        <v>0</v>
      </c>
      <c r="H96" s="49">
        <f>E320</f>
        <v>0</v>
      </c>
      <c r="I96" s="4">
        <f>G96+H96</f>
        <v>0</v>
      </c>
      <c r="J96" s="4">
        <v>0</v>
      </c>
      <c r="K96" s="18">
        <f>I96+J96</f>
        <v>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5">
      <c r="A97" s="4"/>
      <c r="B97" s="41">
        <f>B96+1</f>
        <v>52</v>
      </c>
      <c r="C97" s="42"/>
      <c r="D97" s="41" t="s">
        <v>36</v>
      </c>
      <c r="E97" s="42">
        <v>0</v>
      </c>
      <c r="F97" s="49">
        <f>E208</f>
        <v>0</v>
      </c>
      <c r="G97" s="49">
        <f>E97+F97</f>
        <v>0</v>
      </c>
      <c r="H97" s="49">
        <f>E321</f>
        <v>0</v>
      </c>
      <c r="I97" s="4">
        <f>G97+H97</f>
        <v>0</v>
      </c>
      <c r="J97" s="4">
        <v>0</v>
      </c>
      <c r="K97" s="18">
        <f>I97+J97</f>
        <v>0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5.75">
      <c r="A98" s="4"/>
      <c r="B98" s="41">
        <f>B97+1</f>
        <v>53</v>
      </c>
      <c r="C98" s="14" t="s">
        <v>94</v>
      </c>
      <c r="D98" s="41" t="str">
        <f>"Ln +"&amp;FIXED(+B93,0)&amp;"...+"&amp;FIXED(+B97,0)</f>
        <v>Ln +48...+52</v>
      </c>
      <c r="E98" s="96">
        <f aca="true" t="shared" si="17" ref="E98:K98">SUM(E93:E97)</f>
        <v>13051236</v>
      </c>
      <c r="F98" s="97">
        <f t="shared" si="17"/>
        <v>-416662</v>
      </c>
      <c r="G98" s="97">
        <f t="shared" si="17"/>
        <v>12634574</v>
      </c>
      <c r="H98" s="97">
        <f t="shared" si="17"/>
        <v>67005</v>
      </c>
      <c r="I98" s="97">
        <f t="shared" si="17"/>
        <v>12701579</v>
      </c>
      <c r="J98" s="97">
        <f t="shared" si="17"/>
        <v>0</v>
      </c>
      <c r="K98" s="98">
        <f t="shared" si="17"/>
        <v>12701579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5.75">
      <c r="A99" s="4"/>
      <c r="B99" s="41"/>
      <c r="C99" s="14"/>
      <c r="D99" s="41"/>
      <c r="E99" s="96"/>
      <c r="F99" s="97"/>
      <c r="G99" s="97"/>
      <c r="H99" s="97"/>
      <c r="I99" s="97"/>
      <c r="J99" s="97"/>
      <c r="K99" s="98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5.75">
      <c r="A100" s="4"/>
      <c r="B100" s="41">
        <f>B98+1</f>
        <v>54</v>
      </c>
      <c r="C100" s="14" t="s">
        <v>95</v>
      </c>
      <c r="D100" s="41" t="s">
        <v>36</v>
      </c>
      <c r="E100" s="48">
        <v>2663652</v>
      </c>
      <c r="F100" s="49">
        <f>E211</f>
        <v>-289738</v>
      </c>
      <c r="G100" s="4">
        <f>E100+F100</f>
        <v>2373914</v>
      </c>
      <c r="H100" s="49">
        <f>E324</f>
        <v>0</v>
      </c>
      <c r="I100" s="4">
        <f>G100+H100</f>
        <v>2373914</v>
      </c>
      <c r="J100" s="4">
        <v>0</v>
      </c>
      <c r="K100" s="18">
        <f>I100+J100</f>
        <v>2373914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5.75">
      <c r="A101" s="4"/>
      <c r="B101" s="41">
        <f>B100+1</f>
        <v>55</v>
      </c>
      <c r="C101" s="14" t="s">
        <v>96</v>
      </c>
      <c r="D101" s="41" t="s">
        <v>36</v>
      </c>
      <c r="E101" s="48">
        <v>0</v>
      </c>
      <c r="F101" s="49">
        <f>E212</f>
        <v>0</v>
      </c>
      <c r="G101" s="4">
        <f>E101+F101</f>
        <v>0</v>
      </c>
      <c r="H101" s="49">
        <f>E325</f>
        <v>0</v>
      </c>
      <c r="I101" s="4">
        <f>G101+H101</f>
        <v>0</v>
      </c>
      <c r="J101" s="4">
        <v>0</v>
      </c>
      <c r="K101" s="18">
        <f>I101+J101</f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5.75">
      <c r="A102" s="4"/>
      <c r="B102" s="41">
        <f>B101+1</f>
        <v>56</v>
      </c>
      <c r="C102" s="14" t="s">
        <v>97</v>
      </c>
      <c r="D102" s="41" t="str">
        <f>"Ln "&amp;FIXED(+B100,0)&amp;"+"&amp;FIXED(+B101,0)</f>
        <v>Ln 54+55</v>
      </c>
      <c r="E102" s="52">
        <f aca="true" t="shared" si="18" ref="E102:K102">E100+E101</f>
        <v>2663652</v>
      </c>
      <c r="F102" s="99">
        <f t="shared" si="18"/>
        <v>-289738</v>
      </c>
      <c r="G102" s="99">
        <f t="shared" si="18"/>
        <v>2373914</v>
      </c>
      <c r="H102" s="99">
        <f t="shared" si="18"/>
        <v>0</v>
      </c>
      <c r="I102" s="99">
        <f t="shared" si="18"/>
        <v>2373914</v>
      </c>
      <c r="J102" s="99">
        <f t="shared" si="18"/>
        <v>0</v>
      </c>
      <c r="K102" s="100">
        <f t="shared" si="18"/>
        <v>2373914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5.75">
      <c r="A103" s="4"/>
      <c r="B103" s="41">
        <f>B102+1</f>
        <v>57</v>
      </c>
      <c r="C103" s="14" t="s">
        <v>98</v>
      </c>
      <c r="D103" s="41" t="s">
        <v>36</v>
      </c>
      <c r="E103" s="48">
        <v>-5317673</v>
      </c>
      <c r="F103" s="49">
        <f>E214</f>
        <v>24321</v>
      </c>
      <c r="G103" s="4">
        <f>E103+F103</f>
        <v>-5293352</v>
      </c>
      <c r="H103" s="49">
        <f>E327</f>
        <v>0</v>
      </c>
      <c r="I103" s="4">
        <f>G103+H103</f>
        <v>-5293352</v>
      </c>
      <c r="J103" s="4">
        <v>0</v>
      </c>
      <c r="K103" s="18">
        <f>I103+J103</f>
        <v>-5293352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5.75">
      <c r="A104" s="4"/>
      <c r="B104" s="41">
        <f>B103+1</f>
        <v>58</v>
      </c>
      <c r="C104" s="14" t="s">
        <v>99</v>
      </c>
      <c r="D104" s="41" t="s">
        <v>36</v>
      </c>
      <c r="E104" s="48">
        <v>0</v>
      </c>
      <c r="F104" s="49">
        <f>E215</f>
        <v>0</v>
      </c>
      <c r="G104" s="4">
        <f>E104+F104</f>
        <v>0</v>
      </c>
      <c r="H104" s="49">
        <f>E328</f>
        <v>0</v>
      </c>
      <c r="I104" s="1">
        <f>G104+H104</f>
        <v>0</v>
      </c>
      <c r="J104" s="4">
        <v>0</v>
      </c>
      <c r="K104" s="18">
        <f>I104+J104</f>
        <v>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5">
      <c r="A105" s="4"/>
      <c r="B105" s="35"/>
      <c r="C105" s="40"/>
      <c r="D105" s="41"/>
      <c r="E105" s="40"/>
      <c r="F105" s="4"/>
      <c r="G105" s="4"/>
      <c r="H105" s="4"/>
      <c r="I105" s="4"/>
      <c r="J105" s="4"/>
      <c r="K105" s="1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15.75">
      <c r="A106" s="4"/>
      <c r="B106" s="41">
        <f>B104+1</f>
        <v>59</v>
      </c>
      <c r="C106" s="14" t="s">
        <v>100</v>
      </c>
      <c r="D106" s="41" t="s">
        <v>36</v>
      </c>
      <c r="E106" s="48">
        <v>0</v>
      </c>
      <c r="F106" s="49">
        <f>E217</f>
        <v>0</v>
      </c>
      <c r="G106" s="4">
        <f>E106+F106</f>
        <v>0</v>
      </c>
      <c r="H106" s="49">
        <f>E330</f>
        <v>231387</v>
      </c>
      <c r="I106" s="4">
        <f>G106+H106</f>
        <v>231387</v>
      </c>
      <c r="J106" s="4">
        <v>0</v>
      </c>
      <c r="K106" s="18">
        <f>I106+J106</f>
        <v>231387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15">
      <c r="A107" s="4"/>
      <c r="B107" s="41">
        <f>B106+1</f>
        <v>60</v>
      </c>
      <c r="C107" s="42"/>
      <c r="D107" s="41"/>
      <c r="E107" s="48">
        <v>0</v>
      </c>
      <c r="F107" s="49">
        <f>E218</f>
        <v>0</v>
      </c>
      <c r="G107" s="4">
        <f>E107+F107</f>
        <v>0</v>
      </c>
      <c r="H107" s="49">
        <f>E331</f>
        <v>0</v>
      </c>
      <c r="I107" s="4">
        <f>G107+H107</f>
        <v>0</v>
      </c>
      <c r="J107" s="4">
        <v>0</v>
      </c>
      <c r="K107" s="18">
        <f>I107+J107</f>
        <v>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15">
      <c r="A108" s="4"/>
      <c r="B108" s="41">
        <f>B107+1</f>
        <v>61</v>
      </c>
      <c r="C108" s="42"/>
      <c r="D108" s="41"/>
      <c r="E108" s="48">
        <v>0</v>
      </c>
      <c r="F108" s="49">
        <f>E219</f>
        <v>0</v>
      </c>
      <c r="G108" s="4">
        <f>E108+F108</f>
        <v>0</v>
      </c>
      <c r="H108" s="49">
        <f>E332</f>
        <v>0</v>
      </c>
      <c r="I108" s="4">
        <f>G108+H108</f>
        <v>0</v>
      </c>
      <c r="J108" s="4">
        <v>0</v>
      </c>
      <c r="K108" s="18">
        <f>I108+J108</f>
        <v>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15">
      <c r="A109" s="4"/>
      <c r="B109" s="41">
        <f>B108+1</f>
        <v>62</v>
      </c>
      <c r="C109" s="42"/>
      <c r="D109" s="41"/>
      <c r="E109" s="48">
        <v>0</v>
      </c>
      <c r="F109" s="49">
        <f>E220</f>
        <v>0</v>
      </c>
      <c r="G109" s="4">
        <f>E109+F109</f>
        <v>0</v>
      </c>
      <c r="H109" s="49">
        <f>E333</f>
        <v>0</v>
      </c>
      <c r="I109" s="4">
        <f>G109+H109</f>
        <v>0</v>
      </c>
      <c r="J109" s="4">
        <v>0</v>
      </c>
      <c r="K109" s="18">
        <f>I109+J109</f>
        <v>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15">
      <c r="A110" s="4"/>
      <c r="B110" s="41">
        <f>B109+1</f>
        <v>63</v>
      </c>
      <c r="C110" s="40"/>
      <c r="D110" s="40"/>
      <c r="E110" s="101"/>
      <c r="F110" s="4"/>
      <c r="G110" s="4"/>
      <c r="H110" s="4"/>
      <c r="I110" s="4"/>
      <c r="J110" s="4"/>
      <c r="K110" s="18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5.75">
      <c r="A111" s="1"/>
      <c r="B111" s="41">
        <f>B110+1</f>
        <v>64</v>
      </c>
      <c r="C111" s="14" t="s">
        <v>101</v>
      </c>
      <c r="D111" s="41" t="str">
        <f>"Ln "&amp;FIXED(+B98,0)&amp;"-"&amp;FIXED(+B102,0)&amp;"+"&amp;FIXED(+B103,0)&amp;"+"&amp;FIXED(+B104,0)&amp;"+"&amp;FIXED(+B106,0)</f>
        <v>Ln 53-56+57+58+59</v>
      </c>
      <c r="E111" s="68">
        <f aca="true" t="shared" si="19" ref="E111:K111">E98-E102+E103+E104+SUM(E106:E110)</f>
        <v>5069911</v>
      </c>
      <c r="F111" s="69">
        <f t="shared" si="19"/>
        <v>-102603</v>
      </c>
      <c r="G111" s="69">
        <f t="shared" si="19"/>
        <v>4967308</v>
      </c>
      <c r="H111" s="69">
        <f t="shared" si="19"/>
        <v>298392</v>
      </c>
      <c r="I111" s="69">
        <f t="shared" si="19"/>
        <v>5265700</v>
      </c>
      <c r="J111" s="69">
        <f t="shared" si="19"/>
        <v>0</v>
      </c>
      <c r="K111" s="70">
        <f t="shared" si="19"/>
        <v>5265700</v>
      </c>
      <c r="L111" s="1"/>
      <c r="M111" s="49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5">
      <c r="A112" s="4"/>
      <c r="B112" s="82"/>
      <c r="C112" s="102"/>
      <c r="D112" s="102"/>
      <c r="E112" s="102"/>
      <c r="F112" s="88"/>
      <c r="G112" s="88"/>
      <c r="H112" s="88"/>
      <c r="I112" s="88"/>
      <c r="J112" s="88"/>
      <c r="K112" s="103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1"/>
      <c r="AF112" s="4"/>
      <c r="AG112" s="1"/>
      <c r="AH112" s="4"/>
    </row>
    <row r="113" spans="1:34" ht="15">
      <c r="A113" s="4"/>
      <c r="B113" s="1"/>
      <c r="C113" s="104"/>
      <c r="D113" s="1"/>
      <c r="E113" s="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1"/>
      <c r="AF113" s="1"/>
      <c r="AG113" s="1"/>
      <c r="AH113" s="1"/>
    </row>
    <row r="114" spans="1:34" ht="15">
      <c r="A114" s="4"/>
      <c r="B114" s="4"/>
      <c r="C114" s="4"/>
      <c r="D114" s="4"/>
      <c r="E114" s="4"/>
      <c r="F114" s="4"/>
      <c r="G114" s="4"/>
      <c r="H114" s="5" t="s">
        <v>102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t="15.75">
      <c r="A115" s="1"/>
      <c r="B115" s="8" t="str">
        <f>$B$340</f>
        <v>RAINIER VIEW WATER CO., INC.</v>
      </c>
      <c r="C115" s="9"/>
      <c r="D115" s="9"/>
      <c r="E115" s="9"/>
      <c r="F115" s="12"/>
      <c r="G115" s="12"/>
      <c r="H115" s="12"/>
      <c r="I115" s="12" t="str">
        <f>$G$340</f>
        <v>Company Rebuttal</v>
      </c>
      <c r="J115" s="105"/>
      <c r="K115" s="12"/>
      <c r="L115" s="12"/>
      <c r="M115" s="12"/>
      <c r="N115" s="12"/>
      <c r="O115" s="12" t="str">
        <f>$G$340</f>
        <v>Company Rebuttal</v>
      </c>
      <c r="P115" s="105"/>
      <c r="Q115" s="12"/>
      <c r="R115" s="12"/>
      <c r="S115" s="12"/>
      <c r="T115" s="12" t="str">
        <f>$G$340</f>
        <v>Company Rebuttal</v>
      </c>
      <c r="U115" s="105"/>
      <c r="V115" s="12"/>
      <c r="W115" s="12"/>
      <c r="X115" s="12"/>
      <c r="Y115" s="12"/>
      <c r="Z115" s="12" t="str">
        <f>$G$340</f>
        <v>Company Rebuttal</v>
      </c>
      <c r="AA115" s="105"/>
      <c r="AB115" s="12"/>
      <c r="AC115" s="12"/>
      <c r="AD115" s="12"/>
      <c r="AE115" s="12"/>
      <c r="AF115" s="12" t="str">
        <f>$G$340</f>
        <v>Company Rebuttal</v>
      </c>
      <c r="AG115" s="105"/>
      <c r="AH115" s="4"/>
    </row>
    <row r="116" spans="1:34" ht="15.75">
      <c r="A116" s="1" t="s">
        <v>103</v>
      </c>
      <c r="B116" s="19" t="s">
        <v>104</v>
      </c>
      <c r="C116" s="1"/>
      <c r="D116" s="1"/>
      <c r="E116" s="1"/>
      <c r="F116" s="20"/>
      <c r="G116" s="17"/>
      <c r="H116" s="17"/>
      <c r="I116" s="17" t="str">
        <f>$G$341</f>
        <v>Docket No. UW-010877</v>
      </c>
      <c r="J116" s="106"/>
      <c r="K116" s="17"/>
      <c r="L116" s="20"/>
      <c r="M116" s="17"/>
      <c r="N116" s="17"/>
      <c r="O116" s="17" t="str">
        <f>$G$341</f>
        <v>Docket No. UW-010877</v>
      </c>
      <c r="P116" s="106"/>
      <c r="Q116" s="17"/>
      <c r="R116" s="20"/>
      <c r="S116" s="17"/>
      <c r="T116" s="17" t="str">
        <f>$G$341</f>
        <v>Docket No. UW-010877</v>
      </c>
      <c r="U116" s="106"/>
      <c r="V116" s="17"/>
      <c r="W116" s="20"/>
      <c r="X116" s="17"/>
      <c r="Y116" s="17"/>
      <c r="Z116" s="17" t="str">
        <f>$G$341</f>
        <v>Docket No. UW-010877</v>
      </c>
      <c r="AA116" s="106"/>
      <c r="AB116" s="17"/>
      <c r="AC116" s="20"/>
      <c r="AD116" s="17"/>
      <c r="AE116" s="17"/>
      <c r="AF116" s="17" t="str">
        <f>$G$341</f>
        <v>Docket No. UW-010877</v>
      </c>
      <c r="AG116" s="106"/>
      <c r="AH116" s="4"/>
    </row>
    <row r="117" spans="1:34" ht="15.75">
      <c r="A117" s="4"/>
      <c r="B117" s="19" t="str">
        <f>$B$342</f>
        <v>FOR THE 12 MONTHS ENDED DECEMBER 31, 2000</v>
      </c>
      <c r="C117" s="4"/>
      <c r="D117" s="4"/>
      <c r="E117" s="1"/>
      <c r="F117" s="17"/>
      <c r="G117" s="17"/>
      <c r="H117" s="17"/>
      <c r="I117" s="3" t="s">
        <v>105</v>
      </c>
      <c r="J117" s="106"/>
      <c r="K117" s="17"/>
      <c r="L117" s="17"/>
      <c r="M117" s="17"/>
      <c r="N117" s="17"/>
      <c r="O117" s="3" t="s">
        <v>106</v>
      </c>
      <c r="P117" s="106"/>
      <c r="Q117" s="17"/>
      <c r="R117" s="17"/>
      <c r="S117" s="17"/>
      <c r="T117" s="3" t="s">
        <v>107</v>
      </c>
      <c r="U117" s="106"/>
      <c r="V117" s="17"/>
      <c r="W117" s="17"/>
      <c r="X117" s="17"/>
      <c r="Y117" s="17"/>
      <c r="Z117" s="3" t="s">
        <v>108</v>
      </c>
      <c r="AA117" s="106"/>
      <c r="AB117" s="17"/>
      <c r="AC117" s="17"/>
      <c r="AD117" s="17"/>
      <c r="AE117" s="17"/>
      <c r="AF117" s="3" t="s">
        <v>109</v>
      </c>
      <c r="AG117" s="106"/>
      <c r="AH117" s="4"/>
    </row>
    <row r="118" spans="1:34" ht="15.75">
      <c r="A118" s="4"/>
      <c r="B118" s="19"/>
      <c r="C118" s="4"/>
      <c r="D118" s="4"/>
      <c r="E118" s="1"/>
      <c r="F118" s="17"/>
      <c r="G118" s="17"/>
      <c r="H118" s="17"/>
      <c r="I118" s="17"/>
      <c r="J118" s="106"/>
      <c r="K118" s="17"/>
      <c r="L118" s="17"/>
      <c r="M118" s="17"/>
      <c r="N118" s="17"/>
      <c r="O118" s="17"/>
      <c r="P118" s="106"/>
      <c r="Q118" s="17"/>
      <c r="R118" s="17"/>
      <c r="S118" s="17"/>
      <c r="T118" s="17"/>
      <c r="U118" s="106"/>
      <c r="V118" s="17"/>
      <c r="W118" s="17"/>
      <c r="X118" s="17"/>
      <c r="Y118" s="17"/>
      <c r="Z118" s="17"/>
      <c r="AA118" s="106"/>
      <c r="AB118" s="17"/>
      <c r="AC118" s="17"/>
      <c r="AD118" s="17"/>
      <c r="AE118" s="17"/>
      <c r="AF118" s="17"/>
      <c r="AG118" s="106"/>
      <c r="AH118" s="4"/>
    </row>
    <row r="119" spans="1:34" ht="15.75">
      <c r="A119" s="4"/>
      <c r="B119" s="19"/>
      <c r="C119" s="17"/>
      <c r="D119" s="17"/>
      <c r="E119" s="22"/>
      <c r="F119" s="22" t="s">
        <v>110</v>
      </c>
      <c r="G119" s="22" t="s">
        <v>111</v>
      </c>
      <c r="H119" s="22" t="s">
        <v>112</v>
      </c>
      <c r="I119" s="24"/>
      <c r="J119" s="23"/>
      <c r="K119" s="24" t="s">
        <v>113</v>
      </c>
      <c r="L119" s="24" t="s">
        <v>114</v>
      </c>
      <c r="M119" s="24" t="s">
        <v>115</v>
      </c>
      <c r="N119" s="24" t="s">
        <v>116</v>
      </c>
      <c r="O119" s="24" t="s">
        <v>117</v>
      </c>
      <c r="P119" s="23" t="s">
        <v>118</v>
      </c>
      <c r="Q119" s="24" t="s">
        <v>119</v>
      </c>
      <c r="R119" s="24" t="s">
        <v>120</v>
      </c>
      <c r="S119" s="24" t="s">
        <v>121</v>
      </c>
      <c r="T119" s="24" t="s">
        <v>122</v>
      </c>
      <c r="U119" s="23" t="s">
        <v>123</v>
      </c>
      <c r="V119" s="24" t="s">
        <v>124</v>
      </c>
      <c r="W119" s="24" t="s">
        <v>125</v>
      </c>
      <c r="X119" s="22" t="s">
        <v>126</v>
      </c>
      <c r="Y119" s="22" t="s">
        <v>126</v>
      </c>
      <c r="Z119" s="22" t="s">
        <v>126</v>
      </c>
      <c r="AA119" s="26" t="s">
        <v>126</v>
      </c>
      <c r="AB119" s="22" t="s">
        <v>127</v>
      </c>
      <c r="AC119" s="22" t="s">
        <v>128</v>
      </c>
      <c r="AD119" s="22" t="s">
        <v>129</v>
      </c>
      <c r="AE119" s="22" t="s">
        <v>130</v>
      </c>
      <c r="AF119" s="22" t="s">
        <v>131</v>
      </c>
      <c r="AG119" s="26" t="s">
        <v>126</v>
      </c>
      <c r="AH119" s="4"/>
    </row>
    <row r="120" spans="1:34" ht="15.75">
      <c r="A120" s="4"/>
      <c r="B120" s="19"/>
      <c r="C120" s="17"/>
      <c r="D120" s="17"/>
      <c r="E120" s="24" t="s">
        <v>9</v>
      </c>
      <c r="F120" s="22" t="s">
        <v>132</v>
      </c>
      <c r="G120" s="22"/>
      <c r="H120" s="22" t="s">
        <v>133</v>
      </c>
      <c r="I120" s="22"/>
      <c r="J120" s="26"/>
      <c r="K120" s="4"/>
      <c r="L120" s="22"/>
      <c r="M120" s="17"/>
      <c r="N120" s="22"/>
      <c r="O120" s="24"/>
      <c r="P120" s="26"/>
      <c r="Q120" s="24"/>
      <c r="R120" s="24"/>
      <c r="S120" s="17"/>
      <c r="T120" s="22"/>
      <c r="U120" s="26"/>
      <c r="V120" s="22"/>
      <c r="W120" s="22"/>
      <c r="X120" s="17"/>
      <c r="Y120" s="17"/>
      <c r="Z120" s="17"/>
      <c r="AA120" s="106"/>
      <c r="AB120" s="22"/>
      <c r="AC120" s="22"/>
      <c r="AD120" s="22"/>
      <c r="AE120" s="22"/>
      <c r="AF120" s="22"/>
      <c r="AG120" s="106"/>
      <c r="AH120" s="4"/>
    </row>
    <row r="121" spans="1:34" ht="15.75">
      <c r="A121" s="4"/>
      <c r="B121" s="25" t="s">
        <v>14</v>
      </c>
      <c r="C121" s="17"/>
      <c r="D121" s="17"/>
      <c r="E121" s="24" t="s">
        <v>16</v>
      </c>
      <c r="F121" s="22" t="s">
        <v>134</v>
      </c>
      <c r="G121" s="22" t="s">
        <v>135</v>
      </c>
      <c r="H121" s="22" t="s">
        <v>136</v>
      </c>
      <c r="I121" s="22"/>
      <c r="J121" s="26"/>
      <c r="K121" s="22"/>
      <c r="L121" s="22"/>
      <c r="M121" s="22"/>
      <c r="N121" s="22"/>
      <c r="O121" s="22"/>
      <c r="P121" s="26"/>
      <c r="Q121" s="22"/>
      <c r="R121" s="22"/>
      <c r="S121" s="17"/>
      <c r="T121" s="22"/>
      <c r="U121" s="26"/>
      <c r="V121" s="22"/>
      <c r="W121" s="22"/>
      <c r="X121" s="17"/>
      <c r="Y121" s="17"/>
      <c r="Z121" s="17"/>
      <c r="AA121" s="106"/>
      <c r="AB121" s="22"/>
      <c r="AC121" s="22"/>
      <c r="AD121" s="22"/>
      <c r="AE121" s="22"/>
      <c r="AF121" s="22"/>
      <c r="AG121" s="106"/>
      <c r="AH121" s="4"/>
    </row>
    <row r="122" spans="1:34" ht="15.75">
      <c r="A122" s="4"/>
      <c r="B122" s="27" t="s">
        <v>18</v>
      </c>
      <c r="C122" s="28" t="s">
        <v>19</v>
      </c>
      <c r="D122" s="28" t="s">
        <v>20</v>
      </c>
      <c r="E122" s="29" t="s">
        <v>22</v>
      </c>
      <c r="F122" s="28" t="s">
        <v>137</v>
      </c>
      <c r="G122" s="28" t="s">
        <v>138</v>
      </c>
      <c r="H122" s="28" t="s">
        <v>139</v>
      </c>
      <c r="I122" s="28"/>
      <c r="J122" s="26"/>
      <c r="K122" s="22"/>
      <c r="L122" s="22"/>
      <c r="M122" s="22"/>
      <c r="N122" s="22"/>
      <c r="O122" s="29"/>
      <c r="P122" s="30"/>
      <c r="Q122" s="28"/>
      <c r="R122" s="28"/>
      <c r="S122" s="22"/>
      <c r="T122" s="22"/>
      <c r="U122" s="26"/>
      <c r="V122" s="22"/>
      <c r="W122" s="22"/>
      <c r="X122" s="17"/>
      <c r="Y122" s="17"/>
      <c r="Z122" s="17"/>
      <c r="AA122" s="106"/>
      <c r="AB122" s="22"/>
      <c r="AC122" s="22"/>
      <c r="AD122" s="22"/>
      <c r="AE122" s="22"/>
      <c r="AF122" s="22"/>
      <c r="AG122" s="106"/>
      <c r="AH122" s="4"/>
    </row>
    <row r="123" spans="1:34" ht="15.75">
      <c r="A123" s="4"/>
      <c r="B123" s="32"/>
      <c r="C123" s="32" t="s">
        <v>25</v>
      </c>
      <c r="D123" s="32" t="s">
        <v>26</v>
      </c>
      <c r="E123" s="32" t="s">
        <v>27</v>
      </c>
      <c r="F123" s="33" t="s">
        <v>28</v>
      </c>
      <c r="G123" s="33" t="s">
        <v>29</v>
      </c>
      <c r="H123" s="33" t="s">
        <v>30</v>
      </c>
      <c r="I123" s="33" t="s">
        <v>31</v>
      </c>
      <c r="J123" s="34" t="s">
        <v>32</v>
      </c>
      <c r="K123" s="31" t="s">
        <v>33</v>
      </c>
      <c r="L123" s="33" t="s">
        <v>140</v>
      </c>
      <c r="M123" s="33" t="s">
        <v>141</v>
      </c>
      <c r="N123" s="33" t="s">
        <v>142</v>
      </c>
      <c r="O123" s="33" t="s">
        <v>143</v>
      </c>
      <c r="P123" s="34" t="s">
        <v>144</v>
      </c>
      <c r="Q123" s="31" t="s">
        <v>145</v>
      </c>
      <c r="R123" s="33" t="s">
        <v>145</v>
      </c>
      <c r="S123" s="33" t="s">
        <v>146</v>
      </c>
      <c r="T123" s="33" t="s">
        <v>147</v>
      </c>
      <c r="U123" s="34" t="s">
        <v>144</v>
      </c>
      <c r="V123" s="31" t="s">
        <v>144</v>
      </c>
      <c r="W123" s="33" t="s">
        <v>148</v>
      </c>
      <c r="X123" s="33" t="s">
        <v>146</v>
      </c>
      <c r="Y123" s="33" t="s">
        <v>149</v>
      </c>
      <c r="Z123" s="33" t="s">
        <v>150</v>
      </c>
      <c r="AA123" s="34" t="s">
        <v>149</v>
      </c>
      <c r="AB123" s="107" t="s">
        <v>151</v>
      </c>
      <c r="AC123" s="108" t="s">
        <v>152</v>
      </c>
      <c r="AD123" s="108" t="s">
        <v>153</v>
      </c>
      <c r="AE123" s="108" t="s">
        <v>154</v>
      </c>
      <c r="AF123" s="108" t="s">
        <v>155</v>
      </c>
      <c r="AG123" s="109" t="s">
        <v>156</v>
      </c>
      <c r="AH123" s="4"/>
    </row>
    <row r="124" spans="1:34" ht="15">
      <c r="A124" s="1"/>
      <c r="B124" s="36"/>
      <c r="C124" s="36"/>
      <c r="D124" s="36"/>
      <c r="E124" s="36"/>
      <c r="F124" s="37"/>
      <c r="G124" s="37"/>
      <c r="H124" s="37"/>
      <c r="I124" s="37"/>
      <c r="J124" s="38"/>
      <c r="K124" s="35"/>
      <c r="L124" s="37"/>
      <c r="M124" s="37"/>
      <c r="N124" s="37"/>
      <c r="O124" s="37"/>
      <c r="P124" s="38"/>
      <c r="Q124" s="35"/>
      <c r="R124" s="37"/>
      <c r="S124" s="37"/>
      <c r="T124" s="37"/>
      <c r="U124" s="38"/>
      <c r="V124" s="35"/>
      <c r="W124" s="37"/>
      <c r="X124" s="37"/>
      <c r="Y124" s="37"/>
      <c r="Z124" s="37"/>
      <c r="AA124" s="38"/>
      <c r="AB124" s="35"/>
      <c r="AC124" s="37"/>
      <c r="AD124" s="37"/>
      <c r="AE124" s="37"/>
      <c r="AF124" s="37"/>
      <c r="AG124" s="38"/>
      <c r="AH124" s="4"/>
    </row>
    <row r="125" spans="1:34" ht="15.75">
      <c r="A125" s="4"/>
      <c r="B125" s="36"/>
      <c r="C125" s="110" t="s">
        <v>34</v>
      </c>
      <c r="D125" s="39"/>
      <c r="E125" s="39"/>
      <c r="F125" s="4"/>
      <c r="G125" s="4"/>
      <c r="H125" s="4"/>
      <c r="I125" s="4"/>
      <c r="J125" s="18"/>
      <c r="K125" s="40"/>
      <c r="L125" s="4"/>
      <c r="M125" s="4"/>
      <c r="N125" s="4"/>
      <c r="O125" s="4"/>
      <c r="P125" s="18"/>
      <c r="Q125" s="40"/>
      <c r="R125" s="4"/>
      <c r="S125" s="4"/>
      <c r="T125" s="4"/>
      <c r="U125" s="18"/>
      <c r="V125" s="40"/>
      <c r="W125" s="4"/>
      <c r="X125" s="4"/>
      <c r="Y125" s="4"/>
      <c r="Z125" s="4"/>
      <c r="AA125" s="18"/>
      <c r="AB125" s="40"/>
      <c r="AC125" s="4"/>
      <c r="AD125" s="4"/>
      <c r="AE125" s="4"/>
      <c r="AF125" s="4"/>
      <c r="AG125" s="18"/>
      <c r="AH125" s="4"/>
    </row>
    <row r="126" spans="1:34" ht="15">
      <c r="A126" s="4"/>
      <c r="B126" s="43">
        <v>1</v>
      </c>
      <c r="C126" s="111" t="s">
        <v>35</v>
      </c>
      <c r="D126" s="43" t="s">
        <v>36</v>
      </c>
      <c r="E126" s="112">
        <f>SUM(F126:AG126)</f>
        <v>0</v>
      </c>
      <c r="F126" s="113">
        <v>0</v>
      </c>
      <c r="G126" s="113">
        <v>0</v>
      </c>
      <c r="H126" s="113">
        <v>0</v>
      </c>
      <c r="I126" s="113">
        <v>0</v>
      </c>
      <c r="J126" s="114">
        <v>0</v>
      </c>
      <c r="K126" s="44">
        <v>0</v>
      </c>
      <c r="L126" s="113">
        <v>0</v>
      </c>
      <c r="M126" s="113">
        <v>0</v>
      </c>
      <c r="N126" s="113">
        <v>0</v>
      </c>
      <c r="O126" s="113">
        <v>0</v>
      </c>
      <c r="P126" s="114">
        <v>0</v>
      </c>
      <c r="Q126" s="44">
        <v>0</v>
      </c>
      <c r="R126" s="113">
        <v>0</v>
      </c>
      <c r="S126" s="113">
        <v>0</v>
      </c>
      <c r="T126" s="113">
        <v>0</v>
      </c>
      <c r="U126" s="114">
        <v>0</v>
      </c>
      <c r="V126" s="44">
        <v>0</v>
      </c>
      <c r="W126" s="113">
        <v>0</v>
      </c>
      <c r="X126" s="113">
        <v>0</v>
      </c>
      <c r="Y126" s="113">
        <v>0</v>
      </c>
      <c r="Z126" s="113">
        <v>0</v>
      </c>
      <c r="AA126" s="114">
        <v>0</v>
      </c>
      <c r="AB126" s="44">
        <v>0</v>
      </c>
      <c r="AC126" s="113">
        <v>0</v>
      </c>
      <c r="AD126" s="113">
        <v>0</v>
      </c>
      <c r="AE126" s="113">
        <v>0</v>
      </c>
      <c r="AF126" s="113">
        <v>0</v>
      </c>
      <c r="AG126" s="114">
        <v>0</v>
      </c>
      <c r="AH126" s="4"/>
    </row>
    <row r="127" spans="1:34" ht="15">
      <c r="A127" s="4"/>
      <c r="B127" s="43">
        <f>B126+1</f>
        <v>2</v>
      </c>
      <c r="C127" s="111" t="s">
        <v>37</v>
      </c>
      <c r="D127" s="43" t="s">
        <v>36</v>
      </c>
      <c r="E127" s="39">
        <f>SUM(F127:AG127)</f>
        <v>0</v>
      </c>
      <c r="F127" s="2">
        <v>0</v>
      </c>
      <c r="G127" s="2">
        <v>0</v>
      </c>
      <c r="H127" s="2">
        <v>0</v>
      </c>
      <c r="I127" s="2">
        <v>0</v>
      </c>
      <c r="J127" s="115">
        <v>0</v>
      </c>
      <c r="K127" s="48">
        <v>0</v>
      </c>
      <c r="L127" s="2">
        <v>0</v>
      </c>
      <c r="M127" s="2">
        <v>0</v>
      </c>
      <c r="N127" s="2">
        <v>0</v>
      </c>
      <c r="O127" s="2">
        <v>0</v>
      </c>
      <c r="P127" s="115">
        <v>0</v>
      </c>
      <c r="Q127" s="48">
        <v>0</v>
      </c>
      <c r="R127" s="2">
        <v>0</v>
      </c>
      <c r="S127" s="2">
        <v>0</v>
      </c>
      <c r="T127" s="2">
        <v>0</v>
      </c>
      <c r="U127" s="115">
        <v>0</v>
      </c>
      <c r="V127" s="48">
        <v>0</v>
      </c>
      <c r="W127" s="2">
        <v>0</v>
      </c>
      <c r="X127" s="2">
        <v>0</v>
      </c>
      <c r="Y127" s="2">
        <v>0</v>
      </c>
      <c r="Z127" s="2">
        <v>0</v>
      </c>
      <c r="AA127" s="115">
        <v>0</v>
      </c>
      <c r="AB127" s="48">
        <v>0</v>
      </c>
      <c r="AC127" s="2">
        <v>0</v>
      </c>
      <c r="AD127" s="2">
        <v>0</v>
      </c>
      <c r="AE127" s="2">
        <v>0</v>
      </c>
      <c r="AF127" s="2">
        <v>0</v>
      </c>
      <c r="AG127" s="115">
        <v>0</v>
      </c>
      <c r="AH127" s="4"/>
    </row>
    <row r="128" spans="1:34" ht="15">
      <c r="A128" s="4"/>
      <c r="B128" s="43">
        <f>B127+1</f>
        <v>3</v>
      </c>
      <c r="C128" s="111" t="s">
        <v>38</v>
      </c>
      <c r="D128" s="43" t="s">
        <v>36</v>
      </c>
      <c r="E128" s="39">
        <f>SUM(F128:AG128)</f>
        <v>-190201</v>
      </c>
      <c r="F128" s="2">
        <v>-190201</v>
      </c>
      <c r="G128" s="2">
        <v>0</v>
      </c>
      <c r="H128" s="2">
        <v>0</v>
      </c>
      <c r="I128" s="2">
        <v>0</v>
      </c>
      <c r="J128" s="115">
        <v>0</v>
      </c>
      <c r="K128" s="48">
        <v>0</v>
      </c>
      <c r="L128" s="2">
        <v>0</v>
      </c>
      <c r="M128" s="2">
        <v>0</v>
      </c>
      <c r="N128" s="2">
        <v>0</v>
      </c>
      <c r="O128" s="2">
        <v>0</v>
      </c>
      <c r="P128" s="115">
        <v>0</v>
      </c>
      <c r="Q128" s="48">
        <v>0</v>
      </c>
      <c r="R128" s="2">
        <v>0</v>
      </c>
      <c r="S128" s="2">
        <v>0</v>
      </c>
      <c r="T128" s="2">
        <v>0</v>
      </c>
      <c r="U128" s="115">
        <v>0</v>
      </c>
      <c r="V128" s="48">
        <v>0</v>
      </c>
      <c r="W128" s="2">
        <v>0</v>
      </c>
      <c r="X128" s="2">
        <v>0</v>
      </c>
      <c r="Y128" s="2">
        <v>0</v>
      </c>
      <c r="Z128" s="2">
        <v>0</v>
      </c>
      <c r="AA128" s="115">
        <v>0</v>
      </c>
      <c r="AB128" s="48">
        <v>0</v>
      </c>
      <c r="AC128" s="2">
        <v>0</v>
      </c>
      <c r="AD128" s="2">
        <v>0</v>
      </c>
      <c r="AE128" s="2">
        <v>0</v>
      </c>
      <c r="AF128" s="2">
        <v>0</v>
      </c>
      <c r="AG128" s="115">
        <v>0</v>
      </c>
      <c r="AH128" s="4"/>
    </row>
    <row r="129" spans="1:34" ht="15">
      <c r="A129" s="4"/>
      <c r="B129" s="43">
        <f>B128+1</f>
        <v>4</v>
      </c>
      <c r="C129" s="111" t="s">
        <v>39</v>
      </c>
      <c r="D129" s="43" t="s">
        <v>36</v>
      </c>
      <c r="E129" s="39">
        <f>SUM(F129:AG129)</f>
        <v>0</v>
      </c>
      <c r="F129" s="2">
        <v>0</v>
      </c>
      <c r="G129" s="2">
        <v>0</v>
      </c>
      <c r="H129" s="2">
        <v>0</v>
      </c>
      <c r="I129" s="2">
        <v>0</v>
      </c>
      <c r="J129" s="115">
        <v>0</v>
      </c>
      <c r="K129" s="48">
        <v>0</v>
      </c>
      <c r="L129" s="2">
        <v>0</v>
      </c>
      <c r="M129" s="2">
        <v>0</v>
      </c>
      <c r="N129" s="2">
        <v>0</v>
      </c>
      <c r="O129" s="2">
        <v>0</v>
      </c>
      <c r="P129" s="115">
        <v>0</v>
      </c>
      <c r="Q129" s="48">
        <v>0</v>
      </c>
      <c r="R129" s="2">
        <v>0</v>
      </c>
      <c r="S129" s="2">
        <v>0</v>
      </c>
      <c r="T129" s="2">
        <v>0</v>
      </c>
      <c r="U129" s="115">
        <v>0</v>
      </c>
      <c r="V129" s="48">
        <v>0</v>
      </c>
      <c r="W129" s="2">
        <v>0</v>
      </c>
      <c r="X129" s="2">
        <v>0</v>
      </c>
      <c r="Y129" s="2">
        <v>0</v>
      </c>
      <c r="Z129" s="2">
        <v>0</v>
      </c>
      <c r="AA129" s="115">
        <v>0</v>
      </c>
      <c r="AB129" s="48">
        <v>0</v>
      </c>
      <c r="AC129" s="2">
        <v>0</v>
      </c>
      <c r="AD129" s="2">
        <v>0</v>
      </c>
      <c r="AE129" s="2">
        <v>0</v>
      </c>
      <c r="AF129" s="2">
        <v>0</v>
      </c>
      <c r="AG129" s="115">
        <v>0</v>
      </c>
      <c r="AH129" s="4"/>
    </row>
    <row r="130" spans="1:34" ht="15">
      <c r="A130" s="4"/>
      <c r="B130" s="43">
        <f>B129+1</f>
        <v>5</v>
      </c>
      <c r="C130" s="111" t="s">
        <v>40</v>
      </c>
      <c r="D130" s="43" t="str">
        <f>"Ln "&amp;FIXED(+B126,0)&amp;"+"&amp;FIXED(+B127,0)&amp;"+"&amp;FIXED(+B128,0)&amp;"+"&amp;FIXED(+B129,0)</f>
        <v>Ln 1+2+3+4</v>
      </c>
      <c r="E130" s="116">
        <f aca="true" t="shared" si="20" ref="E130:AG130">SUM(E126:E129)</f>
        <v>-190201</v>
      </c>
      <c r="F130" s="99">
        <f t="shared" si="20"/>
        <v>-190201</v>
      </c>
      <c r="G130" s="99">
        <f t="shared" si="20"/>
        <v>0</v>
      </c>
      <c r="H130" s="99">
        <f t="shared" si="20"/>
        <v>0</v>
      </c>
      <c r="I130" s="99">
        <f t="shared" si="20"/>
        <v>0</v>
      </c>
      <c r="J130" s="100">
        <f t="shared" si="20"/>
        <v>0</v>
      </c>
      <c r="K130" s="52">
        <f t="shared" si="20"/>
        <v>0</v>
      </c>
      <c r="L130" s="99">
        <f t="shared" si="20"/>
        <v>0</v>
      </c>
      <c r="M130" s="99">
        <f t="shared" si="20"/>
        <v>0</v>
      </c>
      <c r="N130" s="99">
        <f t="shared" si="20"/>
        <v>0</v>
      </c>
      <c r="O130" s="99">
        <f t="shared" si="20"/>
        <v>0</v>
      </c>
      <c r="P130" s="100">
        <f t="shared" si="20"/>
        <v>0</v>
      </c>
      <c r="Q130" s="52">
        <f t="shared" si="20"/>
        <v>0</v>
      </c>
      <c r="R130" s="99">
        <f t="shared" si="20"/>
        <v>0</v>
      </c>
      <c r="S130" s="99">
        <f t="shared" si="20"/>
        <v>0</v>
      </c>
      <c r="T130" s="99">
        <f t="shared" si="20"/>
        <v>0</v>
      </c>
      <c r="U130" s="100">
        <f t="shared" si="20"/>
        <v>0</v>
      </c>
      <c r="V130" s="52">
        <f t="shared" si="20"/>
        <v>0</v>
      </c>
      <c r="W130" s="99">
        <f t="shared" si="20"/>
        <v>0</v>
      </c>
      <c r="X130" s="99">
        <f t="shared" si="20"/>
        <v>0</v>
      </c>
      <c r="Y130" s="99">
        <f t="shared" si="20"/>
        <v>0</v>
      </c>
      <c r="Z130" s="99">
        <f t="shared" si="20"/>
        <v>0</v>
      </c>
      <c r="AA130" s="100">
        <f t="shared" si="20"/>
        <v>0</v>
      </c>
      <c r="AB130" s="52">
        <f t="shared" si="20"/>
        <v>0</v>
      </c>
      <c r="AC130" s="99">
        <f t="shared" si="20"/>
        <v>0</v>
      </c>
      <c r="AD130" s="99">
        <f t="shared" si="20"/>
        <v>0</v>
      </c>
      <c r="AE130" s="99">
        <f t="shared" si="20"/>
        <v>0</v>
      </c>
      <c r="AF130" s="99">
        <f t="shared" si="20"/>
        <v>0</v>
      </c>
      <c r="AG130" s="100">
        <f t="shared" si="20"/>
        <v>0</v>
      </c>
      <c r="AH130" s="4"/>
    </row>
    <row r="131" spans="1:34" ht="15">
      <c r="A131" s="4"/>
      <c r="B131" s="43">
        <f>B130+1</f>
        <v>6</v>
      </c>
      <c r="C131" s="111" t="s">
        <v>41</v>
      </c>
      <c r="D131" s="43" t="s">
        <v>36</v>
      </c>
      <c r="E131" s="39">
        <f>SUM(F131:AG131)</f>
        <v>0</v>
      </c>
      <c r="F131" s="1">
        <v>0</v>
      </c>
      <c r="G131" s="1">
        <v>0</v>
      </c>
      <c r="H131" s="1">
        <v>0</v>
      </c>
      <c r="I131" s="1">
        <v>0</v>
      </c>
      <c r="J131" s="67">
        <v>0</v>
      </c>
      <c r="K131" s="42">
        <v>0</v>
      </c>
      <c r="L131" s="1">
        <v>0</v>
      </c>
      <c r="M131" s="1">
        <v>0</v>
      </c>
      <c r="N131" s="1">
        <v>0</v>
      </c>
      <c r="O131" s="1">
        <v>0</v>
      </c>
      <c r="P131" s="67">
        <v>0</v>
      </c>
      <c r="Q131" s="42">
        <v>0</v>
      </c>
      <c r="R131" s="1">
        <v>0</v>
      </c>
      <c r="S131" s="1">
        <v>0</v>
      </c>
      <c r="T131" s="1">
        <v>0</v>
      </c>
      <c r="U131" s="67">
        <v>0</v>
      </c>
      <c r="V131" s="42">
        <v>0</v>
      </c>
      <c r="W131" s="1">
        <v>0</v>
      </c>
      <c r="X131" s="1">
        <v>0</v>
      </c>
      <c r="Y131" s="1">
        <v>0</v>
      </c>
      <c r="Z131" s="1">
        <v>0</v>
      </c>
      <c r="AA131" s="67">
        <v>0</v>
      </c>
      <c r="AB131" s="42">
        <v>0</v>
      </c>
      <c r="AC131" s="1">
        <v>0</v>
      </c>
      <c r="AD131" s="1">
        <v>0</v>
      </c>
      <c r="AE131" s="1">
        <v>0</v>
      </c>
      <c r="AF131" s="1">
        <v>0</v>
      </c>
      <c r="AG131" s="67">
        <v>0</v>
      </c>
      <c r="AH131" s="4"/>
    </row>
    <row r="132" spans="1:34" ht="15">
      <c r="A132" s="4"/>
      <c r="B132" s="43"/>
      <c r="C132" s="111"/>
      <c r="D132" s="43"/>
      <c r="E132" s="111"/>
      <c r="F132" s="1"/>
      <c r="G132" s="1"/>
      <c r="H132" s="1"/>
      <c r="I132" s="1"/>
      <c r="J132" s="67"/>
      <c r="K132" s="42"/>
      <c r="L132" s="1"/>
      <c r="M132" s="1"/>
      <c r="N132" s="1"/>
      <c r="O132" s="1"/>
      <c r="P132" s="67"/>
      <c r="Q132" s="42"/>
      <c r="R132" s="1"/>
      <c r="S132" s="1"/>
      <c r="T132" s="1"/>
      <c r="U132" s="67"/>
      <c r="V132" s="42"/>
      <c r="W132" s="1"/>
      <c r="X132" s="1"/>
      <c r="Y132" s="1"/>
      <c r="Z132" s="1"/>
      <c r="AA132" s="67"/>
      <c r="AB132" s="42"/>
      <c r="AC132" s="1"/>
      <c r="AD132" s="1"/>
      <c r="AE132" s="1"/>
      <c r="AF132" s="1"/>
      <c r="AG132" s="67"/>
      <c r="AH132" s="4"/>
    </row>
    <row r="133" spans="1:34" ht="15.75">
      <c r="A133" s="4"/>
      <c r="B133" s="43">
        <f>B131+1</f>
        <v>7</v>
      </c>
      <c r="C133" s="110" t="s">
        <v>42</v>
      </c>
      <c r="D133" s="43" t="str">
        <f>"Ln "&amp;FIXED(+B130,0)&amp;"+"&amp;FIXED(+B131,0)</f>
        <v>Ln 5+6</v>
      </c>
      <c r="E133" s="117">
        <f aca="true" t="shared" si="21" ref="E133:AG133">E130+E131</f>
        <v>-190201</v>
      </c>
      <c r="F133" s="57">
        <f t="shared" si="21"/>
        <v>-190201</v>
      </c>
      <c r="G133" s="57">
        <f t="shared" si="21"/>
        <v>0</v>
      </c>
      <c r="H133" s="57">
        <f t="shared" si="21"/>
        <v>0</v>
      </c>
      <c r="I133" s="57">
        <f t="shared" si="21"/>
        <v>0</v>
      </c>
      <c r="J133" s="58">
        <f t="shared" si="21"/>
        <v>0</v>
      </c>
      <c r="K133" s="8">
        <f t="shared" si="21"/>
        <v>0</v>
      </c>
      <c r="L133" s="57">
        <f t="shared" si="21"/>
        <v>0</v>
      </c>
      <c r="M133" s="57">
        <f t="shared" si="21"/>
        <v>0</v>
      </c>
      <c r="N133" s="57">
        <f t="shared" si="21"/>
        <v>0</v>
      </c>
      <c r="O133" s="57">
        <f t="shared" si="21"/>
        <v>0</v>
      </c>
      <c r="P133" s="58">
        <f t="shared" si="21"/>
        <v>0</v>
      </c>
      <c r="Q133" s="8">
        <f t="shared" si="21"/>
        <v>0</v>
      </c>
      <c r="R133" s="57">
        <f t="shared" si="21"/>
        <v>0</v>
      </c>
      <c r="S133" s="57">
        <f t="shared" si="21"/>
        <v>0</v>
      </c>
      <c r="T133" s="57">
        <f t="shared" si="21"/>
        <v>0</v>
      </c>
      <c r="U133" s="58">
        <f t="shared" si="21"/>
        <v>0</v>
      </c>
      <c r="V133" s="8">
        <f t="shared" si="21"/>
        <v>0</v>
      </c>
      <c r="W133" s="57">
        <f t="shared" si="21"/>
        <v>0</v>
      </c>
      <c r="X133" s="57">
        <f t="shared" si="21"/>
        <v>0</v>
      </c>
      <c r="Y133" s="57">
        <f t="shared" si="21"/>
        <v>0</v>
      </c>
      <c r="Z133" s="57">
        <f t="shared" si="21"/>
        <v>0</v>
      </c>
      <c r="AA133" s="58">
        <f t="shared" si="21"/>
        <v>0</v>
      </c>
      <c r="AB133" s="8">
        <f t="shared" si="21"/>
        <v>0</v>
      </c>
      <c r="AC133" s="57">
        <f t="shared" si="21"/>
        <v>0</v>
      </c>
      <c r="AD133" s="57">
        <f t="shared" si="21"/>
        <v>0</v>
      </c>
      <c r="AE133" s="57">
        <f t="shared" si="21"/>
        <v>0</v>
      </c>
      <c r="AF133" s="57">
        <f t="shared" si="21"/>
        <v>0</v>
      </c>
      <c r="AG133" s="58">
        <f t="shared" si="21"/>
        <v>0</v>
      </c>
      <c r="AH133" s="4"/>
    </row>
    <row r="134" spans="1:34" ht="15.75">
      <c r="A134" s="4"/>
      <c r="B134" s="43"/>
      <c r="C134" s="110"/>
      <c r="D134" s="43"/>
      <c r="E134" s="117"/>
      <c r="F134" s="57"/>
      <c r="G134" s="57"/>
      <c r="H134" s="57"/>
      <c r="I134" s="57"/>
      <c r="J134" s="58"/>
      <c r="K134" s="8"/>
      <c r="L134" s="57"/>
      <c r="M134" s="57"/>
      <c r="N134" s="57"/>
      <c r="O134" s="57"/>
      <c r="P134" s="58"/>
      <c r="Q134" s="8"/>
      <c r="R134" s="57"/>
      <c r="S134" s="57"/>
      <c r="T134" s="57"/>
      <c r="U134" s="58"/>
      <c r="V134" s="8"/>
      <c r="W134" s="57"/>
      <c r="X134" s="57"/>
      <c r="Y134" s="57"/>
      <c r="Z134" s="57"/>
      <c r="AA134" s="58"/>
      <c r="AB134" s="8"/>
      <c r="AC134" s="57"/>
      <c r="AD134" s="57"/>
      <c r="AE134" s="57"/>
      <c r="AF134" s="57"/>
      <c r="AG134" s="58"/>
      <c r="AH134" s="4"/>
    </row>
    <row r="135" spans="1:34" ht="15.75">
      <c r="A135" s="4"/>
      <c r="B135" s="36"/>
      <c r="C135" s="110" t="s">
        <v>43</v>
      </c>
      <c r="D135" s="39"/>
      <c r="E135" s="39"/>
      <c r="F135" s="4"/>
      <c r="G135" s="4"/>
      <c r="H135" s="4"/>
      <c r="I135" s="4"/>
      <c r="J135" s="18"/>
      <c r="K135" s="40"/>
      <c r="L135" s="4"/>
      <c r="M135" s="4"/>
      <c r="N135" s="4"/>
      <c r="O135" s="4"/>
      <c r="P135" s="18"/>
      <c r="Q135" s="40"/>
      <c r="R135" s="4"/>
      <c r="S135" s="4"/>
      <c r="T135" s="4"/>
      <c r="U135" s="18"/>
      <c r="V135" s="40"/>
      <c r="W135" s="4"/>
      <c r="X135" s="4"/>
      <c r="Y135" s="4"/>
      <c r="Z135" s="4"/>
      <c r="AA135" s="18"/>
      <c r="AB135" s="40"/>
      <c r="AC135" s="4"/>
      <c r="AD135" s="4"/>
      <c r="AE135" s="4"/>
      <c r="AF135" s="4"/>
      <c r="AG135" s="18"/>
      <c r="AH135" s="4"/>
    </row>
    <row r="136" spans="1:34" ht="15">
      <c r="A136" s="4"/>
      <c r="B136" s="43">
        <f>B133+1</f>
        <v>8</v>
      </c>
      <c r="C136" s="111" t="s">
        <v>44</v>
      </c>
      <c r="D136" s="43" t="s">
        <v>36</v>
      </c>
      <c r="E136" s="39">
        <f aca="true" t="shared" si="22" ref="E136:E156">SUM(F136:AG136)</f>
        <v>0</v>
      </c>
      <c r="F136" s="2">
        <v>0</v>
      </c>
      <c r="G136" s="2">
        <v>0</v>
      </c>
      <c r="H136" s="2">
        <v>0</v>
      </c>
      <c r="I136" s="2">
        <v>0</v>
      </c>
      <c r="J136" s="115">
        <v>0</v>
      </c>
      <c r="K136" s="48">
        <v>0</v>
      </c>
      <c r="L136" s="2">
        <v>0</v>
      </c>
      <c r="M136" s="2">
        <v>0</v>
      </c>
      <c r="N136" s="2">
        <v>0</v>
      </c>
      <c r="O136" s="2">
        <v>0</v>
      </c>
      <c r="P136" s="115">
        <v>0</v>
      </c>
      <c r="Q136" s="48">
        <v>0</v>
      </c>
      <c r="R136" s="2">
        <v>0</v>
      </c>
      <c r="S136" s="2">
        <v>0</v>
      </c>
      <c r="T136" s="2">
        <v>0</v>
      </c>
      <c r="U136" s="115">
        <v>0</v>
      </c>
      <c r="V136" s="48">
        <v>0</v>
      </c>
      <c r="W136" s="2">
        <v>0</v>
      </c>
      <c r="X136" s="2">
        <v>0</v>
      </c>
      <c r="Y136" s="2">
        <v>0</v>
      </c>
      <c r="Z136" s="2">
        <v>0</v>
      </c>
      <c r="AA136" s="115">
        <v>0</v>
      </c>
      <c r="AB136" s="48">
        <v>0</v>
      </c>
      <c r="AC136" s="2">
        <v>0</v>
      </c>
      <c r="AD136" s="2">
        <v>0</v>
      </c>
      <c r="AE136" s="2">
        <v>0</v>
      </c>
      <c r="AF136" s="2">
        <v>0</v>
      </c>
      <c r="AG136" s="115">
        <v>0</v>
      </c>
      <c r="AH136" s="4"/>
    </row>
    <row r="137" spans="1:34" ht="15">
      <c r="A137" s="4"/>
      <c r="B137" s="43">
        <f aca="true" t="shared" si="23" ref="B137:B157">B136+1</f>
        <v>9</v>
      </c>
      <c r="C137" s="111" t="s">
        <v>45</v>
      </c>
      <c r="D137" s="43" t="s">
        <v>36</v>
      </c>
      <c r="E137" s="39">
        <f t="shared" si="22"/>
        <v>0</v>
      </c>
      <c r="F137" s="2">
        <v>0</v>
      </c>
      <c r="G137" s="2">
        <v>0</v>
      </c>
      <c r="H137" s="2">
        <v>0</v>
      </c>
      <c r="I137" s="2">
        <v>0</v>
      </c>
      <c r="J137" s="115">
        <v>0</v>
      </c>
      <c r="K137" s="48">
        <v>0</v>
      </c>
      <c r="L137" s="2">
        <v>0</v>
      </c>
      <c r="M137" s="2">
        <v>0</v>
      </c>
      <c r="N137" s="2">
        <v>0</v>
      </c>
      <c r="O137" s="2">
        <v>0</v>
      </c>
      <c r="P137" s="115">
        <v>0</v>
      </c>
      <c r="Q137" s="48">
        <v>0</v>
      </c>
      <c r="R137" s="2">
        <v>0</v>
      </c>
      <c r="S137" s="2">
        <v>0</v>
      </c>
      <c r="T137" s="2">
        <v>0</v>
      </c>
      <c r="U137" s="115">
        <v>0</v>
      </c>
      <c r="V137" s="48">
        <v>0</v>
      </c>
      <c r="W137" s="2">
        <v>0</v>
      </c>
      <c r="X137" s="2">
        <v>0</v>
      </c>
      <c r="Y137" s="2">
        <v>0</v>
      </c>
      <c r="Z137" s="2">
        <v>0</v>
      </c>
      <c r="AA137" s="115">
        <v>0</v>
      </c>
      <c r="AB137" s="48">
        <v>0</v>
      </c>
      <c r="AC137" s="2">
        <v>0</v>
      </c>
      <c r="AD137" s="2">
        <v>0</v>
      </c>
      <c r="AE137" s="2">
        <v>0</v>
      </c>
      <c r="AF137" s="2">
        <v>0</v>
      </c>
      <c r="AG137" s="115">
        <v>0</v>
      </c>
      <c r="AH137" s="4"/>
    </row>
    <row r="138" spans="1:34" ht="15">
      <c r="A138" s="4"/>
      <c r="B138" s="43">
        <f t="shared" si="23"/>
        <v>10</v>
      </c>
      <c r="C138" s="111" t="s">
        <v>46</v>
      </c>
      <c r="D138" s="43" t="s">
        <v>36</v>
      </c>
      <c r="E138" s="39">
        <f t="shared" si="22"/>
        <v>0</v>
      </c>
      <c r="F138" s="2">
        <v>0</v>
      </c>
      <c r="G138" s="2">
        <v>0</v>
      </c>
      <c r="H138" s="2">
        <v>0</v>
      </c>
      <c r="I138" s="2">
        <v>0</v>
      </c>
      <c r="J138" s="115">
        <v>0</v>
      </c>
      <c r="K138" s="48">
        <v>0</v>
      </c>
      <c r="L138" s="2">
        <v>0</v>
      </c>
      <c r="M138" s="2">
        <v>0</v>
      </c>
      <c r="N138" s="2">
        <v>0</v>
      </c>
      <c r="O138" s="2">
        <v>0</v>
      </c>
      <c r="P138" s="115">
        <v>0</v>
      </c>
      <c r="Q138" s="48">
        <v>0</v>
      </c>
      <c r="R138" s="2">
        <v>0</v>
      </c>
      <c r="S138" s="2">
        <v>0</v>
      </c>
      <c r="T138" s="2">
        <v>0</v>
      </c>
      <c r="U138" s="115">
        <v>0</v>
      </c>
      <c r="V138" s="48">
        <v>0</v>
      </c>
      <c r="W138" s="2">
        <v>0</v>
      </c>
      <c r="X138" s="2">
        <v>0</v>
      </c>
      <c r="Y138" s="2">
        <v>0</v>
      </c>
      <c r="Z138" s="2">
        <v>0</v>
      </c>
      <c r="AA138" s="115">
        <v>0</v>
      </c>
      <c r="AB138" s="48">
        <v>0</v>
      </c>
      <c r="AC138" s="2">
        <v>0</v>
      </c>
      <c r="AD138" s="2">
        <v>0</v>
      </c>
      <c r="AE138" s="2">
        <v>0</v>
      </c>
      <c r="AF138" s="2">
        <v>0</v>
      </c>
      <c r="AG138" s="115">
        <v>0</v>
      </c>
      <c r="AH138" s="4"/>
    </row>
    <row r="139" spans="1:34" ht="15">
      <c r="A139" s="4"/>
      <c r="B139" s="43">
        <f t="shared" si="23"/>
        <v>11</v>
      </c>
      <c r="C139" s="111" t="s">
        <v>47</v>
      </c>
      <c r="D139" s="43" t="s">
        <v>36</v>
      </c>
      <c r="E139" s="39">
        <f t="shared" si="22"/>
        <v>0</v>
      </c>
      <c r="F139" s="2">
        <v>0</v>
      </c>
      <c r="G139" s="2">
        <v>0</v>
      </c>
      <c r="H139" s="2">
        <v>0</v>
      </c>
      <c r="I139" s="2">
        <v>0</v>
      </c>
      <c r="J139" s="115">
        <v>0</v>
      </c>
      <c r="K139" s="48">
        <v>0</v>
      </c>
      <c r="L139" s="2">
        <v>0</v>
      </c>
      <c r="M139" s="2">
        <v>0</v>
      </c>
      <c r="N139" s="2">
        <v>0</v>
      </c>
      <c r="O139" s="2">
        <v>0</v>
      </c>
      <c r="P139" s="115">
        <v>0</v>
      </c>
      <c r="Q139" s="48">
        <v>0</v>
      </c>
      <c r="R139" s="2">
        <v>0</v>
      </c>
      <c r="S139" s="2">
        <v>0</v>
      </c>
      <c r="T139" s="2">
        <v>0</v>
      </c>
      <c r="U139" s="115">
        <v>0</v>
      </c>
      <c r="V139" s="48">
        <v>0</v>
      </c>
      <c r="W139" s="2">
        <v>0</v>
      </c>
      <c r="X139" s="2">
        <v>0</v>
      </c>
      <c r="Y139" s="2">
        <v>0</v>
      </c>
      <c r="Z139" s="2">
        <v>0</v>
      </c>
      <c r="AA139" s="115">
        <v>0</v>
      </c>
      <c r="AB139" s="48">
        <v>0</v>
      </c>
      <c r="AC139" s="2">
        <v>0</v>
      </c>
      <c r="AD139" s="2">
        <v>0</v>
      </c>
      <c r="AE139" s="2">
        <v>0</v>
      </c>
      <c r="AF139" s="2">
        <v>0</v>
      </c>
      <c r="AG139" s="115">
        <v>0</v>
      </c>
      <c r="AH139" s="4"/>
    </row>
    <row r="140" spans="1:34" ht="15">
      <c r="A140" s="4"/>
      <c r="B140" s="43">
        <f t="shared" si="23"/>
        <v>12</v>
      </c>
      <c r="C140" s="111" t="s">
        <v>48</v>
      </c>
      <c r="D140" s="43" t="s">
        <v>36</v>
      </c>
      <c r="E140" s="39">
        <f t="shared" si="22"/>
        <v>0</v>
      </c>
      <c r="F140" s="1">
        <v>0</v>
      </c>
      <c r="G140" s="1">
        <v>0</v>
      </c>
      <c r="H140" s="1">
        <v>0</v>
      </c>
      <c r="I140" s="1">
        <v>0</v>
      </c>
      <c r="J140" s="67">
        <v>0</v>
      </c>
      <c r="K140" s="42">
        <v>0</v>
      </c>
      <c r="L140" s="1">
        <v>0</v>
      </c>
      <c r="M140" s="1">
        <v>0</v>
      </c>
      <c r="N140" s="1">
        <v>0</v>
      </c>
      <c r="O140" s="1">
        <v>0</v>
      </c>
      <c r="P140" s="67">
        <v>0</v>
      </c>
      <c r="Q140" s="42">
        <v>0</v>
      </c>
      <c r="R140" s="1">
        <v>0</v>
      </c>
      <c r="S140" s="1">
        <v>0</v>
      </c>
      <c r="T140" s="1">
        <v>0</v>
      </c>
      <c r="U140" s="67">
        <v>0</v>
      </c>
      <c r="V140" s="42">
        <v>0</v>
      </c>
      <c r="W140" s="1">
        <v>0</v>
      </c>
      <c r="X140" s="1">
        <v>0</v>
      </c>
      <c r="Y140" s="1">
        <v>0</v>
      </c>
      <c r="Z140" s="1">
        <v>0</v>
      </c>
      <c r="AA140" s="67">
        <v>0</v>
      </c>
      <c r="AB140" s="42">
        <v>0</v>
      </c>
      <c r="AC140" s="1">
        <v>0</v>
      </c>
      <c r="AD140" s="1">
        <v>0</v>
      </c>
      <c r="AE140" s="1">
        <v>0</v>
      </c>
      <c r="AF140" s="1">
        <v>0</v>
      </c>
      <c r="AG140" s="67">
        <v>0</v>
      </c>
      <c r="AH140" s="4"/>
    </row>
    <row r="141" spans="1:34" ht="15">
      <c r="A141" s="4"/>
      <c r="B141" s="43">
        <f t="shared" si="23"/>
        <v>13</v>
      </c>
      <c r="C141" s="111" t="s">
        <v>49</v>
      </c>
      <c r="D141" s="43" t="s">
        <v>36</v>
      </c>
      <c r="E141" s="39">
        <f t="shared" si="22"/>
        <v>0</v>
      </c>
      <c r="F141" s="1">
        <v>0</v>
      </c>
      <c r="G141" s="1">
        <v>0</v>
      </c>
      <c r="H141" s="1">
        <v>0</v>
      </c>
      <c r="I141" s="1">
        <v>0</v>
      </c>
      <c r="J141" s="67">
        <v>0</v>
      </c>
      <c r="K141" s="42">
        <v>0</v>
      </c>
      <c r="L141" s="1">
        <v>0</v>
      </c>
      <c r="M141" s="1">
        <v>0</v>
      </c>
      <c r="N141" s="1">
        <v>0</v>
      </c>
      <c r="O141" s="1">
        <v>0</v>
      </c>
      <c r="P141" s="67">
        <v>0</v>
      </c>
      <c r="Q141" s="42">
        <v>0</v>
      </c>
      <c r="R141" s="1">
        <v>0</v>
      </c>
      <c r="S141" s="1">
        <v>0</v>
      </c>
      <c r="T141" s="1">
        <v>0</v>
      </c>
      <c r="U141" s="67">
        <v>0</v>
      </c>
      <c r="V141" s="42">
        <v>0</v>
      </c>
      <c r="W141" s="1">
        <v>0</v>
      </c>
      <c r="X141" s="1">
        <v>0</v>
      </c>
      <c r="Y141" s="1">
        <v>0</v>
      </c>
      <c r="Z141" s="1">
        <v>0</v>
      </c>
      <c r="AA141" s="67">
        <v>0</v>
      </c>
      <c r="AB141" s="42">
        <v>0</v>
      </c>
      <c r="AC141" s="1">
        <v>0</v>
      </c>
      <c r="AD141" s="1">
        <v>0</v>
      </c>
      <c r="AE141" s="1">
        <v>0</v>
      </c>
      <c r="AF141" s="1">
        <v>0</v>
      </c>
      <c r="AG141" s="67">
        <v>0</v>
      </c>
      <c r="AH141" s="4"/>
    </row>
    <row r="142" spans="1:34" ht="15">
      <c r="A142" s="4"/>
      <c r="B142" s="43">
        <f t="shared" si="23"/>
        <v>14</v>
      </c>
      <c r="C142" s="111" t="s">
        <v>50</v>
      </c>
      <c r="D142" s="43" t="s">
        <v>36</v>
      </c>
      <c r="E142" s="39">
        <f t="shared" si="22"/>
        <v>0</v>
      </c>
      <c r="F142" s="2">
        <v>0</v>
      </c>
      <c r="G142" s="2">
        <v>0</v>
      </c>
      <c r="H142" s="2">
        <v>0</v>
      </c>
      <c r="I142" s="2">
        <v>0</v>
      </c>
      <c r="J142" s="115">
        <v>0</v>
      </c>
      <c r="K142" s="48">
        <v>0</v>
      </c>
      <c r="L142" s="2">
        <v>0</v>
      </c>
      <c r="M142" s="2">
        <v>0</v>
      </c>
      <c r="N142" s="2">
        <v>0</v>
      </c>
      <c r="O142" s="2">
        <v>0</v>
      </c>
      <c r="P142" s="115">
        <v>0</v>
      </c>
      <c r="Q142" s="48">
        <v>0</v>
      </c>
      <c r="R142" s="2">
        <v>0</v>
      </c>
      <c r="S142" s="2">
        <v>0</v>
      </c>
      <c r="T142" s="2">
        <v>0</v>
      </c>
      <c r="U142" s="115">
        <v>0</v>
      </c>
      <c r="V142" s="48">
        <v>0</v>
      </c>
      <c r="W142" s="2">
        <v>0</v>
      </c>
      <c r="X142" s="2">
        <v>0</v>
      </c>
      <c r="Y142" s="2">
        <v>0</v>
      </c>
      <c r="Z142" s="2">
        <v>0</v>
      </c>
      <c r="AA142" s="115">
        <v>0</v>
      </c>
      <c r="AB142" s="48">
        <v>0</v>
      </c>
      <c r="AC142" s="2">
        <v>0</v>
      </c>
      <c r="AD142" s="2">
        <v>0</v>
      </c>
      <c r="AE142" s="2">
        <v>0</v>
      </c>
      <c r="AF142" s="2">
        <v>0</v>
      </c>
      <c r="AG142" s="115">
        <v>0</v>
      </c>
      <c r="AH142" s="4"/>
    </row>
    <row r="143" spans="1:34" ht="15">
      <c r="A143" s="4"/>
      <c r="B143" s="43">
        <f t="shared" si="23"/>
        <v>15</v>
      </c>
      <c r="C143" s="111" t="s">
        <v>51</v>
      </c>
      <c r="D143" s="43" t="s">
        <v>36</v>
      </c>
      <c r="E143" s="39">
        <f t="shared" si="22"/>
        <v>0</v>
      </c>
      <c r="F143" s="2">
        <v>0</v>
      </c>
      <c r="G143" s="2">
        <v>0</v>
      </c>
      <c r="H143" s="2">
        <v>0</v>
      </c>
      <c r="I143" s="2">
        <v>0</v>
      </c>
      <c r="J143" s="115">
        <v>0</v>
      </c>
      <c r="K143" s="48">
        <v>0</v>
      </c>
      <c r="L143" s="2">
        <v>0</v>
      </c>
      <c r="M143" s="2">
        <v>0</v>
      </c>
      <c r="N143" s="2">
        <v>0</v>
      </c>
      <c r="O143" s="2">
        <v>0</v>
      </c>
      <c r="P143" s="115">
        <v>0</v>
      </c>
      <c r="Q143" s="48">
        <v>0</v>
      </c>
      <c r="R143" s="2">
        <v>0</v>
      </c>
      <c r="S143" s="2">
        <v>0</v>
      </c>
      <c r="T143" s="2">
        <v>0</v>
      </c>
      <c r="U143" s="115">
        <v>0</v>
      </c>
      <c r="V143" s="48">
        <v>0</v>
      </c>
      <c r="W143" s="2">
        <v>0</v>
      </c>
      <c r="X143" s="2">
        <v>0</v>
      </c>
      <c r="Y143" s="2">
        <v>0</v>
      </c>
      <c r="Z143" s="2">
        <v>0</v>
      </c>
      <c r="AA143" s="115">
        <v>0</v>
      </c>
      <c r="AB143" s="48">
        <v>0</v>
      </c>
      <c r="AC143" s="2">
        <v>0</v>
      </c>
      <c r="AD143" s="2">
        <v>0</v>
      </c>
      <c r="AE143" s="2">
        <v>0</v>
      </c>
      <c r="AF143" s="2">
        <v>0</v>
      </c>
      <c r="AG143" s="115">
        <v>0</v>
      </c>
      <c r="AH143" s="4"/>
    </row>
    <row r="144" spans="1:34" ht="15">
      <c r="A144" s="4"/>
      <c r="B144" s="43">
        <f t="shared" si="23"/>
        <v>16</v>
      </c>
      <c r="C144" s="111" t="s">
        <v>52</v>
      </c>
      <c r="D144" s="43" t="s">
        <v>36</v>
      </c>
      <c r="E144" s="39">
        <f t="shared" si="22"/>
        <v>0</v>
      </c>
      <c r="F144" s="2">
        <v>0</v>
      </c>
      <c r="G144" s="2">
        <v>0</v>
      </c>
      <c r="H144" s="2">
        <v>0</v>
      </c>
      <c r="I144" s="2">
        <v>0</v>
      </c>
      <c r="J144" s="115">
        <v>0</v>
      </c>
      <c r="K144" s="48">
        <v>0</v>
      </c>
      <c r="L144" s="2">
        <v>0</v>
      </c>
      <c r="M144" s="2">
        <v>0</v>
      </c>
      <c r="N144" s="2">
        <v>0</v>
      </c>
      <c r="O144" s="2">
        <v>0</v>
      </c>
      <c r="P144" s="115">
        <v>0</v>
      </c>
      <c r="Q144" s="48">
        <v>0</v>
      </c>
      <c r="R144" s="2">
        <v>0</v>
      </c>
      <c r="S144" s="2">
        <v>0</v>
      </c>
      <c r="T144" s="2">
        <v>0</v>
      </c>
      <c r="U144" s="115">
        <v>0</v>
      </c>
      <c r="V144" s="48">
        <v>0</v>
      </c>
      <c r="W144" s="2">
        <v>0</v>
      </c>
      <c r="X144" s="2">
        <v>0</v>
      </c>
      <c r="Y144" s="2">
        <v>0</v>
      </c>
      <c r="Z144" s="2">
        <v>0</v>
      </c>
      <c r="AA144" s="115">
        <v>0</v>
      </c>
      <c r="AB144" s="48">
        <v>0</v>
      </c>
      <c r="AC144" s="2">
        <v>0</v>
      </c>
      <c r="AD144" s="2">
        <v>0</v>
      </c>
      <c r="AE144" s="2">
        <v>0</v>
      </c>
      <c r="AF144" s="2">
        <v>0</v>
      </c>
      <c r="AG144" s="115">
        <v>0</v>
      </c>
      <c r="AH144" s="4"/>
    </row>
    <row r="145" spans="1:34" ht="15">
      <c r="A145" s="4"/>
      <c r="B145" s="43">
        <f t="shared" si="23"/>
        <v>17</v>
      </c>
      <c r="C145" s="111" t="s">
        <v>53</v>
      </c>
      <c r="D145" s="43" t="s">
        <v>36</v>
      </c>
      <c r="E145" s="39">
        <f t="shared" si="22"/>
        <v>0</v>
      </c>
      <c r="F145" s="2">
        <v>0</v>
      </c>
      <c r="G145" s="2">
        <v>0</v>
      </c>
      <c r="H145" s="2">
        <v>0</v>
      </c>
      <c r="I145" s="2">
        <v>0</v>
      </c>
      <c r="J145" s="115">
        <v>0</v>
      </c>
      <c r="K145" s="48">
        <v>0</v>
      </c>
      <c r="L145" s="2">
        <v>0</v>
      </c>
      <c r="M145" s="2">
        <v>0</v>
      </c>
      <c r="N145" s="2">
        <v>0</v>
      </c>
      <c r="O145" s="2">
        <v>0</v>
      </c>
      <c r="P145" s="115">
        <v>0</v>
      </c>
      <c r="Q145" s="48">
        <v>0</v>
      </c>
      <c r="R145" s="2">
        <v>0</v>
      </c>
      <c r="S145" s="2">
        <v>0</v>
      </c>
      <c r="T145" s="2">
        <v>0</v>
      </c>
      <c r="U145" s="115">
        <v>0</v>
      </c>
      <c r="V145" s="48">
        <v>0</v>
      </c>
      <c r="W145" s="2">
        <v>0</v>
      </c>
      <c r="X145" s="2">
        <v>0</v>
      </c>
      <c r="Y145" s="2">
        <v>0</v>
      </c>
      <c r="Z145" s="2">
        <v>0</v>
      </c>
      <c r="AA145" s="115">
        <v>0</v>
      </c>
      <c r="AB145" s="48">
        <v>0</v>
      </c>
      <c r="AC145" s="2">
        <v>0</v>
      </c>
      <c r="AD145" s="2">
        <v>0</v>
      </c>
      <c r="AE145" s="2">
        <v>0</v>
      </c>
      <c r="AF145" s="2">
        <v>0</v>
      </c>
      <c r="AG145" s="115">
        <v>0</v>
      </c>
      <c r="AH145" s="4"/>
    </row>
    <row r="146" spans="1:34" ht="15">
      <c r="A146" s="4"/>
      <c r="B146" s="43">
        <f t="shared" si="23"/>
        <v>18</v>
      </c>
      <c r="C146" s="111" t="s">
        <v>54</v>
      </c>
      <c r="D146" s="43" t="s">
        <v>36</v>
      </c>
      <c r="E146" s="39">
        <f t="shared" si="22"/>
        <v>0</v>
      </c>
      <c r="F146" s="2">
        <v>0</v>
      </c>
      <c r="G146" s="2">
        <v>0</v>
      </c>
      <c r="H146" s="2">
        <v>0</v>
      </c>
      <c r="I146" s="2">
        <v>0</v>
      </c>
      <c r="J146" s="115">
        <v>0</v>
      </c>
      <c r="K146" s="48">
        <v>0</v>
      </c>
      <c r="L146" s="2">
        <v>0</v>
      </c>
      <c r="M146" s="2">
        <v>0</v>
      </c>
      <c r="N146" s="2">
        <v>0</v>
      </c>
      <c r="O146" s="2">
        <v>0</v>
      </c>
      <c r="P146" s="115">
        <v>0</v>
      </c>
      <c r="Q146" s="48">
        <v>0</v>
      </c>
      <c r="R146" s="2">
        <v>0</v>
      </c>
      <c r="S146" s="2">
        <v>0</v>
      </c>
      <c r="T146" s="2">
        <v>0</v>
      </c>
      <c r="U146" s="115">
        <v>0</v>
      </c>
      <c r="V146" s="48">
        <v>0</v>
      </c>
      <c r="W146" s="2">
        <v>0</v>
      </c>
      <c r="X146" s="2">
        <v>0</v>
      </c>
      <c r="Y146" s="2">
        <v>0</v>
      </c>
      <c r="Z146" s="2">
        <v>0</v>
      </c>
      <c r="AA146" s="115">
        <v>0</v>
      </c>
      <c r="AB146" s="48">
        <v>0</v>
      </c>
      <c r="AC146" s="2">
        <v>0</v>
      </c>
      <c r="AD146" s="2">
        <v>0</v>
      </c>
      <c r="AE146" s="2">
        <v>0</v>
      </c>
      <c r="AF146" s="2">
        <v>0</v>
      </c>
      <c r="AG146" s="115">
        <v>0</v>
      </c>
      <c r="AH146" s="4"/>
    </row>
    <row r="147" spans="1:34" ht="15">
      <c r="A147" s="4"/>
      <c r="B147" s="43">
        <f t="shared" si="23"/>
        <v>19</v>
      </c>
      <c r="C147" s="111" t="s">
        <v>55</v>
      </c>
      <c r="D147" s="43" t="s">
        <v>36</v>
      </c>
      <c r="E147" s="39">
        <f t="shared" si="22"/>
        <v>0</v>
      </c>
      <c r="F147" s="2">
        <v>0</v>
      </c>
      <c r="G147" s="2">
        <v>0</v>
      </c>
      <c r="H147" s="2">
        <v>0</v>
      </c>
      <c r="I147" s="2">
        <v>0</v>
      </c>
      <c r="J147" s="115">
        <v>0</v>
      </c>
      <c r="K147" s="48">
        <v>0</v>
      </c>
      <c r="L147" s="2">
        <v>0</v>
      </c>
      <c r="M147" s="2">
        <v>0</v>
      </c>
      <c r="N147" s="2">
        <v>0</v>
      </c>
      <c r="O147" s="2">
        <v>0</v>
      </c>
      <c r="P147" s="115">
        <v>0</v>
      </c>
      <c r="Q147" s="48">
        <v>0</v>
      </c>
      <c r="R147" s="2">
        <v>0</v>
      </c>
      <c r="S147" s="2">
        <v>0</v>
      </c>
      <c r="T147" s="2">
        <v>0</v>
      </c>
      <c r="U147" s="115">
        <v>0</v>
      </c>
      <c r="V147" s="48">
        <v>0</v>
      </c>
      <c r="W147" s="2">
        <v>0</v>
      </c>
      <c r="X147" s="2">
        <v>0</v>
      </c>
      <c r="Y147" s="2">
        <v>0</v>
      </c>
      <c r="Z147" s="2">
        <v>0</v>
      </c>
      <c r="AA147" s="115">
        <v>0</v>
      </c>
      <c r="AB147" s="48">
        <v>0</v>
      </c>
      <c r="AC147" s="2">
        <v>0</v>
      </c>
      <c r="AD147" s="2">
        <v>0</v>
      </c>
      <c r="AE147" s="2">
        <v>0</v>
      </c>
      <c r="AF147" s="2">
        <v>0</v>
      </c>
      <c r="AG147" s="115">
        <v>0</v>
      </c>
      <c r="AH147" s="4"/>
    </row>
    <row r="148" spans="1:34" ht="15">
      <c r="A148" s="4"/>
      <c r="B148" s="43">
        <f t="shared" si="23"/>
        <v>20</v>
      </c>
      <c r="C148" s="111" t="s">
        <v>56</v>
      </c>
      <c r="D148" s="43" t="s">
        <v>36</v>
      </c>
      <c r="E148" s="39">
        <f t="shared" si="22"/>
        <v>0</v>
      </c>
      <c r="F148" s="2">
        <v>0</v>
      </c>
      <c r="G148" s="2">
        <v>0</v>
      </c>
      <c r="H148" s="2">
        <v>0</v>
      </c>
      <c r="I148" s="2">
        <v>0</v>
      </c>
      <c r="J148" s="115">
        <v>0</v>
      </c>
      <c r="K148" s="48">
        <v>0</v>
      </c>
      <c r="L148" s="2">
        <v>0</v>
      </c>
      <c r="M148" s="2">
        <v>0</v>
      </c>
      <c r="N148" s="2">
        <v>0</v>
      </c>
      <c r="O148" s="2">
        <v>0</v>
      </c>
      <c r="P148" s="115">
        <v>0</v>
      </c>
      <c r="Q148" s="48">
        <v>0</v>
      </c>
      <c r="R148" s="2">
        <v>0</v>
      </c>
      <c r="S148" s="2">
        <v>0</v>
      </c>
      <c r="T148" s="2">
        <v>0</v>
      </c>
      <c r="U148" s="115">
        <v>0</v>
      </c>
      <c r="V148" s="48">
        <v>0</v>
      </c>
      <c r="W148" s="2">
        <v>0</v>
      </c>
      <c r="X148" s="2">
        <v>0</v>
      </c>
      <c r="Y148" s="2">
        <v>0</v>
      </c>
      <c r="Z148" s="2">
        <v>0</v>
      </c>
      <c r="AA148" s="115">
        <v>0</v>
      </c>
      <c r="AB148" s="48">
        <v>0</v>
      </c>
      <c r="AC148" s="2">
        <v>0</v>
      </c>
      <c r="AD148" s="2">
        <v>0</v>
      </c>
      <c r="AE148" s="2">
        <v>0</v>
      </c>
      <c r="AF148" s="2">
        <v>0</v>
      </c>
      <c r="AG148" s="115">
        <v>0</v>
      </c>
      <c r="AH148" s="4"/>
    </row>
    <row r="149" spans="1:34" ht="15">
      <c r="A149" s="4"/>
      <c r="B149" s="43">
        <f t="shared" si="23"/>
        <v>21</v>
      </c>
      <c r="C149" s="111" t="s">
        <v>57</v>
      </c>
      <c r="D149" s="43" t="s">
        <v>36</v>
      </c>
      <c r="E149" s="39">
        <f t="shared" si="22"/>
        <v>0</v>
      </c>
      <c r="F149" s="2">
        <v>0</v>
      </c>
      <c r="G149" s="2">
        <v>0</v>
      </c>
      <c r="H149" s="2">
        <v>0</v>
      </c>
      <c r="I149" s="2">
        <v>0</v>
      </c>
      <c r="J149" s="115">
        <v>0</v>
      </c>
      <c r="K149" s="48">
        <v>0</v>
      </c>
      <c r="L149" s="2">
        <v>0</v>
      </c>
      <c r="M149" s="2">
        <v>0</v>
      </c>
      <c r="N149" s="2">
        <v>0</v>
      </c>
      <c r="O149" s="2">
        <v>0</v>
      </c>
      <c r="P149" s="115">
        <v>0</v>
      </c>
      <c r="Q149" s="48">
        <v>0</v>
      </c>
      <c r="R149" s="2">
        <v>0</v>
      </c>
      <c r="S149" s="2">
        <v>0</v>
      </c>
      <c r="T149" s="2">
        <v>0</v>
      </c>
      <c r="U149" s="115">
        <v>0</v>
      </c>
      <c r="V149" s="48">
        <v>0</v>
      </c>
      <c r="W149" s="2">
        <v>0</v>
      </c>
      <c r="X149" s="2">
        <v>0</v>
      </c>
      <c r="Y149" s="2">
        <v>0</v>
      </c>
      <c r="Z149" s="2">
        <v>0</v>
      </c>
      <c r="AA149" s="115">
        <v>0</v>
      </c>
      <c r="AB149" s="48">
        <v>0</v>
      </c>
      <c r="AC149" s="2">
        <v>0</v>
      </c>
      <c r="AD149" s="2">
        <v>0</v>
      </c>
      <c r="AE149" s="2">
        <v>0</v>
      </c>
      <c r="AF149" s="2">
        <v>0</v>
      </c>
      <c r="AG149" s="115">
        <v>0</v>
      </c>
      <c r="AH149" s="4"/>
    </row>
    <row r="150" spans="1:34" ht="15">
      <c r="A150" s="4"/>
      <c r="B150" s="43">
        <f t="shared" si="23"/>
        <v>22</v>
      </c>
      <c r="C150" s="111" t="s">
        <v>58</v>
      </c>
      <c r="D150" s="43" t="s">
        <v>36</v>
      </c>
      <c r="E150" s="39">
        <f t="shared" si="22"/>
        <v>0</v>
      </c>
      <c r="F150" s="2">
        <v>0</v>
      </c>
      <c r="G150" s="2">
        <v>0</v>
      </c>
      <c r="H150" s="2">
        <v>0</v>
      </c>
      <c r="I150" s="2">
        <v>0</v>
      </c>
      <c r="J150" s="115">
        <v>0</v>
      </c>
      <c r="K150" s="48">
        <v>0</v>
      </c>
      <c r="L150" s="2">
        <v>0</v>
      </c>
      <c r="M150" s="2">
        <v>0</v>
      </c>
      <c r="N150" s="2">
        <v>0</v>
      </c>
      <c r="O150" s="2">
        <v>0</v>
      </c>
      <c r="P150" s="115">
        <v>0</v>
      </c>
      <c r="Q150" s="48">
        <v>0</v>
      </c>
      <c r="R150" s="2">
        <v>0</v>
      </c>
      <c r="S150" s="2">
        <v>0</v>
      </c>
      <c r="T150" s="2">
        <v>0</v>
      </c>
      <c r="U150" s="115">
        <v>0</v>
      </c>
      <c r="V150" s="48">
        <v>0</v>
      </c>
      <c r="W150" s="2">
        <v>0</v>
      </c>
      <c r="X150" s="2">
        <v>0</v>
      </c>
      <c r="Y150" s="2">
        <v>0</v>
      </c>
      <c r="Z150" s="2">
        <v>0</v>
      </c>
      <c r="AA150" s="115">
        <v>0</v>
      </c>
      <c r="AB150" s="48">
        <v>0</v>
      </c>
      <c r="AC150" s="2">
        <v>0</v>
      </c>
      <c r="AD150" s="2">
        <v>0</v>
      </c>
      <c r="AE150" s="2">
        <v>0</v>
      </c>
      <c r="AF150" s="2">
        <v>0</v>
      </c>
      <c r="AG150" s="115">
        <v>0</v>
      </c>
      <c r="AH150" s="4"/>
    </row>
    <row r="151" spans="1:34" ht="15">
      <c r="A151" s="4"/>
      <c r="B151" s="43">
        <f t="shared" si="23"/>
        <v>23</v>
      </c>
      <c r="C151" s="111" t="s">
        <v>59</v>
      </c>
      <c r="D151" s="43" t="s">
        <v>36</v>
      </c>
      <c r="E151" s="39">
        <f t="shared" si="22"/>
        <v>0</v>
      </c>
      <c r="F151" s="1">
        <v>0</v>
      </c>
      <c r="G151" s="1">
        <v>0</v>
      </c>
      <c r="H151" s="1">
        <v>0</v>
      </c>
      <c r="I151" s="1">
        <v>0</v>
      </c>
      <c r="J151" s="67">
        <v>0</v>
      </c>
      <c r="K151" s="42">
        <v>0</v>
      </c>
      <c r="L151" s="1">
        <v>0</v>
      </c>
      <c r="M151" s="1">
        <v>0</v>
      </c>
      <c r="N151" s="1">
        <v>0</v>
      </c>
      <c r="O151" s="1">
        <v>0</v>
      </c>
      <c r="P151" s="67">
        <v>0</v>
      </c>
      <c r="Q151" s="42">
        <v>0</v>
      </c>
      <c r="R151" s="1">
        <v>0</v>
      </c>
      <c r="S151" s="1">
        <v>0</v>
      </c>
      <c r="T151" s="1">
        <v>0</v>
      </c>
      <c r="U151" s="67">
        <v>0</v>
      </c>
      <c r="V151" s="42">
        <v>0</v>
      </c>
      <c r="W151" s="1">
        <v>0</v>
      </c>
      <c r="X151" s="1">
        <v>0</v>
      </c>
      <c r="Y151" s="1">
        <v>0</v>
      </c>
      <c r="Z151" s="1">
        <v>0</v>
      </c>
      <c r="AA151" s="67">
        <v>0</v>
      </c>
      <c r="AB151" s="42">
        <v>0</v>
      </c>
      <c r="AC151" s="1">
        <v>0</v>
      </c>
      <c r="AD151" s="1">
        <v>0</v>
      </c>
      <c r="AE151" s="1">
        <v>0</v>
      </c>
      <c r="AF151" s="1">
        <v>0</v>
      </c>
      <c r="AG151" s="67">
        <v>0</v>
      </c>
      <c r="AH151" s="4"/>
    </row>
    <row r="152" spans="1:34" ht="15">
      <c r="A152" s="4"/>
      <c r="B152" s="43">
        <f t="shared" si="23"/>
        <v>24</v>
      </c>
      <c r="C152" s="111" t="s">
        <v>60</v>
      </c>
      <c r="D152" s="43" t="s">
        <v>36</v>
      </c>
      <c r="E152" s="39">
        <f t="shared" si="22"/>
        <v>0</v>
      </c>
      <c r="F152" s="1">
        <v>0</v>
      </c>
      <c r="G152" s="1">
        <v>0</v>
      </c>
      <c r="H152" s="1">
        <v>0</v>
      </c>
      <c r="I152" s="1">
        <v>0</v>
      </c>
      <c r="J152" s="67">
        <v>0</v>
      </c>
      <c r="K152" s="42">
        <v>0</v>
      </c>
      <c r="L152" s="1">
        <v>0</v>
      </c>
      <c r="M152" s="1">
        <v>0</v>
      </c>
      <c r="N152" s="1">
        <v>0</v>
      </c>
      <c r="O152" s="1">
        <v>0</v>
      </c>
      <c r="P152" s="67">
        <v>0</v>
      </c>
      <c r="Q152" s="42">
        <v>0</v>
      </c>
      <c r="R152" s="1">
        <v>0</v>
      </c>
      <c r="S152" s="1">
        <v>0</v>
      </c>
      <c r="T152" s="1">
        <v>0</v>
      </c>
      <c r="U152" s="67">
        <v>0</v>
      </c>
      <c r="V152" s="42">
        <v>0</v>
      </c>
      <c r="W152" s="1">
        <v>0</v>
      </c>
      <c r="X152" s="1">
        <v>0</v>
      </c>
      <c r="Y152" s="1">
        <v>0</v>
      </c>
      <c r="Z152" s="1">
        <v>0</v>
      </c>
      <c r="AA152" s="67">
        <v>0</v>
      </c>
      <c r="AB152" s="42">
        <v>0</v>
      </c>
      <c r="AC152" s="1">
        <v>0</v>
      </c>
      <c r="AD152" s="1">
        <v>0</v>
      </c>
      <c r="AE152" s="1">
        <v>0</v>
      </c>
      <c r="AF152" s="1">
        <v>0</v>
      </c>
      <c r="AG152" s="67">
        <v>0</v>
      </c>
      <c r="AH152" s="4"/>
    </row>
    <row r="153" spans="1:34" ht="15">
      <c r="A153" s="4"/>
      <c r="B153" s="43">
        <f t="shared" si="23"/>
        <v>25</v>
      </c>
      <c r="C153" s="111" t="s">
        <v>61</v>
      </c>
      <c r="D153" s="43" t="s">
        <v>36</v>
      </c>
      <c r="E153" s="39">
        <f t="shared" si="22"/>
        <v>-75731</v>
      </c>
      <c r="F153" s="1">
        <v>0</v>
      </c>
      <c r="G153" s="1">
        <v>0</v>
      </c>
      <c r="H153" s="1">
        <v>-75731</v>
      </c>
      <c r="I153" s="1">
        <v>0</v>
      </c>
      <c r="J153" s="67">
        <v>0</v>
      </c>
      <c r="K153" s="42">
        <v>0</v>
      </c>
      <c r="L153" s="1">
        <v>0</v>
      </c>
      <c r="M153" s="1">
        <v>0</v>
      </c>
      <c r="N153" s="1">
        <v>0</v>
      </c>
      <c r="O153" s="1">
        <v>0</v>
      </c>
      <c r="P153" s="67">
        <v>0</v>
      </c>
      <c r="Q153" s="42">
        <v>0</v>
      </c>
      <c r="R153" s="1">
        <v>0</v>
      </c>
      <c r="S153" s="1">
        <v>0</v>
      </c>
      <c r="T153" s="1">
        <v>0</v>
      </c>
      <c r="U153" s="67">
        <v>0</v>
      </c>
      <c r="V153" s="42">
        <v>0</v>
      </c>
      <c r="W153" s="1">
        <v>0</v>
      </c>
      <c r="X153" s="1">
        <v>0</v>
      </c>
      <c r="Y153" s="1">
        <v>0</v>
      </c>
      <c r="Z153" s="1">
        <v>0</v>
      </c>
      <c r="AA153" s="67">
        <v>0</v>
      </c>
      <c r="AB153" s="42">
        <v>0</v>
      </c>
      <c r="AC153" s="1">
        <v>0</v>
      </c>
      <c r="AD153" s="1">
        <v>0</v>
      </c>
      <c r="AE153" s="1">
        <v>0</v>
      </c>
      <c r="AF153" s="1">
        <v>0</v>
      </c>
      <c r="AG153" s="67">
        <v>0</v>
      </c>
      <c r="AH153" s="4"/>
    </row>
    <row r="154" spans="1:34" ht="15">
      <c r="A154" s="4"/>
      <c r="B154" s="43">
        <f t="shared" si="23"/>
        <v>26</v>
      </c>
      <c r="C154" s="111" t="s">
        <v>62</v>
      </c>
      <c r="D154" s="43" t="s">
        <v>36</v>
      </c>
      <c r="E154" s="39">
        <f t="shared" si="22"/>
        <v>53723</v>
      </c>
      <c r="F154" s="1">
        <v>0</v>
      </c>
      <c r="G154" s="1">
        <v>53723</v>
      </c>
      <c r="H154" s="1">
        <v>0</v>
      </c>
      <c r="I154" s="1">
        <v>0</v>
      </c>
      <c r="J154" s="67">
        <v>0</v>
      </c>
      <c r="K154" s="42">
        <v>0</v>
      </c>
      <c r="L154" s="1">
        <v>0</v>
      </c>
      <c r="M154" s="1">
        <v>0</v>
      </c>
      <c r="N154" s="1">
        <v>0</v>
      </c>
      <c r="O154" s="1">
        <v>0</v>
      </c>
      <c r="P154" s="67">
        <v>0</v>
      </c>
      <c r="Q154" s="42">
        <v>0</v>
      </c>
      <c r="R154" s="1">
        <v>0</v>
      </c>
      <c r="S154" s="1">
        <v>0</v>
      </c>
      <c r="T154" s="1">
        <v>0</v>
      </c>
      <c r="U154" s="67">
        <v>0</v>
      </c>
      <c r="V154" s="42">
        <v>0</v>
      </c>
      <c r="W154" s="1">
        <v>0</v>
      </c>
      <c r="X154" s="1">
        <v>0</v>
      </c>
      <c r="Y154" s="1">
        <v>0</v>
      </c>
      <c r="Z154" s="1">
        <v>0</v>
      </c>
      <c r="AA154" s="67">
        <v>0</v>
      </c>
      <c r="AB154" s="42">
        <v>0</v>
      </c>
      <c r="AC154" s="1">
        <v>0</v>
      </c>
      <c r="AD154" s="1">
        <v>0</v>
      </c>
      <c r="AE154" s="1">
        <v>0</v>
      </c>
      <c r="AF154" s="1">
        <v>0</v>
      </c>
      <c r="AG154" s="67">
        <v>0</v>
      </c>
      <c r="AH154" s="4"/>
    </row>
    <row r="155" spans="1:34" ht="15">
      <c r="A155" s="4"/>
      <c r="B155" s="43">
        <f t="shared" si="23"/>
        <v>27</v>
      </c>
      <c r="C155" s="111" t="s">
        <v>63</v>
      </c>
      <c r="D155" s="43" t="s">
        <v>36</v>
      </c>
      <c r="E155" s="39">
        <f t="shared" si="22"/>
        <v>-12266.937960000003</v>
      </c>
      <c r="F155" s="1">
        <f>F133*F356</f>
        <v>-9565.208290000002</v>
      </c>
      <c r="G155" s="1">
        <f>-G154*F356</f>
        <v>-2701.7296700000006</v>
      </c>
      <c r="H155" s="1">
        <v>0</v>
      </c>
      <c r="I155" s="1">
        <v>0</v>
      </c>
      <c r="J155" s="67">
        <v>0</v>
      </c>
      <c r="K155" s="42">
        <v>0</v>
      </c>
      <c r="L155" s="1">
        <v>0</v>
      </c>
      <c r="M155" s="1">
        <v>0</v>
      </c>
      <c r="N155" s="1">
        <v>0</v>
      </c>
      <c r="O155" s="1">
        <v>0</v>
      </c>
      <c r="P155" s="67">
        <v>0</v>
      </c>
      <c r="Q155" s="42">
        <v>0</v>
      </c>
      <c r="R155" s="1">
        <v>0</v>
      </c>
      <c r="S155" s="1">
        <v>0</v>
      </c>
      <c r="T155" s="1">
        <v>0</v>
      </c>
      <c r="U155" s="67">
        <v>0</v>
      </c>
      <c r="V155" s="42">
        <v>0</v>
      </c>
      <c r="W155" s="1">
        <v>0</v>
      </c>
      <c r="X155" s="1">
        <v>0</v>
      </c>
      <c r="Y155" s="1">
        <v>0</v>
      </c>
      <c r="Z155" s="1">
        <v>0</v>
      </c>
      <c r="AA155" s="67">
        <v>0</v>
      </c>
      <c r="AB155" s="42">
        <v>0</v>
      </c>
      <c r="AC155" s="1">
        <v>0</v>
      </c>
      <c r="AD155" s="1">
        <v>0</v>
      </c>
      <c r="AE155" s="1">
        <v>0</v>
      </c>
      <c r="AF155" s="1">
        <v>0</v>
      </c>
      <c r="AG155" s="67">
        <v>0</v>
      </c>
      <c r="AH155" s="4"/>
    </row>
    <row r="156" spans="1:34" ht="15">
      <c r="A156" s="4"/>
      <c r="B156" s="43">
        <f t="shared" si="23"/>
        <v>28</v>
      </c>
      <c r="C156" s="111" t="s">
        <v>64</v>
      </c>
      <c r="D156" s="43" t="s">
        <v>36</v>
      </c>
      <c r="E156" s="39">
        <f t="shared" si="22"/>
        <v>0</v>
      </c>
      <c r="F156" s="2">
        <v>0</v>
      </c>
      <c r="G156" s="2">
        <v>0</v>
      </c>
      <c r="H156" s="2">
        <v>0</v>
      </c>
      <c r="I156" s="2">
        <v>0</v>
      </c>
      <c r="J156" s="115">
        <v>0</v>
      </c>
      <c r="K156" s="48">
        <v>0</v>
      </c>
      <c r="L156" s="2">
        <v>0</v>
      </c>
      <c r="M156" s="2">
        <v>0</v>
      </c>
      <c r="N156" s="2">
        <v>0</v>
      </c>
      <c r="O156" s="2">
        <v>0</v>
      </c>
      <c r="P156" s="115">
        <v>0</v>
      </c>
      <c r="Q156" s="48">
        <v>0</v>
      </c>
      <c r="R156" s="2">
        <v>0</v>
      </c>
      <c r="S156" s="2">
        <v>0</v>
      </c>
      <c r="T156" s="2">
        <v>0</v>
      </c>
      <c r="U156" s="115">
        <v>0</v>
      </c>
      <c r="V156" s="48">
        <v>0</v>
      </c>
      <c r="W156" s="2">
        <v>0</v>
      </c>
      <c r="X156" s="2">
        <v>0</v>
      </c>
      <c r="Y156" s="2">
        <v>0</v>
      </c>
      <c r="Z156" s="2">
        <v>0</v>
      </c>
      <c r="AA156" s="115">
        <v>0</v>
      </c>
      <c r="AB156" s="48">
        <v>0</v>
      </c>
      <c r="AC156" s="2">
        <v>0</v>
      </c>
      <c r="AD156" s="2">
        <v>0</v>
      </c>
      <c r="AE156" s="2">
        <v>0</v>
      </c>
      <c r="AF156" s="2">
        <v>0</v>
      </c>
      <c r="AG156" s="115">
        <v>0</v>
      </c>
      <c r="AH156" s="4"/>
    </row>
    <row r="157" spans="1:34" ht="15.75">
      <c r="A157" s="4"/>
      <c r="B157" s="43">
        <f t="shared" si="23"/>
        <v>29</v>
      </c>
      <c r="C157" s="110" t="s">
        <v>65</v>
      </c>
      <c r="D157" s="43" t="str">
        <f>"+Ln "&amp;FIXED(+B136,0)&amp;" thru "&amp;FIXED(+B156,0)</f>
        <v>+Ln 8 thru 28</v>
      </c>
      <c r="E157" s="118">
        <f aca="true" t="shared" si="24" ref="E157:AG157">SUM(E136:E156)</f>
        <v>-34274.93796</v>
      </c>
      <c r="F157" s="62">
        <f t="shared" si="24"/>
        <v>-9565.208290000002</v>
      </c>
      <c r="G157" s="62">
        <f t="shared" si="24"/>
        <v>51021.27033</v>
      </c>
      <c r="H157" s="62">
        <f t="shared" si="24"/>
        <v>-75731</v>
      </c>
      <c r="I157" s="62">
        <f t="shared" si="24"/>
        <v>0</v>
      </c>
      <c r="J157" s="63">
        <f t="shared" si="24"/>
        <v>0</v>
      </c>
      <c r="K157" s="62">
        <f t="shared" si="24"/>
        <v>0</v>
      </c>
      <c r="L157" s="62">
        <f t="shared" si="24"/>
        <v>0</v>
      </c>
      <c r="M157" s="62">
        <f t="shared" si="24"/>
        <v>0</v>
      </c>
      <c r="N157" s="62">
        <f t="shared" si="24"/>
        <v>0</v>
      </c>
      <c r="O157" s="62">
        <f t="shared" si="24"/>
        <v>0</v>
      </c>
      <c r="P157" s="63">
        <f t="shared" si="24"/>
        <v>0</v>
      </c>
      <c r="Q157" s="62">
        <f t="shared" si="24"/>
        <v>0</v>
      </c>
      <c r="R157" s="62">
        <f t="shared" si="24"/>
        <v>0</v>
      </c>
      <c r="S157" s="62">
        <f t="shared" si="24"/>
        <v>0</v>
      </c>
      <c r="T157" s="62">
        <f t="shared" si="24"/>
        <v>0</v>
      </c>
      <c r="U157" s="63">
        <f t="shared" si="24"/>
        <v>0</v>
      </c>
      <c r="V157" s="62">
        <f t="shared" si="24"/>
        <v>0</v>
      </c>
      <c r="W157" s="62">
        <f t="shared" si="24"/>
        <v>0</v>
      </c>
      <c r="X157" s="62">
        <f t="shared" si="24"/>
        <v>0</v>
      </c>
      <c r="Y157" s="62">
        <f t="shared" si="24"/>
        <v>0</v>
      </c>
      <c r="Z157" s="62">
        <f t="shared" si="24"/>
        <v>0</v>
      </c>
      <c r="AA157" s="63">
        <f t="shared" si="24"/>
        <v>0</v>
      </c>
      <c r="AB157" s="62">
        <f t="shared" si="24"/>
        <v>0</v>
      </c>
      <c r="AC157" s="62">
        <f t="shared" si="24"/>
        <v>0</v>
      </c>
      <c r="AD157" s="62">
        <f t="shared" si="24"/>
        <v>0</v>
      </c>
      <c r="AE157" s="62">
        <f t="shared" si="24"/>
        <v>0</v>
      </c>
      <c r="AF157" s="62">
        <f t="shared" si="24"/>
        <v>0</v>
      </c>
      <c r="AG157" s="63">
        <f t="shared" si="24"/>
        <v>0</v>
      </c>
      <c r="AH157" s="4"/>
    </row>
    <row r="158" spans="1:34" ht="15">
      <c r="A158" s="4"/>
      <c r="B158" s="43"/>
      <c r="C158" s="111"/>
      <c r="D158" s="43"/>
      <c r="E158" s="111"/>
      <c r="F158" s="1"/>
      <c r="G158" s="1"/>
      <c r="H158" s="1"/>
      <c r="I158" s="1"/>
      <c r="J158" s="67"/>
      <c r="K158" s="42"/>
      <c r="L158" s="1"/>
      <c r="M158" s="1"/>
      <c r="N158" s="1"/>
      <c r="O158" s="1"/>
      <c r="P158" s="67"/>
      <c r="Q158" s="42"/>
      <c r="R158" s="1"/>
      <c r="S158" s="1"/>
      <c r="T158" s="1"/>
      <c r="U158" s="67"/>
      <c r="V158" s="42"/>
      <c r="W158" s="1"/>
      <c r="X158" s="1"/>
      <c r="Y158" s="1"/>
      <c r="Z158" s="1"/>
      <c r="AA158" s="67"/>
      <c r="AB158" s="42"/>
      <c r="AC158" s="1"/>
      <c r="AD158" s="1"/>
      <c r="AE158" s="1"/>
      <c r="AF158" s="1"/>
      <c r="AG158" s="67"/>
      <c r="AH158" s="4"/>
    </row>
    <row r="159" spans="1:34" ht="15.75">
      <c r="A159" s="4"/>
      <c r="B159" s="43">
        <f>B157+1</f>
        <v>30</v>
      </c>
      <c r="C159" s="110" t="s">
        <v>66</v>
      </c>
      <c r="D159" s="43" t="str">
        <f>"Ln "&amp;FIXED(+B133,0)&amp;"-"&amp;FIXED(+B157,0)</f>
        <v>Ln 7-29</v>
      </c>
      <c r="E159" s="119">
        <f aca="true" t="shared" si="25" ref="E159:AG159">E133-E157</f>
        <v>-155926.06204</v>
      </c>
      <c r="F159" s="65">
        <f t="shared" si="25"/>
        <v>-180635.79171</v>
      </c>
      <c r="G159" s="65">
        <f t="shared" si="25"/>
        <v>-51021.27033</v>
      </c>
      <c r="H159" s="65">
        <f t="shared" si="25"/>
        <v>75731</v>
      </c>
      <c r="I159" s="65">
        <f t="shared" si="25"/>
        <v>0</v>
      </c>
      <c r="J159" s="120">
        <f t="shared" si="25"/>
        <v>0</v>
      </c>
      <c r="K159" s="64">
        <f t="shared" si="25"/>
        <v>0</v>
      </c>
      <c r="L159" s="65">
        <f t="shared" si="25"/>
        <v>0</v>
      </c>
      <c r="M159" s="65">
        <f t="shared" si="25"/>
        <v>0</v>
      </c>
      <c r="N159" s="65">
        <f t="shared" si="25"/>
        <v>0</v>
      </c>
      <c r="O159" s="65">
        <f t="shared" si="25"/>
        <v>0</v>
      </c>
      <c r="P159" s="120">
        <f t="shared" si="25"/>
        <v>0</v>
      </c>
      <c r="Q159" s="64">
        <f t="shared" si="25"/>
        <v>0</v>
      </c>
      <c r="R159" s="65">
        <f t="shared" si="25"/>
        <v>0</v>
      </c>
      <c r="S159" s="65">
        <f t="shared" si="25"/>
        <v>0</v>
      </c>
      <c r="T159" s="65">
        <f t="shared" si="25"/>
        <v>0</v>
      </c>
      <c r="U159" s="120">
        <f t="shared" si="25"/>
        <v>0</v>
      </c>
      <c r="V159" s="64">
        <f t="shared" si="25"/>
        <v>0</v>
      </c>
      <c r="W159" s="65">
        <f t="shared" si="25"/>
        <v>0</v>
      </c>
      <c r="X159" s="65">
        <f t="shared" si="25"/>
        <v>0</v>
      </c>
      <c r="Y159" s="65">
        <f t="shared" si="25"/>
        <v>0</v>
      </c>
      <c r="Z159" s="65">
        <f t="shared" si="25"/>
        <v>0</v>
      </c>
      <c r="AA159" s="120">
        <f t="shared" si="25"/>
        <v>0</v>
      </c>
      <c r="AB159" s="64">
        <f t="shared" si="25"/>
        <v>0</v>
      </c>
      <c r="AC159" s="65">
        <f t="shared" si="25"/>
        <v>0</v>
      </c>
      <c r="AD159" s="65">
        <f t="shared" si="25"/>
        <v>0</v>
      </c>
      <c r="AE159" s="65">
        <f t="shared" si="25"/>
        <v>0</v>
      </c>
      <c r="AF159" s="65">
        <f t="shared" si="25"/>
        <v>0</v>
      </c>
      <c r="AG159" s="120">
        <f t="shared" si="25"/>
        <v>0</v>
      </c>
      <c r="AH159" s="4"/>
    </row>
    <row r="160" spans="1:34" ht="15.75">
      <c r="A160" s="4"/>
      <c r="B160" s="43"/>
      <c r="C160" s="110"/>
      <c r="D160" s="43"/>
      <c r="E160" s="111"/>
      <c r="F160" s="1"/>
      <c r="G160" s="1"/>
      <c r="H160" s="1"/>
      <c r="I160" s="1"/>
      <c r="J160" s="67"/>
      <c r="K160" s="42"/>
      <c r="L160" s="1"/>
      <c r="M160" s="1"/>
      <c r="N160" s="1"/>
      <c r="O160" s="1"/>
      <c r="P160" s="67"/>
      <c r="Q160" s="42"/>
      <c r="R160" s="1"/>
      <c r="S160" s="1"/>
      <c r="T160" s="1"/>
      <c r="U160" s="67"/>
      <c r="V160" s="42"/>
      <c r="W160" s="1"/>
      <c r="X160" s="1"/>
      <c r="Y160" s="1"/>
      <c r="Z160" s="1"/>
      <c r="AA160" s="67"/>
      <c r="AB160" s="42"/>
      <c r="AC160" s="1"/>
      <c r="AD160" s="1"/>
      <c r="AE160" s="1"/>
      <c r="AF160" s="1"/>
      <c r="AG160" s="67"/>
      <c r="AH160" s="4"/>
    </row>
    <row r="161" spans="1:34" ht="15.75">
      <c r="A161" s="4"/>
      <c r="B161" s="43">
        <f>B159+1</f>
        <v>31</v>
      </c>
      <c r="C161" s="110" t="s">
        <v>67</v>
      </c>
      <c r="D161" s="43" t="str">
        <f>"From Ln "&amp;FIXED(+B198,0)&amp;" or "&amp;FIXED(+B200,0)</f>
        <v>From Ln 45 or 46</v>
      </c>
      <c r="E161" s="39">
        <f>SUM(F161:AG161)</f>
        <v>-53014.8610936</v>
      </c>
      <c r="F161" s="1">
        <f aca="true" t="shared" si="26" ref="F161:AG161">IF(+F200=0,+F198,+F200)</f>
        <v>-61416.1691814</v>
      </c>
      <c r="G161" s="1">
        <f t="shared" si="26"/>
        <v>-17347.2319122</v>
      </c>
      <c r="H161" s="1">
        <f t="shared" si="26"/>
        <v>25748.54</v>
      </c>
      <c r="I161" s="1">
        <f t="shared" si="26"/>
        <v>0</v>
      </c>
      <c r="J161" s="67">
        <f t="shared" si="26"/>
        <v>0</v>
      </c>
      <c r="K161" s="42">
        <f t="shared" si="26"/>
        <v>0</v>
      </c>
      <c r="L161" s="1">
        <f t="shared" si="26"/>
        <v>0</v>
      </c>
      <c r="M161" s="1">
        <f t="shared" si="26"/>
        <v>0</v>
      </c>
      <c r="N161" s="1">
        <f t="shared" si="26"/>
        <v>0</v>
      </c>
      <c r="O161" s="1">
        <f t="shared" si="26"/>
        <v>0</v>
      </c>
      <c r="P161" s="67">
        <f t="shared" si="26"/>
        <v>0</v>
      </c>
      <c r="Q161" s="42">
        <f t="shared" si="26"/>
        <v>0</v>
      </c>
      <c r="R161" s="1">
        <f t="shared" si="26"/>
        <v>0</v>
      </c>
      <c r="S161" s="1">
        <f t="shared" si="26"/>
        <v>0</v>
      </c>
      <c r="T161" s="1">
        <f t="shared" si="26"/>
        <v>0</v>
      </c>
      <c r="U161" s="67">
        <f t="shared" si="26"/>
        <v>0</v>
      </c>
      <c r="V161" s="42">
        <f t="shared" si="26"/>
        <v>0</v>
      </c>
      <c r="W161" s="1">
        <f t="shared" si="26"/>
        <v>0</v>
      </c>
      <c r="X161" s="1">
        <f t="shared" si="26"/>
        <v>0</v>
      </c>
      <c r="Y161" s="1">
        <f t="shared" si="26"/>
        <v>0</v>
      </c>
      <c r="Z161" s="1">
        <f t="shared" si="26"/>
        <v>0</v>
      </c>
      <c r="AA161" s="67">
        <f t="shared" si="26"/>
        <v>0</v>
      </c>
      <c r="AB161" s="42">
        <f t="shared" si="26"/>
        <v>0</v>
      </c>
      <c r="AC161" s="1">
        <f t="shared" si="26"/>
        <v>0</v>
      </c>
      <c r="AD161" s="1">
        <f t="shared" si="26"/>
        <v>0</v>
      </c>
      <c r="AE161" s="1">
        <f t="shared" si="26"/>
        <v>0</v>
      </c>
      <c r="AF161" s="1">
        <f t="shared" si="26"/>
        <v>0</v>
      </c>
      <c r="AG161" s="67">
        <f t="shared" si="26"/>
        <v>0</v>
      </c>
      <c r="AH161" s="4"/>
    </row>
    <row r="162" spans="1:34" ht="15">
      <c r="A162" s="4"/>
      <c r="B162" s="43"/>
      <c r="C162" s="111"/>
      <c r="D162" s="43"/>
      <c r="E162" s="39"/>
      <c r="F162" s="4"/>
      <c r="G162" s="4"/>
      <c r="H162" s="4"/>
      <c r="I162" s="4"/>
      <c r="J162" s="18"/>
      <c r="K162" s="40"/>
      <c r="L162" s="4"/>
      <c r="M162" s="4"/>
      <c r="N162" s="4"/>
      <c r="O162" s="4"/>
      <c r="P162" s="18"/>
      <c r="Q162" s="40"/>
      <c r="R162" s="4"/>
      <c r="S162" s="4"/>
      <c r="T162" s="4"/>
      <c r="U162" s="18"/>
      <c r="V162" s="40"/>
      <c r="W162" s="4"/>
      <c r="X162" s="4"/>
      <c r="Y162" s="4"/>
      <c r="Z162" s="4"/>
      <c r="AA162" s="18"/>
      <c r="AB162" s="40"/>
      <c r="AC162" s="4"/>
      <c r="AD162" s="4"/>
      <c r="AE162" s="4"/>
      <c r="AF162" s="4"/>
      <c r="AG162" s="18"/>
      <c r="AH162" s="4"/>
    </row>
    <row r="163" spans="1:34" ht="15.75">
      <c r="A163" s="4"/>
      <c r="B163" s="43">
        <f>B161+1</f>
        <v>32</v>
      </c>
      <c r="C163" s="110" t="s">
        <v>68</v>
      </c>
      <c r="D163" s="43" t="str">
        <f>"Ln "&amp;FIXED(+B157,0)&amp;"+"&amp;FIXED(+B161,0)</f>
        <v>Ln 29+31</v>
      </c>
      <c r="E163" s="118">
        <f aca="true" t="shared" si="27" ref="E163:AG163">E157+E161</f>
        <v>-87289.7990536</v>
      </c>
      <c r="F163" s="62">
        <f t="shared" si="27"/>
        <v>-70981.3774714</v>
      </c>
      <c r="G163" s="62">
        <f t="shared" si="27"/>
        <v>33674.038417799995</v>
      </c>
      <c r="H163" s="62">
        <f t="shared" si="27"/>
        <v>-49982.46</v>
      </c>
      <c r="I163" s="62">
        <f t="shared" si="27"/>
        <v>0</v>
      </c>
      <c r="J163" s="63">
        <f t="shared" si="27"/>
        <v>0</v>
      </c>
      <c r="K163" s="62">
        <f t="shared" si="27"/>
        <v>0</v>
      </c>
      <c r="L163" s="62">
        <f t="shared" si="27"/>
        <v>0</v>
      </c>
      <c r="M163" s="62">
        <f t="shared" si="27"/>
        <v>0</v>
      </c>
      <c r="N163" s="62">
        <f t="shared" si="27"/>
        <v>0</v>
      </c>
      <c r="O163" s="62">
        <f t="shared" si="27"/>
        <v>0</v>
      </c>
      <c r="P163" s="63">
        <f t="shared" si="27"/>
        <v>0</v>
      </c>
      <c r="Q163" s="62">
        <f t="shared" si="27"/>
        <v>0</v>
      </c>
      <c r="R163" s="62">
        <f t="shared" si="27"/>
        <v>0</v>
      </c>
      <c r="S163" s="62">
        <f t="shared" si="27"/>
        <v>0</v>
      </c>
      <c r="T163" s="62">
        <f t="shared" si="27"/>
        <v>0</v>
      </c>
      <c r="U163" s="63">
        <f t="shared" si="27"/>
        <v>0</v>
      </c>
      <c r="V163" s="62">
        <f t="shared" si="27"/>
        <v>0</v>
      </c>
      <c r="W163" s="62">
        <f t="shared" si="27"/>
        <v>0</v>
      </c>
      <c r="X163" s="62">
        <f t="shared" si="27"/>
        <v>0</v>
      </c>
      <c r="Y163" s="62">
        <f t="shared" si="27"/>
        <v>0</v>
      </c>
      <c r="Z163" s="62">
        <f t="shared" si="27"/>
        <v>0</v>
      </c>
      <c r="AA163" s="63">
        <f t="shared" si="27"/>
        <v>0</v>
      </c>
      <c r="AB163" s="62">
        <f t="shared" si="27"/>
        <v>0</v>
      </c>
      <c r="AC163" s="62">
        <f t="shared" si="27"/>
        <v>0</v>
      </c>
      <c r="AD163" s="62">
        <f t="shared" si="27"/>
        <v>0</v>
      </c>
      <c r="AE163" s="62">
        <f t="shared" si="27"/>
        <v>0</v>
      </c>
      <c r="AF163" s="62">
        <f t="shared" si="27"/>
        <v>0</v>
      </c>
      <c r="AG163" s="63">
        <f t="shared" si="27"/>
        <v>0</v>
      </c>
      <c r="AH163" s="4"/>
    </row>
    <row r="164" spans="1:34" ht="15.75">
      <c r="A164" s="1"/>
      <c r="B164" s="43">
        <f>B163+1</f>
        <v>33</v>
      </c>
      <c r="C164" s="110" t="s">
        <v>69</v>
      </c>
      <c r="D164" s="43" t="str">
        <f>"Ln "&amp;FIXED(+B133,0)&amp;"-"&amp;FIXED(+B163,0)</f>
        <v>Ln 7-32</v>
      </c>
      <c r="E164" s="121">
        <f aca="true" t="shared" si="28" ref="E164:AG164">E133-E163</f>
        <v>-102911.2009464</v>
      </c>
      <c r="F164" s="69">
        <f t="shared" si="28"/>
        <v>-119219.6225286</v>
      </c>
      <c r="G164" s="69">
        <f t="shared" si="28"/>
        <v>-33674.038417799995</v>
      </c>
      <c r="H164" s="69">
        <f t="shared" si="28"/>
        <v>49982.46</v>
      </c>
      <c r="I164" s="69">
        <f t="shared" si="28"/>
        <v>0</v>
      </c>
      <c r="J164" s="70">
        <f t="shared" si="28"/>
        <v>0</v>
      </c>
      <c r="K164" s="69">
        <f t="shared" si="28"/>
        <v>0</v>
      </c>
      <c r="L164" s="69">
        <f t="shared" si="28"/>
        <v>0</v>
      </c>
      <c r="M164" s="69">
        <f t="shared" si="28"/>
        <v>0</v>
      </c>
      <c r="N164" s="69">
        <f t="shared" si="28"/>
        <v>0</v>
      </c>
      <c r="O164" s="69">
        <f t="shared" si="28"/>
        <v>0</v>
      </c>
      <c r="P164" s="70">
        <f t="shared" si="28"/>
        <v>0</v>
      </c>
      <c r="Q164" s="69">
        <f t="shared" si="28"/>
        <v>0</v>
      </c>
      <c r="R164" s="69">
        <f t="shared" si="28"/>
        <v>0</v>
      </c>
      <c r="S164" s="69">
        <f t="shared" si="28"/>
        <v>0</v>
      </c>
      <c r="T164" s="69">
        <f t="shared" si="28"/>
        <v>0</v>
      </c>
      <c r="U164" s="70">
        <f t="shared" si="28"/>
        <v>0</v>
      </c>
      <c r="V164" s="69">
        <f t="shared" si="28"/>
        <v>0</v>
      </c>
      <c r="W164" s="69">
        <f t="shared" si="28"/>
        <v>0</v>
      </c>
      <c r="X164" s="69">
        <f t="shared" si="28"/>
        <v>0</v>
      </c>
      <c r="Y164" s="69">
        <f t="shared" si="28"/>
        <v>0</v>
      </c>
      <c r="Z164" s="69">
        <f t="shared" si="28"/>
        <v>0</v>
      </c>
      <c r="AA164" s="70">
        <f t="shared" si="28"/>
        <v>0</v>
      </c>
      <c r="AB164" s="69">
        <f t="shared" si="28"/>
        <v>0</v>
      </c>
      <c r="AC164" s="69">
        <f t="shared" si="28"/>
        <v>0</v>
      </c>
      <c r="AD164" s="69">
        <f t="shared" si="28"/>
        <v>0</v>
      </c>
      <c r="AE164" s="69">
        <f t="shared" si="28"/>
        <v>0</v>
      </c>
      <c r="AF164" s="69">
        <f t="shared" si="28"/>
        <v>0</v>
      </c>
      <c r="AG164" s="70">
        <f t="shared" si="28"/>
        <v>0</v>
      </c>
      <c r="AH164" s="4"/>
    </row>
    <row r="165" spans="1:34" ht="15">
      <c r="A165" s="4"/>
      <c r="B165" s="36"/>
      <c r="C165" s="111"/>
      <c r="D165" s="36"/>
      <c r="E165" s="122"/>
      <c r="F165" s="72"/>
      <c r="G165" s="72"/>
      <c r="H165" s="72"/>
      <c r="I165" s="72"/>
      <c r="J165" s="73"/>
      <c r="K165" s="71"/>
      <c r="L165" s="72"/>
      <c r="M165" s="72"/>
      <c r="N165" s="72"/>
      <c r="O165" s="72"/>
      <c r="P165" s="73"/>
      <c r="Q165" s="71"/>
      <c r="R165" s="72"/>
      <c r="S165" s="72"/>
      <c r="T165" s="72"/>
      <c r="U165" s="73"/>
      <c r="V165" s="71"/>
      <c r="W165" s="72"/>
      <c r="X165" s="72"/>
      <c r="Y165" s="72"/>
      <c r="Z165" s="72"/>
      <c r="AA165" s="73"/>
      <c r="AB165" s="71"/>
      <c r="AC165" s="72"/>
      <c r="AD165" s="72"/>
      <c r="AE165" s="72"/>
      <c r="AF165" s="72"/>
      <c r="AG165" s="73"/>
      <c r="AH165" s="4"/>
    </row>
    <row r="166" spans="1:34" ht="15.75">
      <c r="A166" s="4"/>
      <c r="B166" s="43"/>
      <c r="C166" s="110" t="s">
        <v>70</v>
      </c>
      <c r="D166" s="43"/>
      <c r="E166" s="123"/>
      <c r="F166" s="124"/>
      <c r="G166" s="124"/>
      <c r="H166" s="124"/>
      <c r="I166" s="124"/>
      <c r="J166" s="125"/>
      <c r="K166" s="74"/>
      <c r="L166" s="124"/>
      <c r="M166" s="124"/>
      <c r="N166" s="124"/>
      <c r="O166" s="124"/>
      <c r="P166" s="125"/>
      <c r="Q166" s="74"/>
      <c r="R166" s="124"/>
      <c r="S166" s="124"/>
      <c r="T166" s="124"/>
      <c r="U166" s="125"/>
      <c r="V166" s="74"/>
      <c r="W166" s="124"/>
      <c r="X166" s="124"/>
      <c r="Y166" s="124"/>
      <c r="Z166" s="124"/>
      <c r="AA166" s="125"/>
      <c r="AB166" s="74"/>
      <c r="AC166" s="124"/>
      <c r="AD166" s="124"/>
      <c r="AE166" s="124"/>
      <c r="AF166" s="124"/>
      <c r="AG166" s="125"/>
      <c r="AH166" s="4"/>
    </row>
    <row r="167" spans="1:34" ht="15">
      <c r="A167" s="4"/>
      <c r="B167" s="43">
        <f>B164+1</f>
        <v>34</v>
      </c>
      <c r="C167" s="111" t="s">
        <v>71</v>
      </c>
      <c r="D167" s="43" t="str">
        <f>"From Ln "&amp;FIXED(+B209,0)</f>
        <v>From Ln 52</v>
      </c>
      <c r="E167" s="39">
        <f>SUM(F167:AG167)</f>
        <v>-416662</v>
      </c>
      <c r="F167" s="45">
        <f aca="true" t="shared" si="29" ref="F167:AG167">F209</f>
        <v>0</v>
      </c>
      <c r="G167" s="45">
        <f t="shared" si="29"/>
        <v>0</v>
      </c>
      <c r="H167" s="45">
        <f t="shared" si="29"/>
        <v>-416662</v>
      </c>
      <c r="I167" s="45">
        <f t="shared" si="29"/>
        <v>0</v>
      </c>
      <c r="J167" s="46">
        <f t="shared" si="29"/>
        <v>0</v>
      </c>
      <c r="K167" s="75">
        <f t="shared" si="29"/>
        <v>0</v>
      </c>
      <c r="L167" s="45">
        <f t="shared" si="29"/>
        <v>0</v>
      </c>
      <c r="M167" s="45">
        <f t="shared" si="29"/>
        <v>0</v>
      </c>
      <c r="N167" s="45">
        <f t="shared" si="29"/>
        <v>0</v>
      </c>
      <c r="O167" s="45">
        <f t="shared" si="29"/>
        <v>0</v>
      </c>
      <c r="P167" s="46">
        <f t="shared" si="29"/>
        <v>0</v>
      </c>
      <c r="Q167" s="75">
        <f t="shared" si="29"/>
        <v>0</v>
      </c>
      <c r="R167" s="45">
        <f t="shared" si="29"/>
        <v>0</v>
      </c>
      <c r="S167" s="45">
        <f t="shared" si="29"/>
        <v>0</v>
      </c>
      <c r="T167" s="45">
        <f t="shared" si="29"/>
        <v>0</v>
      </c>
      <c r="U167" s="46">
        <f t="shared" si="29"/>
        <v>0</v>
      </c>
      <c r="V167" s="75">
        <f t="shared" si="29"/>
        <v>0</v>
      </c>
      <c r="W167" s="45">
        <f t="shared" si="29"/>
        <v>0</v>
      </c>
      <c r="X167" s="45">
        <f t="shared" si="29"/>
        <v>0</v>
      </c>
      <c r="Y167" s="45">
        <f t="shared" si="29"/>
        <v>0</v>
      </c>
      <c r="Z167" s="45">
        <f t="shared" si="29"/>
        <v>0</v>
      </c>
      <c r="AA167" s="46">
        <f t="shared" si="29"/>
        <v>0</v>
      </c>
      <c r="AB167" s="75">
        <f t="shared" si="29"/>
        <v>0</v>
      </c>
      <c r="AC167" s="45">
        <f t="shared" si="29"/>
        <v>0</v>
      </c>
      <c r="AD167" s="45">
        <f t="shared" si="29"/>
        <v>0</v>
      </c>
      <c r="AE167" s="45">
        <f t="shared" si="29"/>
        <v>0</v>
      </c>
      <c r="AF167" s="45">
        <f t="shared" si="29"/>
        <v>0</v>
      </c>
      <c r="AG167" s="46">
        <f t="shared" si="29"/>
        <v>0</v>
      </c>
      <c r="AH167" s="4"/>
    </row>
    <row r="168" spans="1:34" ht="15">
      <c r="A168" s="4"/>
      <c r="B168" s="43">
        <f>B167+1</f>
        <v>35</v>
      </c>
      <c r="C168" s="111" t="s">
        <v>72</v>
      </c>
      <c r="D168" s="43" t="str">
        <f>"From Ln "&amp;FIXED(+B213,0)</f>
        <v>From Ln 55</v>
      </c>
      <c r="E168" s="39">
        <f>SUM(F168:AG168)</f>
        <v>-289738</v>
      </c>
      <c r="F168" s="49">
        <f aca="true" t="shared" si="30" ref="F168:AG168">F213</f>
        <v>0</v>
      </c>
      <c r="G168" s="49">
        <f t="shared" si="30"/>
        <v>0</v>
      </c>
      <c r="H168" s="49">
        <f t="shared" si="30"/>
        <v>-289738</v>
      </c>
      <c r="I168" s="49">
        <f t="shared" si="30"/>
        <v>0</v>
      </c>
      <c r="J168" s="50">
        <f t="shared" si="30"/>
        <v>0</v>
      </c>
      <c r="K168" s="76">
        <f t="shared" si="30"/>
        <v>0</v>
      </c>
      <c r="L168" s="49">
        <f t="shared" si="30"/>
        <v>0</v>
      </c>
      <c r="M168" s="49">
        <f t="shared" si="30"/>
        <v>0</v>
      </c>
      <c r="N168" s="49">
        <f t="shared" si="30"/>
        <v>0</v>
      </c>
      <c r="O168" s="49">
        <f t="shared" si="30"/>
        <v>0</v>
      </c>
      <c r="P168" s="50">
        <f t="shared" si="30"/>
        <v>0</v>
      </c>
      <c r="Q168" s="76">
        <f t="shared" si="30"/>
        <v>0</v>
      </c>
      <c r="R168" s="49">
        <f t="shared" si="30"/>
        <v>0</v>
      </c>
      <c r="S168" s="49">
        <f t="shared" si="30"/>
        <v>0</v>
      </c>
      <c r="T168" s="49">
        <f t="shared" si="30"/>
        <v>0</v>
      </c>
      <c r="U168" s="50">
        <f t="shared" si="30"/>
        <v>0</v>
      </c>
      <c r="V168" s="76">
        <f t="shared" si="30"/>
        <v>0</v>
      </c>
      <c r="W168" s="49">
        <f t="shared" si="30"/>
        <v>0</v>
      </c>
      <c r="X168" s="49">
        <f t="shared" si="30"/>
        <v>0</v>
      </c>
      <c r="Y168" s="49">
        <f t="shared" si="30"/>
        <v>0</v>
      </c>
      <c r="Z168" s="49">
        <f t="shared" si="30"/>
        <v>0</v>
      </c>
      <c r="AA168" s="50">
        <f t="shared" si="30"/>
        <v>0</v>
      </c>
      <c r="AB168" s="76">
        <f t="shared" si="30"/>
        <v>0</v>
      </c>
      <c r="AC168" s="49">
        <f t="shared" si="30"/>
        <v>0</v>
      </c>
      <c r="AD168" s="49">
        <f t="shared" si="30"/>
        <v>0</v>
      </c>
      <c r="AE168" s="49">
        <f t="shared" si="30"/>
        <v>0</v>
      </c>
      <c r="AF168" s="49">
        <f t="shared" si="30"/>
        <v>0</v>
      </c>
      <c r="AG168" s="50">
        <f t="shared" si="30"/>
        <v>0</v>
      </c>
      <c r="AH168" s="4"/>
    </row>
    <row r="169" spans="1:34" ht="15">
      <c r="A169" s="4"/>
      <c r="B169" s="43">
        <f>B168+1</f>
        <v>36</v>
      </c>
      <c r="C169" s="111" t="s">
        <v>73</v>
      </c>
      <c r="D169" s="43" t="str">
        <f>"Ln "&amp;FIXED(+B167,0)&amp;"-"&amp;FIXED(+B168,0)</f>
        <v>Ln 34-35</v>
      </c>
      <c r="E169" s="126">
        <f aca="true" t="shared" si="31" ref="E169:AG169">E167-E168</f>
        <v>-126924</v>
      </c>
      <c r="F169" s="54">
        <f t="shared" si="31"/>
        <v>0</v>
      </c>
      <c r="G169" s="54">
        <f t="shared" si="31"/>
        <v>0</v>
      </c>
      <c r="H169" s="54">
        <f t="shared" si="31"/>
        <v>-126924</v>
      </c>
      <c r="I169" s="54">
        <f t="shared" si="31"/>
        <v>0</v>
      </c>
      <c r="J169" s="55">
        <f t="shared" si="31"/>
        <v>0</v>
      </c>
      <c r="K169" s="77">
        <f t="shared" si="31"/>
        <v>0</v>
      </c>
      <c r="L169" s="54">
        <f t="shared" si="31"/>
        <v>0</v>
      </c>
      <c r="M169" s="54">
        <f t="shared" si="31"/>
        <v>0</v>
      </c>
      <c r="N169" s="54">
        <f t="shared" si="31"/>
        <v>0</v>
      </c>
      <c r="O169" s="54">
        <f t="shared" si="31"/>
        <v>0</v>
      </c>
      <c r="P169" s="55">
        <f t="shared" si="31"/>
        <v>0</v>
      </c>
      <c r="Q169" s="77">
        <f t="shared" si="31"/>
        <v>0</v>
      </c>
      <c r="R169" s="54">
        <f t="shared" si="31"/>
        <v>0</v>
      </c>
      <c r="S169" s="54">
        <f t="shared" si="31"/>
        <v>0</v>
      </c>
      <c r="T169" s="54">
        <f t="shared" si="31"/>
        <v>0</v>
      </c>
      <c r="U169" s="55">
        <f t="shared" si="31"/>
        <v>0</v>
      </c>
      <c r="V169" s="77">
        <f t="shared" si="31"/>
        <v>0</v>
      </c>
      <c r="W169" s="54">
        <f t="shared" si="31"/>
        <v>0</v>
      </c>
      <c r="X169" s="54">
        <f t="shared" si="31"/>
        <v>0</v>
      </c>
      <c r="Y169" s="54">
        <f t="shared" si="31"/>
        <v>0</v>
      </c>
      <c r="Z169" s="54">
        <f t="shared" si="31"/>
        <v>0</v>
      </c>
      <c r="AA169" s="55">
        <f t="shared" si="31"/>
        <v>0</v>
      </c>
      <c r="AB169" s="77">
        <f t="shared" si="31"/>
        <v>0</v>
      </c>
      <c r="AC169" s="54">
        <f t="shared" si="31"/>
        <v>0</v>
      </c>
      <c r="AD169" s="54">
        <f t="shared" si="31"/>
        <v>0</v>
      </c>
      <c r="AE169" s="54">
        <f t="shared" si="31"/>
        <v>0</v>
      </c>
      <c r="AF169" s="54">
        <f t="shared" si="31"/>
        <v>0</v>
      </c>
      <c r="AG169" s="55">
        <f t="shared" si="31"/>
        <v>0</v>
      </c>
      <c r="AH169" s="4"/>
    </row>
    <row r="170" spans="1:34" ht="15">
      <c r="A170" s="4"/>
      <c r="B170" s="43">
        <f>B169+1</f>
        <v>37</v>
      </c>
      <c r="C170" s="42" t="s">
        <v>74</v>
      </c>
      <c r="D170" s="43" t="str">
        <f>"From Ln "&amp;FIXED(+B214,0)</f>
        <v>From Ln 56</v>
      </c>
      <c r="E170" s="39">
        <f>SUM(F170:AG170)</f>
        <v>24321</v>
      </c>
      <c r="F170" s="49">
        <f aca="true" t="shared" si="32" ref="F170:AG170">F214</f>
        <v>0</v>
      </c>
      <c r="G170" s="49">
        <f t="shared" si="32"/>
        <v>0</v>
      </c>
      <c r="H170" s="49">
        <f t="shared" si="32"/>
        <v>24321</v>
      </c>
      <c r="I170" s="49">
        <f t="shared" si="32"/>
        <v>0</v>
      </c>
      <c r="J170" s="50">
        <f t="shared" si="32"/>
        <v>0</v>
      </c>
      <c r="K170" s="76">
        <f t="shared" si="32"/>
        <v>0</v>
      </c>
      <c r="L170" s="49">
        <f t="shared" si="32"/>
        <v>0</v>
      </c>
      <c r="M170" s="49">
        <f t="shared" si="32"/>
        <v>0</v>
      </c>
      <c r="N170" s="49">
        <f t="shared" si="32"/>
        <v>0</v>
      </c>
      <c r="O170" s="49">
        <f t="shared" si="32"/>
        <v>0</v>
      </c>
      <c r="P170" s="50">
        <f t="shared" si="32"/>
        <v>0</v>
      </c>
      <c r="Q170" s="76">
        <f t="shared" si="32"/>
        <v>0</v>
      </c>
      <c r="R170" s="49">
        <f t="shared" si="32"/>
        <v>0</v>
      </c>
      <c r="S170" s="49">
        <f t="shared" si="32"/>
        <v>0</v>
      </c>
      <c r="T170" s="49">
        <f t="shared" si="32"/>
        <v>0</v>
      </c>
      <c r="U170" s="50">
        <f t="shared" si="32"/>
        <v>0</v>
      </c>
      <c r="V170" s="76">
        <f t="shared" si="32"/>
        <v>0</v>
      </c>
      <c r="W170" s="49">
        <f t="shared" si="32"/>
        <v>0</v>
      </c>
      <c r="X170" s="49">
        <f t="shared" si="32"/>
        <v>0</v>
      </c>
      <c r="Y170" s="49">
        <f t="shared" si="32"/>
        <v>0</v>
      </c>
      <c r="Z170" s="49">
        <f t="shared" si="32"/>
        <v>0</v>
      </c>
      <c r="AA170" s="50">
        <f t="shared" si="32"/>
        <v>0</v>
      </c>
      <c r="AB170" s="76">
        <f t="shared" si="32"/>
        <v>0</v>
      </c>
      <c r="AC170" s="49">
        <f t="shared" si="32"/>
        <v>0</v>
      </c>
      <c r="AD170" s="49">
        <f t="shared" si="32"/>
        <v>0</v>
      </c>
      <c r="AE170" s="49">
        <f t="shared" si="32"/>
        <v>0</v>
      </c>
      <c r="AF170" s="49">
        <f t="shared" si="32"/>
        <v>0</v>
      </c>
      <c r="AG170" s="50">
        <f t="shared" si="32"/>
        <v>0</v>
      </c>
      <c r="AH170" s="4"/>
    </row>
    <row r="171" spans="1:34" ht="15">
      <c r="A171" s="4"/>
      <c r="B171" s="43">
        <f>B170+1</f>
        <v>38</v>
      </c>
      <c r="C171" s="111" t="s">
        <v>75</v>
      </c>
      <c r="D171" s="43" t="str">
        <f>"From Ln "&amp;FIXED(+B215,0)</f>
        <v>From Ln 57</v>
      </c>
      <c r="E171" s="39">
        <f>SUM(F171:AG171)</f>
        <v>0</v>
      </c>
      <c r="F171" s="49">
        <f aca="true" t="shared" si="33" ref="F171:AG171">F215</f>
        <v>0</v>
      </c>
      <c r="G171" s="49">
        <f t="shared" si="33"/>
        <v>0</v>
      </c>
      <c r="H171" s="49">
        <f t="shared" si="33"/>
        <v>0</v>
      </c>
      <c r="I171" s="49">
        <f t="shared" si="33"/>
        <v>0</v>
      </c>
      <c r="J171" s="50">
        <f t="shared" si="33"/>
        <v>0</v>
      </c>
      <c r="K171" s="76">
        <f t="shared" si="33"/>
        <v>0</v>
      </c>
      <c r="L171" s="49">
        <f t="shared" si="33"/>
        <v>0</v>
      </c>
      <c r="M171" s="49">
        <f t="shared" si="33"/>
        <v>0</v>
      </c>
      <c r="N171" s="49">
        <f t="shared" si="33"/>
        <v>0</v>
      </c>
      <c r="O171" s="49">
        <f t="shared" si="33"/>
        <v>0</v>
      </c>
      <c r="P171" s="50">
        <f t="shared" si="33"/>
        <v>0</v>
      </c>
      <c r="Q171" s="76">
        <f t="shared" si="33"/>
        <v>0</v>
      </c>
      <c r="R171" s="49">
        <f t="shared" si="33"/>
        <v>0</v>
      </c>
      <c r="S171" s="49">
        <f t="shared" si="33"/>
        <v>0</v>
      </c>
      <c r="T171" s="49">
        <f t="shared" si="33"/>
        <v>0</v>
      </c>
      <c r="U171" s="50">
        <f t="shared" si="33"/>
        <v>0</v>
      </c>
      <c r="V171" s="76">
        <f t="shared" si="33"/>
        <v>0</v>
      </c>
      <c r="W171" s="49">
        <f t="shared" si="33"/>
        <v>0</v>
      </c>
      <c r="X171" s="49">
        <f t="shared" si="33"/>
        <v>0</v>
      </c>
      <c r="Y171" s="49">
        <f t="shared" si="33"/>
        <v>0</v>
      </c>
      <c r="Z171" s="49">
        <f t="shared" si="33"/>
        <v>0</v>
      </c>
      <c r="AA171" s="50">
        <f t="shared" si="33"/>
        <v>0</v>
      </c>
      <c r="AB171" s="76">
        <f t="shared" si="33"/>
        <v>0</v>
      </c>
      <c r="AC171" s="49">
        <f t="shared" si="33"/>
        <v>0</v>
      </c>
      <c r="AD171" s="49">
        <f t="shared" si="33"/>
        <v>0</v>
      </c>
      <c r="AE171" s="49">
        <f t="shared" si="33"/>
        <v>0</v>
      </c>
      <c r="AF171" s="49">
        <f t="shared" si="33"/>
        <v>0</v>
      </c>
      <c r="AG171" s="50">
        <f t="shared" si="33"/>
        <v>0</v>
      </c>
      <c r="AH171" s="4"/>
    </row>
    <row r="172" spans="1:34" ht="15">
      <c r="A172" s="4"/>
      <c r="B172" s="43">
        <f>B171+1</f>
        <v>39</v>
      </c>
      <c r="C172" s="111" t="s">
        <v>76</v>
      </c>
      <c r="D172" s="43" t="str">
        <f>"From Ln "&amp;FIXED(+B217,0)</f>
        <v>From Ln 58</v>
      </c>
      <c r="E172" s="39">
        <f>SUM(F172:AG172)</f>
        <v>0</v>
      </c>
      <c r="F172" s="49">
        <f aca="true" t="shared" si="34" ref="F172:AG172">F217</f>
        <v>0</v>
      </c>
      <c r="G172" s="49">
        <f t="shared" si="34"/>
        <v>0</v>
      </c>
      <c r="H172" s="49">
        <f t="shared" si="34"/>
        <v>0</v>
      </c>
      <c r="I172" s="49">
        <f t="shared" si="34"/>
        <v>0</v>
      </c>
      <c r="J172" s="50">
        <f t="shared" si="34"/>
        <v>0</v>
      </c>
      <c r="K172" s="76">
        <f t="shared" si="34"/>
        <v>0</v>
      </c>
      <c r="L172" s="49">
        <f t="shared" si="34"/>
        <v>0</v>
      </c>
      <c r="M172" s="49">
        <f t="shared" si="34"/>
        <v>0</v>
      </c>
      <c r="N172" s="49">
        <f t="shared" si="34"/>
        <v>0</v>
      </c>
      <c r="O172" s="49">
        <f t="shared" si="34"/>
        <v>0</v>
      </c>
      <c r="P172" s="50">
        <f t="shared" si="34"/>
        <v>0</v>
      </c>
      <c r="Q172" s="76">
        <f t="shared" si="34"/>
        <v>0</v>
      </c>
      <c r="R172" s="49">
        <f t="shared" si="34"/>
        <v>0</v>
      </c>
      <c r="S172" s="49">
        <f t="shared" si="34"/>
        <v>0</v>
      </c>
      <c r="T172" s="49">
        <f t="shared" si="34"/>
        <v>0</v>
      </c>
      <c r="U172" s="50">
        <f t="shared" si="34"/>
        <v>0</v>
      </c>
      <c r="V172" s="76">
        <f t="shared" si="34"/>
        <v>0</v>
      </c>
      <c r="W172" s="49">
        <f t="shared" si="34"/>
        <v>0</v>
      </c>
      <c r="X172" s="49">
        <f t="shared" si="34"/>
        <v>0</v>
      </c>
      <c r="Y172" s="49">
        <f t="shared" si="34"/>
        <v>0</v>
      </c>
      <c r="Z172" s="49">
        <f t="shared" si="34"/>
        <v>0</v>
      </c>
      <c r="AA172" s="50">
        <f t="shared" si="34"/>
        <v>0</v>
      </c>
      <c r="AB172" s="76">
        <f t="shared" si="34"/>
        <v>0</v>
      </c>
      <c r="AC172" s="49">
        <f t="shared" si="34"/>
        <v>0</v>
      </c>
      <c r="AD172" s="49">
        <f t="shared" si="34"/>
        <v>0</v>
      </c>
      <c r="AE172" s="49">
        <f t="shared" si="34"/>
        <v>0</v>
      </c>
      <c r="AF172" s="49">
        <f t="shared" si="34"/>
        <v>0</v>
      </c>
      <c r="AG172" s="50">
        <f t="shared" si="34"/>
        <v>0</v>
      </c>
      <c r="AH172" s="4"/>
    </row>
    <row r="173" spans="1:34" ht="15">
      <c r="A173" s="4"/>
      <c r="B173" s="43"/>
      <c r="C173" s="111"/>
      <c r="D173" s="43"/>
      <c r="E173" s="127"/>
      <c r="F173" s="128"/>
      <c r="G173" s="128"/>
      <c r="H173" s="128"/>
      <c r="I173" s="128"/>
      <c r="J173" s="129"/>
      <c r="K173" s="78"/>
      <c r="L173" s="128"/>
      <c r="M173" s="128"/>
      <c r="N173" s="128"/>
      <c r="O173" s="128"/>
      <c r="P173" s="129"/>
      <c r="Q173" s="78"/>
      <c r="R173" s="128"/>
      <c r="S173" s="128"/>
      <c r="T173" s="128"/>
      <c r="U173" s="129"/>
      <c r="V173" s="78"/>
      <c r="W173" s="128"/>
      <c r="X173" s="128"/>
      <c r="Y173" s="128"/>
      <c r="Z173" s="128"/>
      <c r="AA173" s="129"/>
      <c r="AB173" s="78"/>
      <c r="AC173" s="128"/>
      <c r="AD173" s="128"/>
      <c r="AE173" s="128"/>
      <c r="AF173" s="128"/>
      <c r="AG173" s="129"/>
      <c r="AH173" s="4"/>
    </row>
    <row r="174" spans="1:34" ht="15.75">
      <c r="A174" s="1"/>
      <c r="B174" s="43">
        <f>B172+1</f>
        <v>40</v>
      </c>
      <c r="C174" s="110" t="s">
        <v>77</v>
      </c>
      <c r="D174" s="43" t="str">
        <f>"Ln "&amp;FIXED(+B169,0)&amp;"+"&amp;FIXED(+B170,0)&amp;"+"&amp;FIXED(+B171,0)&amp;"+"&amp;FIXED(+B172,0)</f>
        <v>Ln 36+37+38+39</v>
      </c>
      <c r="E174" s="121">
        <f aca="true" t="shared" si="35" ref="E174:AG174">E169+E170+E171+E172</f>
        <v>-102603</v>
      </c>
      <c r="F174" s="68">
        <f t="shared" si="35"/>
        <v>0</v>
      </c>
      <c r="G174" s="69">
        <f t="shared" si="35"/>
        <v>0</v>
      </c>
      <c r="H174" s="69">
        <f t="shared" si="35"/>
        <v>-102603</v>
      </c>
      <c r="I174" s="69">
        <f t="shared" si="35"/>
        <v>0</v>
      </c>
      <c r="J174" s="70">
        <f t="shared" si="35"/>
        <v>0</v>
      </c>
      <c r="K174" s="68">
        <f t="shared" si="35"/>
        <v>0</v>
      </c>
      <c r="L174" s="69">
        <f t="shared" si="35"/>
        <v>0</v>
      </c>
      <c r="M174" s="69">
        <f t="shared" si="35"/>
        <v>0</v>
      </c>
      <c r="N174" s="69">
        <f t="shared" si="35"/>
        <v>0</v>
      </c>
      <c r="O174" s="69">
        <f t="shared" si="35"/>
        <v>0</v>
      </c>
      <c r="P174" s="70">
        <f t="shared" si="35"/>
        <v>0</v>
      </c>
      <c r="Q174" s="68">
        <f t="shared" si="35"/>
        <v>0</v>
      </c>
      <c r="R174" s="69">
        <f t="shared" si="35"/>
        <v>0</v>
      </c>
      <c r="S174" s="69">
        <f t="shared" si="35"/>
        <v>0</v>
      </c>
      <c r="T174" s="69">
        <f t="shared" si="35"/>
        <v>0</v>
      </c>
      <c r="U174" s="70">
        <f t="shared" si="35"/>
        <v>0</v>
      </c>
      <c r="V174" s="68">
        <f t="shared" si="35"/>
        <v>0</v>
      </c>
      <c r="W174" s="69">
        <f t="shared" si="35"/>
        <v>0</v>
      </c>
      <c r="X174" s="69">
        <f t="shared" si="35"/>
        <v>0</v>
      </c>
      <c r="Y174" s="69">
        <f t="shared" si="35"/>
        <v>0</v>
      </c>
      <c r="Z174" s="69">
        <f t="shared" si="35"/>
        <v>0</v>
      </c>
      <c r="AA174" s="70">
        <f t="shared" si="35"/>
        <v>0</v>
      </c>
      <c r="AB174" s="68">
        <f t="shared" si="35"/>
        <v>0</v>
      </c>
      <c r="AC174" s="69">
        <f t="shared" si="35"/>
        <v>0</v>
      </c>
      <c r="AD174" s="69">
        <f t="shared" si="35"/>
        <v>0</v>
      </c>
      <c r="AE174" s="69">
        <f t="shared" si="35"/>
        <v>0</v>
      </c>
      <c r="AF174" s="69">
        <f t="shared" si="35"/>
        <v>0</v>
      </c>
      <c r="AG174" s="70">
        <f t="shared" si="35"/>
        <v>0</v>
      </c>
      <c r="AH174" s="4"/>
    </row>
    <row r="175" spans="1:34" ht="15">
      <c r="A175" s="4"/>
      <c r="B175" s="36"/>
      <c r="C175" s="111"/>
      <c r="D175" s="43"/>
      <c r="E175" s="122"/>
      <c r="F175" s="72"/>
      <c r="G175" s="72"/>
      <c r="H175" s="72"/>
      <c r="I175" s="72"/>
      <c r="J175" s="73"/>
      <c r="K175" s="71"/>
      <c r="L175" s="72"/>
      <c r="M175" s="72"/>
      <c r="N175" s="72"/>
      <c r="O175" s="72"/>
      <c r="P175" s="73"/>
      <c r="Q175" s="71"/>
      <c r="R175" s="72"/>
      <c r="S175" s="72"/>
      <c r="T175" s="72"/>
      <c r="U175" s="73"/>
      <c r="V175" s="71"/>
      <c r="W175" s="72"/>
      <c r="X175" s="72"/>
      <c r="Y175" s="72"/>
      <c r="Z175" s="72"/>
      <c r="AA175" s="73"/>
      <c r="AB175" s="71"/>
      <c r="AC175" s="72"/>
      <c r="AD175" s="72"/>
      <c r="AE175" s="72"/>
      <c r="AF175" s="72"/>
      <c r="AG175" s="73"/>
      <c r="AH175" s="4"/>
    </row>
    <row r="176" spans="1:34" ht="15.75">
      <c r="A176" s="4"/>
      <c r="B176" s="43"/>
      <c r="C176" s="110"/>
      <c r="D176" s="43" t="str">
        <f>"(Ln "&amp;FIXED(+B164,0)&amp;"/"&amp;FIXED(+B174,0)&amp;") x 100"</f>
        <v>(Ln 33/40) x 100</v>
      </c>
      <c r="E176" s="130"/>
      <c r="F176" s="131"/>
      <c r="G176" s="131"/>
      <c r="H176" s="131"/>
      <c r="I176" s="131"/>
      <c r="J176" s="132"/>
      <c r="K176" s="131"/>
      <c r="L176" s="131"/>
      <c r="M176" s="131"/>
      <c r="N176" s="131"/>
      <c r="O176" s="131"/>
      <c r="P176" s="132"/>
      <c r="Q176" s="131"/>
      <c r="R176" s="131"/>
      <c r="S176" s="131"/>
      <c r="T176" s="131"/>
      <c r="U176" s="132"/>
      <c r="V176" s="131"/>
      <c r="W176" s="131"/>
      <c r="X176" s="131"/>
      <c r="Y176" s="131"/>
      <c r="Z176" s="131"/>
      <c r="AA176" s="132"/>
      <c r="AB176" s="131"/>
      <c r="AC176" s="131"/>
      <c r="AD176" s="131"/>
      <c r="AE176" s="131"/>
      <c r="AF176" s="131"/>
      <c r="AG176" s="132"/>
      <c r="AH176" s="4"/>
    </row>
    <row r="177" spans="1:34" ht="15">
      <c r="A177" s="4"/>
      <c r="B177" s="133"/>
      <c r="C177" s="84"/>
      <c r="D177" s="84"/>
      <c r="E177" s="134"/>
      <c r="F177" s="135"/>
      <c r="G177" s="135"/>
      <c r="H177" s="135"/>
      <c r="I177" s="135"/>
      <c r="J177" s="136"/>
      <c r="K177" s="135"/>
      <c r="L177" s="135"/>
      <c r="M177" s="135"/>
      <c r="N177" s="135"/>
      <c r="O177" s="135"/>
      <c r="P177" s="136"/>
      <c r="Q177" s="135"/>
      <c r="R177" s="135"/>
      <c r="S177" s="135"/>
      <c r="T177" s="135"/>
      <c r="U177" s="136"/>
      <c r="V177" s="135"/>
      <c r="W177" s="135"/>
      <c r="X177" s="135"/>
      <c r="Y177" s="135"/>
      <c r="Z177" s="135"/>
      <c r="AA177" s="136"/>
      <c r="AB177" s="135"/>
      <c r="AC177" s="135"/>
      <c r="AD177" s="135"/>
      <c r="AE177" s="135"/>
      <c r="AF177" s="135"/>
      <c r="AG177" s="136"/>
      <c r="AH177" s="4"/>
    </row>
    <row r="178" spans="1:34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15.75">
      <c r="A182" s="4"/>
      <c r="B182" s="8" t="str">
        <f>$B$340</f>
        <v>RAINIER VIEW WATER CO., INC.</v>
      </c>
      <c r="C182" s="9"/>
      <c r="D182" s="12"/>
      <c r="E182" s="11"/>
      <c r="F182" s="11"/>
      <c r="G182" s="11"/>
      <c r="H182" s="11"/>
      <c r="I182" s="12" t="str">
        <f>$G$340</f>
        <v>Company Rebuttal</v>
      </c>
      <c r="J182" s="13"/>
      <c r="K182" s="11"/>
      <c r="L182" s="11"/>
      <c r="M182" s="11"/>
      <c r="N182" s="11"/>
      <c r="O182" s="12" t="str">
        <f>$G$340</f>
        <v>Company Rebuttal</v>
      </c>
      <c r="P182" s="13"/>
      <c r="Q182" s="11"/>
      <c r="R182" s="11"/>
      <c r="S182" s="11"/>
      <c r="T182" s="12" t="str">
        <f>$G$340</f>
        <v>Company Rebuttal</v>
      </c>
      <c r="U182" s="13"/>
      <c r="V182" s="11"/>
      <c r="W182" s="11"/>
      <c r="X182" s="11"/>
      <c r="Y182" s="11"/>
      <c r="Z182" s="12" t="str">
        <f>$G$340</f>
        <v>Company Rebuttal</v>
      </c>
      <c r="AA182" s="13"/>
      <c r="AB182" s="11"/>
      <c r="AC182" s="11"/>
      <c r="AD182" s="11"/>
      <c r="AE182" s="11"/>
      <c r="AF182" s="12" t="str">
        <f>$G$340</f>
        <v>Company Rebuttal</v>
      </c>
      <c r="AG182" s="13"/>
      <c r="AH182" s="4"/>
    </row>
    <row r="183" spans="1:34" ht="15.75">
      <c r="A183" s="1" t="s">
        <v>157</v>
      </c>
      <c r="B183" s="14" t="s">
        <v>158</v>
      </c>
      <c r="C183" s="1"/>
      <c r="D183" s="17"/>
      <c r="E183" s="4"/>
      <c r="F183" s="4"/>
      <c r="G183" s="4"/>
      <c r="H183" s="4"/>
      <c r="I183" s="17" t="str">
        <f>$G$341</f>
        <v>Docket No. UW-010877</v>
      </c>
      <c r="J183" s="18"/>
      <c r="K183" s="4"/>
      <c r="L183" s="4"/>
      <c r="M183" s="4"/>
      <c r="N183" s="4"/>
      <c r="O183" s="17" t="str">
        <f>$G$341</f>
        <v>Docket No. UW-010877</v>
      </c>
      <c r="P183" s="18"/>
      <c r="Q183" s="4"/>
      <c r="R183" s="4"/>
      <c r="S183" s="4"/>
      <c r="T183" s="17" t="str">
        <f>$G$341</f>
        <v>Docket No. UW-010877</v>
      </c>
      <c r="U183" s="18"/>
      <c r="V183" s="4"/>
      <c r="W183" s="4"/>
      <c r="X183" s="4"/>
      <c r="Y183" s="4"/>
      <c r="Z183" s="17" t="str">
        <f>$G$341</f>
        <v>Docket No. UW-010877</v>
      </c>
      <c r="AA183" s="18"/>
      <c r="AB183" s="4"/>
      <c r="AC183" s="4"/>
      <c r="AD183" s="4"/>
      <c r="AE183" s="4"/>
      <c r="AF183" s="17" t="str">
        <f>$G$341</f>
        <v>Docket No. UW-010877</v>
      </c>
      <c r="AG183" s="18"/>
      <c r="AH183" s="4"/>
    </row>
    <row r="184" spans="1:34" ht="15.75">
      <c r="A184" s="4"/>
      <c r="B184" s="14" t="s">
        <v>159</v>
      </c>
      <c r="C184" s="4"/>
      <c r="D184" s="17"/>
      <c r="E184" s="4"/>
      <c r="F184" s="4"/>
      <c r="G184" s="4"/>
      <c r="H184" s="4"/>
      <c r="I184" s="3" t="s">
        <v>160</v>
      </c>
      <c r="J184" s="18"/>
      <c r="K184" s="4"/>
      <c r="L184" s="4"/>
      <c r="M184" s="4"/>
      <c r="N184" s="4"/>
      <c r="O184" s="3" t="s">
        <v>161</v>
      </c>
      <c r="P184" s="18"/>
      <c r="Q184" s="4"/>
      <c r="R184" s="4"/>
      <c r="S184" s="4"/>
      <c r="T184" s="3" t="s">
        <v>162</v>
      </c>
      <c r="U184" s="18"/>
      <c r="V184" s="4"/>
      <c r="W184" s="4"/>
      <c r="X184" s="4"/>
      <c r="Y184" s="4"/>
      <c r="Z184" s="3" t="s">
        <v>163</v>
      </c>
      <c r="AA184" s="18"/>
      <c r="AB184" s="4"/>
      <c r="AC184" s="4"/>
      <c r="AD184" s="4"/>
      <c r="AE184" s="4"/>
      <c r="AF184" s="3" t="s">
        <v>164</v>
      </c>
      <c r="AG184" s="18"/>
      <c r="AH184" s="4"/>
    </row>
    <row r="185" spans="1:34" ht="15.75">
      <c r="A185" s="4"/>
      <c r="B185" s="19" t="str">
        <f>$B$342</f>
        <v>FOR THE 12 MONTHS ENDED DECEMBER 31, 2000</v>
      </c>
      <c r="C185" s="4"/>
      <c r="D185" s="17"/>
      <c r="E185" s="4"/>
      <c r="F185" s="4"/>
      <c r="G185" s="4"/>
      <c r="H185" s="4"/>
      <c r="I185" s="4"/>
      <c r="J185" s="18"/>
      <c r="K185" s="4"/>
      <c r="L185" s="4"/>
      <c r="M185" s="4"/>
      <c r="N185" s="4"/>
      <c r="O185" s="4"/>
      <c r="P185" s="18"/>
      <c r="Q185" s="4"/>
      <c r="R185" s="4"/>
      <c r="S185" s="4"/>
      <c r="T185" s="4"/>
      <c r="U185" s="18"/>
      <c r="V185" s="4"/>
      <c r="W185" s="4"/>
      <c r="X185" s="4"/>
      <c r="Y185" s="4"/>
      <c r="Z185" s="4"/>
      <c r="AA185" s="18"/>
      <c r="AB185" s="4"/>
      <c r="AC185" s="4"/>
      <c r="AD185" s="4"/>
      <c r="AE185" s="4"/>
      <c r="AF185" s="4"/>
      <c r="AG185" s="18"/>
      <c r="AH185" s="4"/>
    </row>
    <row r="186" spans="1:34" ht="15.75">
      <c r="A186" s="4"/>
      <c r="B186" s="19"/>
      <c r="C186" s="4"/>
      <c r="D186" s="17"/>
      <c r="E186" s="22"/>
      <c r="F186" s="22" t="s">
        <v>110</v>
      </c>
      <c r="G186" s="22" t="s">
        <v>111</v>
      </c>
      <c r="H186" s="22" t="s">
        <v>112</v>
      </c>
      <c r="I186" s="24"/>
      <c r="J186" s="23"/>
      <c r="K186" s="24" t="s">
        <v>113</v>
      </c>
      <c r="L186" s="24" t="s">
        <v>114</v>
      </c>
      <c r="M186" s="24" t="s">
        <v>115</v>
      </c>
      <c r="N186" s="24" t="s">
        <v>116</v>
      </c>
      <c r="O186" s="24" t="s">
        <v>117</v>
      </c>
      <c r="P186" s="23" t="s">
        <v>118</v>
      </c>
      <c r="Q186" s="24" t="s">
        <v>119</v>
      </c>
      <c r="R186" s="24" t="s">
        <v>120</v>
      </c>
      <c r="S186" s="24" t="s">
        <v>121</v>
      </c>
      <c r="T186" s="24" t="s">
        <v>122</v>
      </c>
      <c r="U186" s="23" t="s">
        <v>123</v>
      </c>
      <c r="V186" s="24" t="s">
        <v>124</v>
      </c>
      <c r="W186" s="24" t="s">
        <v>125</v>
      </c>
      <c r="X186" s="22" t="s">
        <v>126</v>
      </c>
      <c r="Y186" s="22" t="s">
        <v>126</v>
      </c>
      <c r="Z186" s="22" t="s">
        <v>126</v>
      </c>
      <c r="AA186" s="26" t="s">
        <v>126</v>
      </c>
      <c r="AB186" s="22" t="s">
        <v>127</v>
      </c>
      <c r="AC186" s="22" t="s">
        <v>128</v>
      </c>
      <c r="AD186" s="22" t="s">
        <v>129</v>
      </c>
      <c r="AE186" s="22" t="s">
        <v>130</v>
      </c>
      <c r="AF186" s="22" t="s">
        <v>131</v>
      </c>
      <c r="AG186" s="26" t="s">
        <v>126</v>
      </c>
      <c r="AH186" s="4"/>
    </row>
    <row r="187" spans="1:34" ht="15.75">
      <c r="A187" s="4"/>
      <c r="B187" s="19"/>
      <c r="C187" s="17"/>
      <c r="D187" s="17"/>
      <c r="E187" s="24" t="s">
        <v>9</v>
      </c>
      <c r="F187" s="22" t="s">
        <v>132</v>
      </c>
      <c r="G187" s="22"/>
      <c r="H187" s="22" t="s">
        <v>133</v>
      </c>
      <c r="I187" s="22"/>
      <c r="J187" s="26"/>
      <c r="K187" s="4"/>
      <c r="L187" s="22"/>
      <c r="M187" s="17"/>
      <c r="N187" s="22"/>
      <c r="O187" s="24"/>
      <c r="P187" s="26"/>
      <c r="Q187" s="24"/>
      <c r="R187" s="24"/>
      <c r="S187" s="17"/>
      <c r="T187" s="22"/>
      <c r="U187" s="26"/>
      <c r="V187" s="22"/>
      <c r="W187" s="22"/>
      <c r="X187" s="4"/>
      <c r="Y187" s="4"/>
      <c r="Z187" s="4"/>
      <c r="AA187" s="18"/>
      <c r="AB187" s="22"/>
      <c r="AC187" s="22"/>
      <c r="AD187" s="22"/>
      <c r="AE187" s="22"/>
      <c r="AF187" s="22"/>
      <c r="AG187" s="18"/>
      <c r="AH187" s="4"/>
    </row>
    <row r="188" spans="1:34" ht="15.75">
      <c r="A188" s="4"/>
      <c r="B188" s="25" t="s">
        <v>14</v>
      </c>
      <c r="C188" s="17"/>
      <c r="D188" s="17"/>
      <c r="E188" s="24" t="s">
        <v>16</v>
      </c>
      <c r="F188" s="22" t="s">
        <v>134</v>
      </c>
      <c r="G188" s="22" t="s">
        <v>135</v>
      </c>
      <c r="H188" s="22" t="s">
        <v>136</v>
      </c>
      <c r="I188" s="22"/>
      <c r="J188" s="26"/>
      <c r="K188" s="22"/>
      <c r="L188" s="22"/>
      <c r="M188" s="22"/>
      <c r="N188" s="22"/>
      <c r="O188" s="22"/>
      <c r="P188" s="26"/>
      <c r="Q188" s="22"/>
      <c r="R188" s="22"/>
      <c r="S188" s="17"/>
      <c r="T188" s="22"/>
      <c r="U188" s="26"/>
      <c r="V188" s="22"/>
      <c r="W188" s="22"/>
      <c r="X188" s="4"/>
      <c r="Y188" s="4"/>
      <c r="Z188" s="4"/>
      <c r="AA188" s="18"/>
      <c r="AB188" s="22"/>
      <c r="AC188" s="22"/>
      <c r="AD188" s="22"/>
      <c r="AE188" s="22"/>
      <c r="AF188" s="22"/>
      <c r="AG188" s="18"/>
      <c r="AH188" s="4"/>
    </row>
    <row r="189" spans="1:34" ht="15.75">
      <c r="A189" s="4"/>
      <c r="B189" s="27" t="s">
        <v>18</v>
      </c>
      <c r="C189" s="28" t="s">
        <v>19</v>
      </c>
      <c r="D189" s="28" t="s">
        <v>20</v>
      </c>
      <c r="E189" s="29" t="s">
        <v>22</v>
      </c>
      <c r="F189" s="28" t="s">
        <v>137</v>
      </c>
      <c r="G189" s="28" t="s">
        <v>138</v>
      </c>
      <c r="H189" s="28" t="s">
        <v>139</v>
      </c>
      <c r="I189" s="28"/>
      <c r="J189" s="26"/>
      <c r="K189" s="22"/>
      <c r="L189" s="22"/>
      <c r="M189" s="22"/>
      <c r="N189" s="22"/>
      <c r="O189" s="29"/>
      <c r="P189" s="30"/>
      <c r="Q189" s="28"/>
      <c r="R189" s="28"/>
      <c r="S189" s="22"/>
      <c r="T189" s="22"/>
      <c r="U189" s="26"/>
      <c r="V189" s="22"/>
      <c r="W189" s="22"/>
      <c r="X189" s="4"/>
      <c r="Y189" s="4"/>
      <c r="Z189" s="4"/>
      <c r="AA189" s="18"/>
      <c r="AB189" s="22"/>
      <c r="AC189" s="22"/>
      <c r="AD189" s="22"/>
      <c r="AE189" s="22"/>
      <c r="AF189" s="22"/>
      <c r="AG189" s="18"/>
      <c r="AH189" s="4"/>
    </row>
    <row r="190" spans="1:34" ht="15.75">
      <c r="A190" s="4"/>
      <c r="B190" s="31"/>
      <c r="C190" s="31" t="s">
        <v>25</v>
      </c>
      <c r="D190" s="31" t="s">
        <v>26</v>
      </c>
      <c r="E190" s="32" t="s">
        <v>27</v>
      </c>
      <c r="F190" s="33" t="s">
        <v>28</v>
      </c>
      <c r="G190" s="33" t="s">
        <v>29</v>
      </c>
      <c r="H190" s="33" t="s">
        <v>30</v>
      </c>
      <c r="I190" s="33" t="s">
        <v>31</v>
      </c>
      <c r="J190" s="34" t="s">
        <v>32</v>
      </c>
      <c r="K190" s="31" t="s">
        <v>33</v>
      </c>
      <c r="L190" s="33" t="s">
        <v>140</v>
      </c>
      <c r="M190" s="33" t="s">
        <v>141</v>
      </c>
      <c r="N190" s="33" t="s">
        <v>142</v>
      </c>
      <c r="O190" s="33" t="s">
        <v>143</v>
      </c>
      <c r="P190" s="34" t="s">
        <v>144</v>
      </c>
      <c r="Q190" s="31" t="s">
        <v>145</v>
      </c>
      <c r="R190" s="33" t="s">
        <v>145</v>
      </c>
      <c r="S190" s="33" t="s">
        <v>146</v>
      </c>
      <c r="T190" s="33" t="s">
        <v>147</v>
      </c>
      <c r="U190" s="34" t="s">
        <v>144</v>
      </c>
      <c r="V190" s="31" t="s">
        <v>144</v>
      </c>
      <c r="W190" s="33" t="s">
        <v>148</v>
      </c>
      <c r="X190" s="33" t="s">
        <v>146</v>
      </c>
      <c r="Y190" s="33" t="s">
        <v>149</v>
      </c>
      <c r="Z190" s="33" t="s">
        <v>150</v>
      </c>
      <c r="AA190" s="34" t="s">
        <v>149</v>
      </c>
      <c r="AB190" s="107" t="s">
        <v>151</v>
      </c>
      <c r="AC190" s="108" t="s">
        <v>152</v>
      </c>
      <c r="AD190" s="108" t="s">
        <v>153</v>
      </c>
      <c r="AE190" s="108" t="s">
        <v>154</v>
      </c>
      <c r="AF190" s="108" t="s">
        <v>155</v>
      </c>
      <c r="AG190" s="109" t="s">
        <v>156</v>
      </c>
      <c r="AH190" s="4"/>
    </row>
    <row r="191" spans="1:34" ht="15">
      <c r="A191" s="4"/>
      <c r="B191" s="35"/>
      <c r="C191" s="35"/>
      <c r="D191" s="35"/>
      <c r="E191" s="36"/>
      <c r="F191" s="37"/>
      <c r="G191" s="37"/>
      <c r="H191" s="4"/>
      <c r="I191" s="4"/>
      <c r="J191" s="18"/>
      <c r="K191" s="40"/>
      <c r="L191" s="4"/>
      <c r="M191" s="4"/>
      <c r="N191" s="4"/>
      <c r="O191" s="4"/>
      <c r="P191" s="18"/>
      <c r="Q191" s="40"/>
      <c r="R191" s="4"/>
      <c r="S191" s="4"/>
      <c r="T191" s="4"/>
      <c r="U191" s="18"/>
      <c r="V191" s="40"/>
      <c r="W191" s="4"/>
      <c r="X191" s="4"/>
      <c r="Y191" s="4"/>
      <c r="Z191" s="4"/>
      <c r="AA191" s="18"/>
      <c r="AB191" s="40"/>
      <c r="AC191" s="4"/>
      <c r="AD191" s="4"/>
      <c r="AE191" s="4"/>
      <c r="AF191" s="4"/>
      <c r="AG191" s="18"/>
      <c r="AH191" s="4"/>
    </row>
    <row r="192" spans="1:34" ht="15.75">
      <c r="A192" s="4"/>
      <c r="B192" s="35"/>
      <c r="C192" s="89" t="s">
        <v>84</v>
      </c>
      <c r="D192" s="41"/>
      <c r="E192" s="39"/>
      <c r="F192" s="4"/>
      <c r="G192" s="4"/>
      <c r="H192" s="4"/>
      <c r="I192" s="4"/>
      <c r="J192" s="18"/>
      <c r="K192" s="40"/>
      <c r="L192" s="4"/>
      <c r="M192" s="4"/>
      <c r="N192" s="4"/>
      <c r="O192" s="4"/>
      <c r="P192" s="18"/>
      <c r="Q192" s="40"/>
      <c r="R192" s="4"/>
      <c r="S192" s="4"/>
      <c r="T192" s="4"/>
      <c r="U192" s="18"/>
      <c r="V192" s="40"/>
      <c r="W192" s="4"/>
      <c r="X192" s="4"/>
      <c r="Y192" s="4"/>
      <c r="Z192" s="4"/>
      <c r="AA192" s="18"/>
      <c r="AB192" s="40"/>
      <c r="AC192" s="4"/>
      <c r="AD192" s="4"/>
      <c r="AE192" s="4"/>
      <c r="AF192" s="4"/>
      <c r="AG192" s="18"/>
      <c r="AH192" s="4"/>
    </row>
    <row r="193" spans="1:34" ht="15">
      <c r="A193" s="4"/>
      <c r="B193" s="41">
        <f>B174+1</f>
        <v>41</v>
      </c>
      <c r="C193" s="42" t="s">
        <v>85</v>
      </c>
      <c r="D193" s="41" t="str">
        <f>"From Ln "&amp;FIXED(+B159,0)</f>
        <v>From Ln 30</v>
      </c>
      <c r="E193" s="112">
        <f>SUM(F193:AG193)</f>
        <v>-155926.06204</v>
      </c>
      <c r="F193" s="45">
        <f aca="true" t="shared" si="36" ref="F193:AG193">F133-F157</f>
        <v>-180635.79171</v>
      </c>
      <c r="G193" s="45">
        <f t="shared" si="36"/>
        <v>-51021.27033</v>
      </c>
      <c r="H193" s="45">
        <f t="shared" si="36"/>
        <v>75731</v>
      </c>
      <c r="I193" s="45">
        <f t="shared" si="36"/>
        <v>0</v>
      </c>
      <c r="J193" s="46">
        <f t="shared" si="36"/>
        <v>0</v>
      </c>
      <c r="K193" s="75">
        <f t="shared" si="36"/>
        <v>0</v>
      </c>
      <c r="L193" s="45">
        <f t="shared" si="36"/>
        <v>0</v>
      </c>
      <c r="M193" s="45">
        <f t="shared" si="36"/>
        <v>0</v>
      </c>
      <c r="N193" s="45">
        <f t="shared" si="36"/>
        <v>0</v>
      </c>
      <c r="O193" s="45">
        <f t="shared" si="36"/>
        <v>0</v>
      </c>
      <c r="P193" s="46">
        <f t="shared" si="36"/>
        <v>0</v>
      </c>
      <c r="Q193" s="75">
        <f t="shared" si="36"/>
        <v>0</v>
      </c>
      <c r="R193" s="45">
        <f t="shared" si="36"/>
        <v>0</v>
      </c>
      <c r="S193" s="45">
        <f t="shared" si="36"/>
        <v>0</v>
      </c>
      <c r="T193" s="45">
        <f t="shared" si="36"/>
        <v>0</v>
      </c>
      <c r="U193" s="46">
        <f t="shared" si="36"/>
        <v>0</v>
      </c>
      <c r="V193" s="75">
        <f t="shared" si="36"/>
        <v>0</v>
      </c>
      <c r="W193" s="45">
        <f t="shared" si="36"/>
        <v>0</v>
      </c>
      <c r="X193" s="45">
        <f t="shared" si="36"/>
        <v>0</v>
      </c>
      <c r="Y193" s="45">
        <f t="shared" si="36"/>
        <v>0</v>
      </c>
      <c r="Z193" s="45">
        <f t="shared" si="36"/>
        <v>0</v>
      </c>
      <c r="AA193" s="46">
        <f t="shared" si="36"/>
        <v>0</v>
      </c>
      <c r="AB193" s="75">
        <f t="shared" si="36"/>
        <v>0</v>
      </c>
      <c r="AC193" s="45">
        <f t="shared" si="36"/>
        <v>0</v>
      </c>
      <c r="AD193" s="45">
        <f t="shared" si="36"/>
        <v>0</v>
      </c>
      <c r="AE193" s="45">
        <f t="shared" si="36"/>
        <v>0</v>
      </c>
      <c r="AF193" s="45">
        <f t="shared" si="36"/>
        <v>0</v>
      </c>
      <c r="AG193" s="46">
        <f t="shared" si="36"/>
        <v>0</v>
      </c>
      <c r="AH193" s="4"/>
    </row>
    <row r="194" spans="1:34" ht="15">
      <c r="A194" s="4"/>
      <c r="B194" s="41">
        <f>B193+1</f>
        <v>42</v>
      </c>
      <c r="C194" s="40" t="s">
        <v>165</v>
      </c>
      <c r="D194" s="35" t="s">
        <v>36</v>
      </c>
      <c r="E194" s="39">
        <f>SUM(F194:AG194)</f>
        <v>0</v>
      </c>
      <c r="F194" s="4">
        <v>0</v>
      </c>
      <c r="G194" s="4">
        <v>0</v>
      </c>
      <c r="H194" s="4">
        <v>0</v>
      </c>
      <c r="I194" s="4">
        <v>0</v>
      </c>
      <c r="J194" s="18">
        <v>0</v>
      </c>
      <c r="K194" s="40">
        <v>0</v>
      </c>
      <c r="L194" s="4">
        <v>0</v>
      </c>
      <c r="M194" s="4">
        <v>0</v>
      </c>
      <c r="N194" s="4">
        <v>0</v>
      </c>
      <c r="O194" s="4">
        <v>0</v>
      </c>
      <c r="P194" s="18">
        <v>0</v>
      </c>
      <c r="Q194" s="40">
        <v>0</v>
      </c>
      <c r="R194" s="4">
        <v>0</v>
      </c>
      <c r="S194" s="4">
        <v>0</v>
      </c>
      <c r="T194" s="4">
        <v>0</v>
      </c>
      <c r="U194" s="18">
        <v>0</v>
      </c>
      <c r="V194" s="40">
        <v>0</v>
      </c>
      <c r="W194" s="4">
        <v>0</v>
      </c>
      <c r="X194" s="4">
        <v>0</v>
      </c>
      <c r="Y194" s="4">
        <v>0</v>
      </c>
      <c r="Z194" s="4">
        <v>0</v>
      </c>
      <c r="AA194" s="18">
        <v>0</v>
      </c>
      <c r="AB194" s="40">
        <v>0</v>
      </c>
      <c r="AC194" s="4">
        <v>0</v>
      </c>
      <c r="AD194" s="4">
        <v>0</v>
      </c>
      <c r="AE194" s="4">
        <v>0</v>
      </c>
      <c r="AF194" s="4">
        <v>0</v>
      </c>
      <c r="AG194" s="18">
        <v>0</v>
      </c>
      <c r="AH194" s="4"/>
    </row>
    <row r="195" spans="1:34" ht="15">
      <c r="A195" s="4"/>
      <c r="B195" s="41">
        <f>B194+1</f>
        <v>43</v>
      </c>
      <c r="C195" s="40" t="s">
        <v>87</v>
      </c>
      <c r="D195" s="35" t="s">
        <v>36</v>
      </c>
      <c r="E195" s="39">
        <f>SUM(F195:AG195)</f>
        <v>0</v>
      </c>
      <c r="F195" s="1">
        <v>0</v>
      </c>
      <c r="G195" s="1">
        <v>0</v>
      </c>
      <c r="H195" s="1">
        <v>0</v>
      </c>
      <c r="I195" s="1">
        <v>0</v>
      </c>
      <c r="J195" s="67">
        <v>0</v>
      </c>
      <c r="K195" s="42">
        <v>0</v>
      </c>
      <c r="L195" s="1">
        <v>0</v>
      </c>
      <c r="M195" s="1">
        <v>0</v>
      </c>
      <c r="N195" s="1">
        <v>0</v>
      </c>
      <c r="O195" s="1">
        <v>0</v>
      </c>
      <c r="P195" s="67">
        <v>0</v>
      </c>
      <c r="Q195" s="42">
        <v>0</v>
      </c>
      <c r="R195" s="1">
        <v>0</v>
      </c>
      <c r="S195" s="1">
        <v>0</v>
      </c>
      <c r="T195" s="1">
        <v>0</v>
      </c>
      <c r="U195" s="67">
        <v>0</v>
      </c>
      <c r="V195" s="42">
        <v>0</v>
      </c>
      <c r="W195" s="1">
        <v>0</v>
      </c>
      <c r="X195" s="1">
        <v>0</v>
      </c>
      <c r="Y195" s="1">
        <v>0</v>
      </c>
      <c r="Z195" s="1">
        <v>0</v>
      </c>
      <c r="AA195" s="67">
        <v>0</v>
      </c>
      <c r="AB195" s="42">
        <v>0</v>
      </c>
      <c r="AC195" s="1">
        <v>0</v>
      </c>
      <c r="AD195" s="1">
        <v>0</v>
      </c>
      <c r="AE195" s="1">
        <v>0</v>
      </c>
      <c r="AF195" s="1">
        <v>0</v>
      </c>
      <c r="AG195" s="67">
        <v>0</v>
      </c>
      <c r="AH195" s="4"/>
    </row>
    <row r="196" spans="1:34" ht="15">
      <c r="A196" s="4"/>
      <c r="B196" s="41">
        <f>B195+1</f>
        <v>44</v>
      </c>
      <c r="C196" s="40" t="s">
        <v>88</v>
      </c>
      <c r="D196" s="41" t="str">
        <f>"Ln "&amp;FIXED(+B193,0)&amp;"+"&amp;FIXED(+B194,0)&amp;"+"&amp;FIXED(+B195,0)</f>
        <v>Ln 41+42+43</v>
      </c>
      <c r="E196" s="111">
        <f aca="true" t="shared" si="37" ref="E196:AG196">E193+E194+E195</f>
        <v>-155926.06204</v>
      </c>
      <c r="F196" s="42">
        <f t="shared" si="37"/>
        <v>-180635.79171</v>
      </c>
      <c r="G196" s="1">
        <f t="shared" si="37"/>
        <v>-51021.27033</v>
      </c>
      <c r="H196" s="1">
        <f t="shared" si="37"/>
        <v>75731</v>
      </c>
      <c r="I196" s="1">
        <f t="shared" si="37"/>
        <v>0</v>
      </c>
      <c r="J196" s="67">
        <f t="shared" si="37"/>
        <v>0</v>
      </c>
      <c r="K196" s="42">
        <f t="shared" si="37"/>
        <v>0</v>
      </c>
      <c r="L196" s="1">
        <f t="shared" si="37"/>
        <v>0</v>
      </c>
      <c r="M196" s="1">
        <f t="shared" si="37"/>
        <v>0</v>
      </c>
      <c r="N196" s="1">
        <f t="shared" si="37"/>
        <v>0</v>
      </c>
      <c r="O196" s="1">
        <f t="shared" si="37"/>
        <v>0</v>
      </c>
      <c r="P196" s="67">
        <f t="shared" si="37"/>
        <v>0</v>
      </c>
      <c r="Q196" s="42">
        <f t="shared" si="37"/>
        <v>0</v>
      </c>
      <c r="R196" s="1">
        <f t="shared" si="37"/>
        <v>0</v>
      </c>
      <c r="S196" s="1">
        <f t="shared" si="37"/>
        <v>0</v>
      </c>
      <c r="T196" s="1">
        <f t="shared" si="37"/>
        <v>0</v>
      </c>
      <c r="U196" s="67">
        <f t="shared" si="37"/>
        <v>0</v>
      </c>
      <c r="V196" s="42">
        <f t="shared" si="37"/>
        <v>0</v>
      </c>
      <c r="W196" s="1">
        <f t="shared" si="37"/>
        <v>0</v>
      </c>
      <c r="X196" s="1">
        <f t="shared" si="37"/>
        <v>0</v>
      </c>
      <c r="Y196" s="1">
        <f t="shared" si="37"/>
        <v>0</v>
      </c>
      <c r="Z196" s="1">
        <f t="shared" si="37"/>
        <v>0</v>
      </c>
      <c r="AA196" s="67">
        <f t="shared" si="37"/>
        <v>0</v>
      </c>
      <c r="AB196" s="42">
        <f t="shared" si="37"/>
        <v>0</v>
      </c>
      <c r="AC196" s="1">
        <f t="shared" si="37"/>
        <v>0</v>
      </c>
      <c r="AD196" s="1">
        <f t="shared" si="37"/>
        <v>0</v>
      </c>
      <c r="AE196" s="1">
        <f t="shared" si="37"/>
        <v>0</v>
      </c>
      <c r="AF196" s="1">
        <f t="shared" si="37"/>
        <v>0</v>
      </c>
      <c r="AG196" s="67">
        <f t="shared" si="37"/>
        <v>0</v>
      </c>
      <c r="AH196" s="4"/>
    </row>
    <row r="197" spans="1:34" ht="15">
      <c r="A197" s="4"/>
      <c r="B197" s="35"/>
      <c r="C197" s="40"/>
      <c r="D197" s="40"/>
      <c r="E197" s="39"/>
      <c r="F197" s="4"/>
      <c r="G197" s="4"/>
      <c r="H197" s="4"/>
      <c r="I197" s="4"/>
      <c r="J197" s="18"/>
      <c r="K197" s="40"/>
      <c r="L197" s="4"/>
      <c r="M197" s="4"/>
      <c r="N197" s="4"/>
      <c r="O197" s="4"/>
      <c r="P197" s="18"/>
      <c r="Q197" s="40"/>
      <c r="R197" s="4"/>
      <c r="S197" s="4"/>
      <c r="T197" s="4"/>
      <c r="U197" s="18"/>
      <c r="V197" s="40"/>
      <c r="W197" s="4"/>
      <c r="X197" s="4"/>
      <c r="Y197" s="4"/>
      <c r="Z197" s="4"/>
      <c r="AA197" s="18"/>
      <c r="AB197" s="40"/>
      <c r="AC197" s="4"/>
      <c r="AD197" s="4"/>
      <c r="AE197" s="4"/>
      <c r="AF197" s="4"/>
      <c r="AG197" s="18"/>
      <c r="AH197" s="4"/>
    </row>
    <row r="198" spans="1:34" ht="15.75">
      <c r="A198" s="4"/>
      <c r="B198" s="41">
        <f>B196+1</f>
        <v>45</v>
      </c>
      <c r="C198" s="42" t="s">
        <v>89</v>
      </c>
      <c r="D198" s="42" t="str">
        <f>"Ln "&amp;FIXED(+B196,0)&amp;" x ("&amp;FIXED(+$E$360*100,2)&amp;"%/100)"</f>
        <v>Ln 44 x (34.00%/100)</v>
      </c>
      <c r="E198" s="137">
        <f aca="true" t="shared" si="38" ref="E198:AG198">E196*$E$360</f>
        <v>-53014.8610936</v>
      </c>
      <c r="F198" s="138">
        <f t="shared" si="38"/>
        <v>-61416.1691814</v>
      </c>
      <c r="G198" s="138">
        <f t="shared" si="38"/>
        <v>-17347.2319122</v>
      </c>
      <c r="H198" s="138">
        <f t="shared" si="38"/>
        <v>25748.54</v>
      </c>
      <c r="I198" s="138">
        <f t="shared" si="38"/>
        <v>0</v>
      </c>
      <c r="J198" s="139">
        <f t="shared" si="38"/>
        <v>0</v>
      </c>
      <c r="K198" s="140">
        <f t="shared" si="38"/>
        <v>0</v>
      </c>
      <c r="L198" s="138">
        <f t="shared" si="38"/>
        <v>0</v>
      </c>
      <c r="M198" s="138">
        <f t="shared" si="38"/>
        <v>0</v>
      </c>
      <c r="N198" s="138">
        <f t="shared" si="38"/>
        <v>0</v>
      </c>
      <c r="O198" s="138">
        <f t="shared" si="38"/>
        <v>0</v>
      </c>
      <c r="P198" s="139">
        <f t="shared" si="38"/>
        <v>0</v>
      </c>
      <c r="Q198" s="140">
        <f t="shared" si="38"/>
        <v>0</v>
      </c>
      <c r="R198" s="138">
        <f t="shared" si="38"/>
        <v>0</v>
      </c>
      <c r="S198" s="138">
        <f t="shared" si="38"/>
        <v>0</v>
      </c>
      <c r="T198" s="138">
        <f t="shared" si="38"/>
        <v>0</v>
      </c>
      <c r="U198" s="139">
        <f t="shared" si="38"/>
        <v>0</v>
      </c>
      <c r="V198" s="140">
        <f t="shared" si="38"/>
        <v>0</v>
      </c>
      <c r="W198" s="138">
        <f t="shared" si="38"/>
        <v>0</v>
      </c>
      <c r="X198" s="138">
        <f t="shared" si="38"/>
        <v>0</v>
      </c>
      <c r="Y198" s="138">
        <f t="shared" si="38"/>
        <v>0</v>
      </c>
      <c r="Z198" s="138">
        <f t="shared" si="38"/>
        <v>0</v>
      </c>
      <c r="AA198" s="139">
        <f t="shared" si="38"/>
        <v>0</v>
      </c>
      <c r="AB198" s="140">
        <f t="shared" si="38"/>
        <v>0</v>
      </c>
      <c r="AC198" s="138">
        <f t="shared" si="38"/>
        <v>0</v>
      </c>
      <c r="AD198" s="138">
        <f t="shared" si="38"/>
        <v>0</v>
      </c>
      <c r="AE198" s="138">
        <f t="shared" si="38"/>
        <v>0</v>
      </c>
      <c r="AF198" s="138">
        <f t="shared" si="38"/>
        <v>0</v>
      </c>
      <c r="AG198" s="139">
        <f t="shared" si="38"/>
        <v>0</v>
      </c>
      <c r="AH198" s="4"/>
    </row>
    <row r="199" spans="1:34" ht="15">
      <c r="A199" s="4"/>
      <c r="B199" s="35"/>
      <c r="C199" s="40" t="s">
        <v>90</v>
      </c>
      <c r="D199" s="41"/>
      <c r="E199" s="141"/>
      <c r="F199" s="94"/>
      <c r="G199" s="94"/>
      <c r="H199" s="94"/>
      <c r="I199" s="94"/>
      <c r="J199" s="95"/>
      <c r="K199" s="93"/>
      <c r="L199" s="94"/>
      <c r="M199" s="94"/>
      <c r="N199" s="94"/>
      <c r="O199" s="94"/>
      <c r="P199" s="95"/>
      <c r="Q199" s="93"/>
      <c r="R199" s="94"/>
      <c r="S199" s="94"/>
      <c r="T199" s="94"/>
      <c r="U199" s="95"/>
      <c r="V199" s="93"/>
      <c r="W199" s="94"/>
      <c r="X199" s="94"/>
      <c r="Y199" s="94"/>
      <c r="Z199" s="94"/>
      <c r="AA199" s="95"/>
      <c r="AB199" s="93"/>
      <c r="AC199" s="94"/>
      <c r="AD199" s="94"/>
      <c r="AE199" s="94"/>
      <c r="AF199" s="94"/>
      <c r="AG199" s="95"/>
      <c r="AH199" s="4"/>
    </row>
    <row r="200" spans="1:34" ht="15.75">
      <c r="A200" s="4"/>
      <c r="B200" s="41">
        <f>B198+1</f>
        <v>46</v>
      </c>
      <c r="C200" s="42" t="s">
        <v>91</v>
      </c>
      <c r="D200" s="41" t="s">
        <v>36</v>
      </c>
      <c r="E200" s="137">
        <f>SUM(F200:AG200)</f>
        <v>-53014.8610936</v>
      </c>
      <c r="F200" s="91">
        <f aca="true" t="shared" si="39" ref="F200:AG200">F198</f>
        <v>-61416.1691814</v>
      </c>
      <c r="G200" s="91">
        <f t="shared" si="39"/>
        <v>-17347.2319122</v>
      </c>
      <c r="H200" s="91">
        <f t="shared" si="39"/>
        <v>25748.54</v>
      </c>
      <c r="I200" s="91">
        <f t="shared" si="39"/>
        <v>0</v>
      </c>
      <c r="J200" s="92">
        <f t="shared" si="39"/>
        <v>0</v>
      </c>
      <c r="K200" s="90">
        <f t="shared" si="39"/>
        <v>0</v>
      </c>
      <c r="L200" s="91">
        <f t="shared" si="39"/>
        <v>0</v>
      </c>
      <c r="M200" s="91">
        <f t="shared" si="39"/>
        <v>0</v>
      </c>
      <c r="N200" s="91">
        <f t="shared" si="39"/>
        <v>0</v>
      </c>
      <c r="O200" s="91">
        <f t="shared" si="39"/>
        <v>0</v>
      </c>
      <c r="P200" s="92">
        <f t="shared" si="39"/>
        <v>0</v>
      </c>
      <c r="Q200" s="90">
        <f t="shared" si="39"/>
        <v>0</v>
      </c>
      <c r="R200" s="91">
        <f t="shared" si="39"/>
        <v>0</v>
      </c>
      <c r="S200" s="91">
        <f t="shared" si="39"/>
        <v>0</v>
      </c>
      <c r="T200" s="91">
        <f t="shared" si="39"/>
        <v>0</v>
      </c>
      <c r="U200" s="92">
        <f t="shared" si="39"/>
        <v>0</v>
      </c>
      <c r="V200" s="90">
        <f t="shared" si="39"/>
        <v>0</v>
      </c>
      <c r="W200" s="91">
        <f t="shared" si="39"/>
        <v>0</v>
      </c>
      <c r="X200" s="91">
        <f t="shared" si="39"/>
        <v>0</v>
      </c>
      <c r="Y200" s="91">
        <f t="shared" si="39"/>
        <v>0</v>
      </c>
      <c r="Z200" s="91">
        <f t="shared" si="39"/>
        <v>0</v>
      </c>
      <c r="AA200" s="139">
        <f t="shared" si="39"/>
        <v>0</v>
      </c>
      <c r="AB200" s="90">
        <f t="shared" si="39"/>
        <v>0</v>
      </c>
      <c r="AC200" s="91">
        <f t="shared" si="39"/>
        <v>0</v>
      </c>
      <c r="AD200" s="91">
        <f t="shared" si="39"/>
        <v>0</v>
      </c>
      <c r="AE200" s="91">
        <f t="shared" si="39"/>
        <v>0</v>
      </c>
      <c r="AF200" s="91">
        <f t="shared" si="39"/>
        <v>0</v>
      </c>
      <c r="AG200" s="139">
        <f t="shared" si="39"/>
        <v>0</v>
      </c>
      <c r="AH200" s="4"/>
    </row>
    <row r="201" spans="1:34" ht="15">
      <c r="A201" s="4"/>
      <c r="B201" s="35"/>
      <c r="C201" s="40"/>
      <c r="D201" s="40"/>
      <c r="E201" s="39"/>
      <c r="F201" s="4"/>
      <c r="G201" s="4"/>
      <c r="H201" s="4"/>
      <c r="I201" s="4"/>
      <c r="J201" s="18"/>
      <c r="K201" s="40"/>
      <c r="L201" s="4"/>
      <c r="M201" s="4"/>
      <c r="N201" s="4"/>
      <c r="O201" s="4"/>
      <c r="P201" s="18"/>
      <c r="Q201" s="40"/>
      <c r="R201" s="4"/>
      <c r="S201" s="4"/>
      <c r="T201" s="4"/>
      <c r="U201" s="18"/>
      <c r="V201" s="40"/>
      <c r="W201" s="4"/>
      <c r="X201" s="4"/>
      <c r="Y201" s="4"/>
      <c r="Z201" s="4"/>
      <c r="AA201" s="18"/>
      <c r="AB201" s="40"/>
      <c r="AC201" s="4"/>
      <c r="AD201" s="4"/>
      <c r="AE201" s="4"/>
      <c r="AF201" s="4"/>
      <c r="AG201" s="18"/>
      <c r="AH201" s="4"/>
    </row>
    <row r="202" spans="1:34" ht="15.75">
      <c r="A202" s="4"/>
      <c r="B202" s="35"/>
      <c r="C202" s="89" t="s">
        <v>70</v>
      </c>
      <c r="D202" s="42"/>
      <c r="E202" s="39"/>
      <c r="F202" s="4"/>
      <c r="G202" s="4"/>
      <c r="H202" s="4"/>
      <c r="I202" s="4"/>
      <c r="J202" s="18"/>
      <c r="K202" s="40"/>
      <c r="L202" s="4"/>
      <c r="M202" s="4"/>
      <c r="N202" s="4"/>
      <c r="O202" s="4"/>
      <c r="P202" s="18"/>
      <c r="Q202" s="40"/>
      <c r="R202" s="4"/>
      <c r="S202" s="4"/>
      <c r="T202" s="4"/>
      <c r="U202" s="18"/>
      <c r="V202" s="40"/>
      <c r="W202" s="4"/>
      <c r="X202" s="4"/>
      <c r="Y202" s="4"/>
      <c r="Z202" s="4"/>
      <c r="AA202" s="18"/>
      <c r="AB202" s="40"/>
      <c r="AC202" s="4"/>
      <c r="AD202" s="4"/>
      <c r="AE202" s="4"/>
      <c r="AF202" s="4"/>
      <c r="AG202" s="18"/>
      <c r="AH202" s="4"/>
    </row>
    <row r="203" spans="1:34" ht="15.75">
      <c r="A203" s="4"/>
      <c r="B203" s="35"/>
      <c r="C203" s="14" t="s">
        <v>92</v>
      </c>
      <c r="D203" s="40"/>
      <c r="E203" s="39"/>
      <c r="F203" s="4"/>
      <c r="G203" s="4"/>
      <c r="H203" s="4"/>
      <c r="I203" s="4"/>
      <c r="J203" s="18"/>
      <c r="K203" s="40"/>
      <c r="L203" s="4"/>
      <c r="M203" s="4"/>
      <c r="N203" s="4"/>
      <c r="O203" s="4"/>
      <c r="P203" s="18"/>
      <c r="Q203" s="40"/>
      <c r="R203" s="4"/>
      <c r="S203" s="4"/>
      <c r="T203" s="4"/>
      <c r="U203" s="18"/>
      <c r="V203" s="40"/>
      <c r="W203" s="4"/>
      <c r="X203" s="4"/>
      <c r="Y203" s="4"/>
      <c r="Z203" s="4"/>
      <c r="AA203" s="18"/>
      <c r="AB203" s="40"/>
      <c r="AC203" s="4"/>
      <c r="AD203" s="4"/>
      <c r="AE203" s="4"/>
      <c r="AF203" s="4"/>
      <c r="AG203" s="18"/>
      <c r="AH203" s="4"/>
    </row>
    <row r="204" spans="1:34" ht="15">
      <c r="A204" s="4"/>
      <c r="B204" s="41">
        <f>B200+1</f>
        <v>47</v>
      </c>
      <c r="C204" s="42" t="s">
        <v>93</v>
      </c>
      <c r="D204" s="41" t="s">
        <v>36</v>
      </c>
      <c r="E204" s="112">
        <f>SUM(F204:AG204)</f>
        <v>-416662</v>
      </c>
      <c r="F204" s="113">
        <v>0</v>
      </c>
      <c r="G204" s="113">
        <v>0</v>
      </c>
      <c r="H204" s="113">
        <v>-416662</v>
      </c>
      <c r="I204" s="113">
        <v>0</v>
      </c>
      <c r="J204" s="114">
        <v>0</v>
      </c>
      <c r="K204" s="44">
        <v>0</v>
      </c>
      <c r="L204" s="113">
        <v>0</v>
      </c>
      <c r="M204" s="113">
        <v>0</v>
      </c>
      <c r="N204" s="113">
        <v>0</v>
      </c>
      <c r="O204" s="113">
        <v>0</v>
      </c>
      <c r="P204" s="114">
        <v>0</v>
      </c>
      <c r="Q204" s="44">
        <v>0</v>
      </c>
      <c r="R204" s="113">
        <v>0</v>
      </c>
      <c r="S204" s="113">
        <v>0</v>
      </c>
      <c r="T204" s="113">
        <v>0</v>
      </c>
      <c r="U204" s="114">
        <v>0</v>
      </c>
      <c r="V204" s="44">
        <v>0</v>
      </c>
      <c r="W204" s="113">
        <v>0</v>
      </c>
      <c r="X204" s="113">
        <v>0</v>
      </c>
      <c r="Y204" s="113">
        <v>0</v>
      </c>
      <c r="Z204" s="113">
        <v>0</v>
      </c>
      <c r="AA204" s="114">
        <v>0</v>
      </c>
      <c r="AB204" s="44">
        <v>0</v>
      </c>
      <c r="AC204" s="113">
        <v>0</v>
      </c>
      <c r="AD204" s="113">
        <v>0</v>
      </c>
      <c r="AE204" s="113">
        <v>0</v>
      </c>
      <c r="AF204" s="113">
        <v>0</v>
      </c>
      <c r="AG204" s="114">
        <v>0</v>
      </c>
      <c r="AH204" s="4"/>
    </row>
    <row r="205" spans="1:34" ht="15">
      <c r="A205" s="4"/>
      <c r="B205" s="41">
        <f>B204+1</f>
        <v>48</v>
      </c>
      <c r="C205" s="42"/>
      <c r="D205" s="41" t="s">
        <v>36</v>
      </c>
      <c r="E205" s="39">
        <f>SUM(F205:AG205)</f>
        <v>0</v>
      </c>
      <c r="F205" s="2">
        <v>0</v>
      </c>
      <c r="G205" s="2">
        <v>0</v>
      </c>
      <c r="H205" s="2">
        <v>0</v>
      </c>
      <c r="I205" s="2">
        <v>0</v>
      </c>
      <c r="J205" s="115">
        <v>0</v>
      </c>
      <c r="K205" s="48">
        <v>0</v>
      </c>
      <c r="L205" s="2">
        <v>0</v>
      </c>
      <c r="M205" s="2">
        <v>0</v>
      </c>
      <c r="N205" s="2">
        <v>0</v>
      </c>
      <c r="O205" s="2">
        <v>0</v>
      </c>
      <c r="P205" s="115">
        <v>0</v>
      </c>
      <c r="Q205" s="48">
        <v>0</v>
      </c>
      <c r="R205" s="2">
        <v>0</v>
      </c>
      <c r="S205" s="2">
        <v>0</v>
      </c>
      <c r="T205" s="2">
        <v>0</v>
      </c>
      <c r="U205" s="115">
        <v>0</v>
      </c>
      <c r="V205" s="48">
        <v>0</v>
      </c>
      <c r="W205" s="2">
        <v>0</v>
      </c>
      <c r="X205" s="2">
        <v>0</v>
      </c>
      <c r="Y205" s="2">
        <v>0</v>
      </c>
      <c r="Z205" s="2">
        <v>0</v>
      </c>
      <c r="AA205" s="115">
        <v>0</v>
      </c>
      <c r="AB205" s="48">
        <v>0</v>
      </c>
      <c r="AC205" s="2">
        <v>0</v>
      </c>
      <c r="AD205" s="2">
        <v>0</v>
      </c>
      <c r="AE205" s="2">
        <v>0</v>
      </c>
      <c r="AF205" s="2">
        <v>0</v>
      </c>
      <c r="AG205" s="115">
        <v>0</v>
      </c>
      <c r="AH205" s="4"/>
    </row>
    <row r="206" spans="1:34" ht="15">
      <c r="A206" s="4"/>
      <c r="B206" s="41">
        <f>B205+1</f>
        <v>49</v>
      </c>
      <c r="C206" s="42"/>
      <c r="D206" s="41" t="s">
        <v>36</v>
      </c>
      <c r="E206" s="39">
        <f>SUM(F206:AG206)</f>
        <v>0</v>
      </c>
      <c r="F206" s="1">
        <v>0</v>
      </c>
      <c r="G206" s="1">
        <v>0</v>
      </c>
      <c r="H206" s="1">
        <v>0</v>
      </c>
      <c r="I206" s="1">
        <v>0</v>
      </c>
      <c r="J206" s="67">
        <v>0</v>
      </c>
      <c r="K206" s="42">
        <v>0</v>
      </c>
      <c r="L206" s="1">
        <v>0</v>
      </c>
      <c r="M206" s="1">
        <v>0</v>
      </c>
      <c r="N206" s="1">
        <v>0</v>
      </c>
      <c r="O206" s="1">
        <v>0</v>
      </c>
      <c r="P206" s="67">
        <v>0</v>
      </c>
      <c r="Q206" s="42">
        <v>0</v>
      </c>
      <c r="R206" s="1">
        <v>0</v>
      </c>
      <c r="S206" s="1">
        <v>0</v>
      </c>
      <c r="T206" s="1">
        <v>0</v>
      </c>
      <c r="U206" s="67">
        <v>0</v>
      </c>
      <c r="V206" s="42">
        <v>0</v>
      </c>
      <c r="W206" s="1">
        <v>0</v>
      </c>
      <c r="X206" s="1">
        <v>0</v>
      </c>
      <c r="Y206" s="1">
        <v>0</v>
      </c>
      <c r="Z206" s="1">
        <v>0</v>
      </c>
      <c r="AA206" s="67">
        <v>0</v>
      </c>
      <c r="AB206" s="42">
        <v>0</v>
      </c>
      <c r="AC206" s="1">
        <v>0</v>
      </c>
      <c r="AD206" s="1">
        <v>0</v>
      </c>
      <c r="AE206" s="1">
        <v>0</v>
      </c>
      <c r="AF206" s="1">
        <v>0</v>
      </c>
      <c r="AG206" s="67">
        <v>0</v>
      </c>
      <c r="AH206" s="4"/>
    </row>
    <row r="207" spans="1:34" ht="15">
      <c r="A207" s="4"/>
      <c r="B207" s="41">
        <f>B206+1</f>
        <v>50</v>
      </c>
      <c r="C207" s="42"/>
      <c r="D207" s="41" t="s">
        <v>36</v>
      </c>
      <c r="E207" s="39">
        <f>SUM(F207:AG207)</f>
        <v>0</v>
      </c>
      <c r="F207" s="1">
        <v>0</v>
      </c>
      <c r="G207" s="1">
        <v>0</v>
      </c>
      <c r="H207" s="1">
        <v>0</v>
      </c>
      <c r="I207" s="1">
        <v>0</v>
      </c>
      <c r="J207" s="67">
        <v>0</v>
      </c>
      <c r="K207" s="42">
        <v>0</v>
      </c>
      <c r="L207" s="1">
        <v>0</v>
      </c>
      <c r="M207" s="1">
        <v>0</v>
      </c>
      <c r="N207" s="1">
        <v>0</v>
      </c>
      <c r="O207" s="1">
        <v>0</v>
      </c>
      <c r="P207" s="67">
        <v>0</v>
      </c>
      <c r="Q207" s="42">
        <v>0</v>
      </c>
      <c r="R207" s="1">
        <v>0</v>
      </c>
      <c r="S207" s="1">
        <v>0</v>
      </c>
      <c r="T207" s="1">
        <v>0</v>
      </c>
      <c r="U207" s="67">
        <v>0</v>
      </c>
      <c r="V207" s="42">
        <v>0</v>
      </c>
      <c r="W207" s="1">
        <v>0</v>
      </c>
      <c r="X207" s="1">
        <v>0</v>
      </c>
      <c r="Y207" s="1">
        <v>0</v>
      </c>
      <c r="Z207" s="1">
        <v>0</v>
      </c>
      <c r="AA207" s="67">
        <v>0</v>
      </c>
      <c r="AB207" s="42">
        <v>0</v>
      </c>
      <c r="AC207" s="1">
        <v>0</v>
      </c>
      <c r="AD207" s="1">
        <v>0</v>
      </c>
      <c r="AE207" s="1">
        <v>0</v>
      </c>
      <c r="AF207" s="1">
        <v>0</v>
      </c>
      <c r="AG207" s="67">
        <v>0</v>
      </c>
      <c r="AH207" s="4"/>
    </row>
    <row r="208" spans="1:34" ht="15">
      <c r="A208" s="4"/>
      <c r="B208" s="41">
        <f>B207+1</f>
        <v>51</v>
      </c>
      <c r="C208" s="42"/>
      <c r="D208" s="41" t="s">
        <v>36</v>
      </c>
      <c r="E208" s="39">
        <f>SUM(F208:AG208)</f>
        <v>0</v>
      </c>
      <c r="F208" s="1">
        <v>0</v>
      </c>
      <c r="G208" s="1">
        <v>0</v>
      </c>
      <c r="H208" s="1">
        <v>0</v>
      </c>
      <c r="I208" s="1">
        <v>0</v>
      </c>
      <c r="J208" s="67">
        <v>0</v>
      </c>
      <c r="K208" s="42">
        <v>0</v>
      </c>
      <c r="L208" s="1">
        <v>0</v>
      </c>
      <c r="M208" s="1">
        <v>0</v>
      </c>
      <c r="N208" s="1">
        <v>0</v>
      </c>
      <c r="O208" s="1">
        <v>0</v>
      </c>
      <c r="P208" s="67">
        <v>0</v>
      </c>
      <c r="Q208" s="42">
        <v>0</v>
      </c>
      <c r="R208" s="1">
        <v>0</v>
      </c>
      <c r="S208" s="1">
        <v>0</v>
      </c>
      <c r="T208" s="1">
        <v>0</v>
      </c>
      <c r="U208" s="67">
        <v>0</v>
      </c>
      <c r="V208" s="42">
        <v>0</v>
      </c>
      <c r="W208" s="1">
        <v>0</v>
      </c>
      <c r="X208" s="1">
        <v>0</v>
      </c>
      <c r="Y208" s="1">
        <v>0</v>
      </c>
      <c r="Z208" s="1">
        <v>0</v>
      </c>
      <c r="AA208" s="67">
        <v>0</v>
      </c>
      <c r="AB208" s="42">
        <v>0</v>
      </c>
      <c r="AC208" s="1">
        <v>0</v>
      </c>
      <c r="AD208" s="1">
        <v>0</v>
      </c>
      <c r="AE208" s="1">
        <v>0</v>
      </c>
      <c r="AF208" s="1">
        <v>0</v>
      </c>
      <c r="AG208" s="67">
        <v>0</v>
      </c>
      <c r="AH208" s="4"/>
    </row>
    <row r="209" spans="1:34" ht="15.75">
      <c r="A209" s="4"/>
      <c r="B209" s="41">
        <f>B208+1</f>
        <v>52</v>
      </c>
      <c r="C209" s="14" t="s">
        <v>94</v>
      </c>
      <c r="D209" s="41" t="str">
        <f>"Ln +"&amp;FIXED(+B204,0)&amp;"...+"&amp;FIXED(+B208,0)</f>
        <v>Ln +47...+51</v>
      </c>
      <c r="E209" s="142">
        <f aca="true" t="shared" si="40" ref="E209:AG209">SUM(E204:E208)</f>
        <v>-416662</v>
      </c>
      <c r="F209" s="97">
        <f t="shared" si="40"/>
        <v>0</v>
      </c>
      <c r="G209" s="97">
        <f t="shared" si="40"/>
        <v>0</v>
      </c>
      <c r="H209" s="97">
        <f t="shared" si="40"/>
        <v>-416662</v>
      </c>
      <c r="I209" s="97">
        <f t="shared" si="40"/>
        <v>0</v>
      </c>
      <c r="J209" s="98">
        <f t="shared" si="40"/>
        <v>0</v>
      </c>
      <c r="K209" s="96">
        <f t="shared" si="40"/>
        <v>0</v>
      </c>
      <c r="L209" s="97">
        <f t="shared" si="40"/>
        <v>0</v>
      </c>
      <c r="M209" s="97">
        <f t="shared" si="40"/>
        <v>0</v>
      </c>
      <c r="N209" s="97">
        <f t="shared" si="40"/>
        <v>0</v>
      </c>
      <c r="O209" s="97">
        <f t="shared" si="40"/>
        <v>0</v>
      </c>
      <c r="P209" s="98">
        <f t="shared" si="40"/>
        <v>0</v>
      </c>
      <c r="Q209" s="96">
        <f t="shared" si="40"/>
        <v>0</v>
      </c>
      <c r="R209" s="97">
        <f t="shared" si="40"/>
        <v>0</v>
      </c>
      <c r="S209" s="97">
        <f t="shared" si="40"/>
        <v>0</v>
      </c>
      <c r="T209" s="97">
        <f t="shared" si="40"/>
        <v>0</v>
      </c>
      <c r="U209" s="98">
        <f t="shared" si="40"/>
        <v>0</v>
      </c>
      <c r="V209" s="96">
        <f t="shared" si="40"/>
        <v>0</v>
      </c>
      <c r="W209" s="97">
        <f t="shared" si="40"/>
        <v>0</v>
      </c>
      <c r="X209" s="97">
        <f t="shared" si="40"/>
        <v>0</v>
      </c>
      <c r="Y209" s="97">
        <f t="shared" si="40"/>
        <v>0</v>
      </c>
      <c r="Z209" s="97">
        <f t="shared" si="40"/>
        <v>0</v>
      </c>
      <c r="AA209" s="98">
        <f t="shared" si="40"/>
        <v>0</v>
      </c>
      <c r="AB209" s="96">
        <f t="shared" si="40"/>
        <v>0</v>
      </c>
      <c r="AC209" s="97">
        <f t="shared" si="40"/>
        <v>0</v>
      </c>
      <c r="AD209" s="97">
        <f t="shared" si="40"/>
        <v>0</v>
      </c>
      <c r="AE209" s="97">
        <f t="shared" si="40"/>
        <v>0</v>
      </c>
      <c r="AF209" s="97">
        <f t="shared" si="40"/>
        <v>0</v>
      </c>
      <c r="AG209" s="98">
        <f t="shared" si="40"/>
        <v>0</v>
      </c>
      <c r="AH209" s="4"/>
    </row>
    <row r="210" spans="1:34" ht="15.75">
      <c r="A210" s="4"/>
      <c r="B210" s="41"/>
      <c r="C210" s="14"/>
      <c r="D210" s="41"/>
      <c r="E210" s="142"/>
      <c r="F210" s="97"/>
      <c r="G210" s="97"/>
      <c r="H210" s="97"/>
      <c r="I210" s="97"/>
      <c r="J210" s="98"/>
      <c r="K210" s="96"/>
      <c r="L210" s="97"/>
      <c r="M210" s="97"/>
      <c r="N210" s="97"/>
      <c r="O210" s="97"/>
      <c r="P210" s="98"/>
      <c r="Q210" s="96"/>
      <c r="R210" s="97"/>
      <c r="S210" s="97"/>
      <c r="T210" s="97"/>
      <c r="U210" s="98"/>
      <c r="V210" s="96"/>
      <c r="W210" s="97"/>
      <c r="X210" s="97"/>
      <c r="Y210" s="97"/>
      <c r="Z210" s="97"/>
      <c r="AA210" s="98"/>
      <c r="AB210" s="96"/>
      <c r="AC210" s="97"/>
      <c r="AD210" s="97"/>
      <c r="AE210" s="97"/>
      <c r="AF210" s="97"/>
      <c r="AG210" s="98"/>
      <c r="AH210" s="4"/>
    </row>
    <row r="211" spans="1:34" ht="15.75">
      <c r="A211" s="4"/>
      <c r="B211" s="41">
        <f>B209+1</f>
        <v>53</v>
      </c>
      <c r="C211" s="14" t="s">
        <v>95</v>
      </c>
      <c r="D211" s="41" t="s">
        <v>36</v>
      </c>
      <c r="E211" s="39">
        <f>SUM(F211:AG211)</f>
        <v>-289738</v>
      </c>
      <c r="F211" s="2">
        <v>0</v>
      </c>
      <c r="G211" s="2">
        <v>0</v>
      </c>
      <c r="H211" s="2">
        <v>-289738</v>
      </c>
      <c r="I211" s="2">
        <v>0</v>
      </c>
      <c r="J211" s="115">
        <v>0</v>
      </c>
      <c r="K211" s="48">
        <v>0</v>
      </c>
      <c r="L211" s="2">
        <v>0</v>
      </c>
      <c r="M211" s="2">
        <v>0</v>
      </c>
      <c r="N211" s="2">
        <v>0</v>
      </c>
      <c r="O211" s="2">
        <v>0</v>
      </c>
      <c r="P211" s="115">
        <v>0</v>
      </c>
      <c r="Q211" s="48">
        <v>0</v>
      </c>
      <c r="R211" s="2">
        <v>0</v>
      </c>
      <c r="S211" s="2">
        <v>0</v>
      </c>
      <c r="T211" s="2">
        <v>0</v>
      </c>
      <c r="U211" s="115">
        <v>0</v>
      </c>
      <c r="V211" s="48">
        <v>0</v>
      </c>
      <c r="W211" s="2">
        <v>0</v>
      </c>
      <c r="X211" s="2">
        <v>0</v>
      </c>
      <c r="Y211" s="2">
        <v>0</v>
      </c>
      <c r="Z211" s="2">
        <v>0</v>
      </c>
      <c r="AA211" s="115">
        <v>0</v>
      </c>
      <c r="AB211" s="48">
        <v>0</v>
      </c>
      <c r="AC211" s="2">
        <v>0</v>
      </c>
      <c r="AD211" s="2">
        <f>AD138/2</f>
        <v>0</v>
      </c>
      <c r="AE211" s="2">
        <v>0</v>
      </c>
      <c r="AF211" s="2">
        <v>0</v>
      </c>
      <c r="AG211" s="115">
        <v>0</v>
      </c>
      <c r="AH211" s="4"/>
    </row>
    <row r="212" spans="1:34" ht="15.75">
      <c r="A212" s="4"/>
      <c r="B212" s="41">
        <f>B211+1</f>
        <v>54</v>
      </c>
      <c r="C212" s="14" t="s">
        <v>96</v>
      </c>
      <c r="D212" s="41" t="s">
        <v>36</v>
      </c>
      <c r="E212" s="39">
        <f>SUM(F212:AG212)</f>
        <v>0</v>
      </c>
      <c r="F212" s="2">
        <v>0</v>
      </c>
      <c r="G212" s="2">
        <v>0</v>
      </c>
      <c r="H212" s="2">
        <v>0</v>
      </c>
      <c r="I212" s="2">
        <v>0</v>
      </c>
      <c r="J212" s="115">
        <v>0</v>
      </c>
      <c r="K212" s="48">
        <v>0</v>
      </c>
      <c r="L212" s="2">
        <v>0</v>
      </c>
      <c r="M212" s="2">
        <v>0</v>
      </c>
      <c r="N212" s="2">
        <v>0</v>
      </c>
      <c r="O212" s="2">
        <v>0</v>
      </c>
      <c r="P212" s="115">
        <v>0</v>
      </c>
      <c r="Q212" s="48">
        <v>0</v>
      </c>
      <c r="R212" s="2">
        <v>0</v>
      </c>
      <c r="S212" s="2">
        <v>0</v>
      </c>
      <c r="T212" s="2">
        <v>0</v>
      </c>
      <c r="U212" s="115">
        <v>0</v>
      </c>
      <c r="V212" s="48">
        <v>0</v>
      </c>
      <c r="W212" s="2">
        <v>0</v>
      </c>
      <c r="X212" s="2">
        <v>0</v>
      </c>
      <c r="Y212" s="2">
        <v>0</v>
      </c>
      <c r="Z212" s="2">
        <v>0</v>
      </c>
      <c r="AA212" s="115">
        <v>0</v>
      </c>
      <c r="AB212" s="48">
        <v>0</v>
      </c>
      <c r="AC212" s="2">
        <v>0</v>
      </c>
      <c r="AD212" s="2">
        <v>0</v>
      </c>
      <c r="AE212" s="2">
        <v>0</v>
      </c>
      <c r="AF212" s="2">
        <v>0</v>
      </c>
      <c r="AG212" s="115">
        <v>0</v>
      </c>
      <c r="AH212" s="4"/>
    </row>
    <row r="213" spans="1:34" ht="15.75">
      <c r="A213" s="4"/>
      <c r="B213" s="41">
        <f>B212+1</f>
        <v>55</v>
      </c>
      <c r="C213" s="14" t="s">
        <v>97</v>
      </c>
      <c r="D213" s="41" t="str">
        <f>"Ln "&amp;FIXED(+B211,0)&amp;"+"&amp;FIXED(+B212,0)</f>
        <v>Ln 53+54</v>
      </c>
      <c r="E213" s="116">
        <f aca="true" t="shared" si="41" ref="E213:AG213">E211+E212</f>
        <v>-289738</v>
      </c>
      <c r="F213" s="99">
        <f t="shared" si="41"/>
        <v>0</v>
      </c>
      <c r="G213" s="99">
        <f t="shared" si="41"/>
        <v>0</v>
      </c>
      <c r="H213" s="99">
        <f t="shared" si="41"/>
        <v>-289738</v>
      </c>
      <c r="I213" s="99">
        <f t="shared" si="41"/>
        <v>0</v>
      </c>
      <c r="J213" s="100">
        <f t="shared" si="41"/>
        <v>0</v>
      </c>
      <c r="K213" s="52">
        <f t="shared" si="41"/>
        <v>0</v>
      </c>
      <c r="L213" s="99">
        <f t="shared" si="41"/>
        <v>0</v>
      </c>
      <c r="M213" s="99">
        <f t="shared" si="41"/>
        <v>0</v>
      </c>
      <c r="N213" s="99">
        <f t="shared" si="41"/>
        <v>0</v>
      </c>
      <c r="O213" s="99">
        <f t="shared" si="41"/>
        <v>0</v>
      </c>
      <c r="P213" s="100">
        <f t="shared" si="41"/>
        <v>0</v>
      </c>
      <c r="Q213" s="52">
        <f t="shared" si="41"/>
        <v>0</v>
      </c>
      <c r="R213" s="99">
        <f t="shared" si="41"/>
        <v>0</v>
      </c>
      <c r="S213" s="99">
        <f t="shared" si="41"/>
        <v>0</v>
      </c>
      <c r="T213" s="99">
        <f t="shared" si="41"/>
        <v>0</v>
      </c>
      <c r="U213" s="100">
        <f t="shared" si="41"/>
        <v>0</v>
      </c>
      <c r="V213" s="52">
        <f t="shared" si="41"/>
        <v>0</v>
      </c>
      <c r="W213" s="99">
        <f t="shared" si="41"/>
        <v>0</v>
      </c>
      <c r="X213" s="99">
        <f t="shared" si="41"/>
        <v>0</v>
      </c>
      <c r="Y213" s="99">
        <f t="shared" si="41"/>
        <v>0</v>
      </c>
      <c r="Z213" s="99">
        <f t="shared" si="41"/>
        <v>0</v>
      </c>
      <c r="AA213" s="100">
        <f t="shared" si="41"/>
        <v>0</v>
      </c>
      <c r="AB213" s="52">
        <f t="shared" si="41"/>
        <v>0</v>
      </c>
      <c r="AC213" s="99">
        <f t="shared" si="41"/>
        <v>0</v>
      </c>
      <c r="AD213" s="99">
        <f t="shared" si="41"/>
        <v>0</v>
      </c>
      <c r="AE213" s="99">
        <f t="shared" si="41"/>
        <v>0</v>
      </c>
      <c r="AF213" s="99">
        <f t="shared" si="41"/>
        <v>0</v>
      </c>
      <c r="AG213" s="100">
        <f t="shared" si="41"/>
        <v>0</v>
      </c>
      <c r="AH213" s="4"/>
    </row>
    <row r="214" spans="1:34" ht="15.75">
      <c r="A214" s="4"/>
      <c r="B214" s="41">
        <f>B213+1</f>
        <v>56</v>
      </c>
      <c r="C214" s="14" t="s">
        <v>98</v>
      </c>
      <c r="D214" s="41" t="s">
        <v>36</v>
      </c>
      <c r="E214" s="39">
        <f>SUM(F214:AG214)</f>
        <v>24321</v>
      </c>
      <c r="F214" s="2">
        <v>0</v>
      </c>
      <c r="G214" s="2">
        <v>0</v>
      </c>
      <c r="H214" s="2">
        <v>24321</v>
      </c>
      <c r="I214" s="2">
        <v>0</v>
      </c>
      <c r="J214" s="115">
        <v>0</v>
      </c>
      <c r="K214" s="48">
        <v>0</v>
      </c>
      <c r="L214" s="2">
        <v>0</v>
      </c>
      <c r="M214" s="2">
        <v>0</v>
      </c>
      <c r="N214" s="2">
        <v>0</v>
      </c>
      <c r="O214" s="2">
        <v>0</v>
      </c>
      <c r="P214" s="115">
        <v>0</v>
      </c>
      <c r="Q214" s="48">
        <v>0</v>
      </c>
      <c r="R214" s="2">
        <v>0</v>
      </c>
      <c r="S214" s="2">
        <v>0</v>
      </c>
      <c r="T214" s="2">
        <v>0</v>
      </c>
      <c r="U214" s="115">
        <v>0</v>
      </c>
      <c r="V214" s="48">
        <v>0</v>
      </c>
      <c r="W214" s="2">
        <v>0</v>
      </c>
      <c r="X214" s="2">
        <v>0</v>
      </c>
      <c r="Y214" s="2">
        <v>0</v>
      </c>
      <c r="Z214" s="2">
        <v>0</v>
      </c>
      <c r="AA214" s="115">
        <v>0</v>
      </c>
      <c r="AB214" s="48">
        <v>0</v>
      </c>
      <c r="AC214" s="2">
        <v>0</v>
      </c>
      <c r="AD214" s="2">
        <v>0</v>
      </c>
      <c r="AE214" s="2">
        <v>0</v>
      </c>
      <c r="AF214" s="2">
        <v>0</v>
      </c>
      <c r="AG214" s="115">
        <v>0</v>
      </c>
      <c r="AH214" s="4"/>
    </row>
    <row r="215" spans="1:34" ht="15.75">
      <c r="A215" s="4"/>
      <c r="B215" s="41">
        <f>B214+1</f>
        <v>57</v>
      </c>
      <c r="C215" s="14" t="s">
        <v>99</v>
      </c>
      <c r="D215" s="41" t="s">
        <v>36</v>
      </c>
      <c r="E215" s="39">
        <f>SUM(F215:AG215)</f>
        <v>0</v>
      </c>
      <c r="F215" s="2">
        <v>0</v>
      </c>
      <c r="G215" s="2">
        <v>0</v>
      </c>
      <c r="H215" s="2">
        <v>0</v>
      </c>
      <c r="I215" s="2">
        <v>0</v>
      </c>
      <c r="J215" s="115">
        <v>0</v>
      </c>
      <c r="K215" s="48">
        <v>0</v>
      </c>
      <c r="L215" s="2">
        <v>0</v>
      </c>
      <c r="M215" s="2">
        <v>0</v>
      </c>
      <c r="N215" s="2"/>
      <c r="O215" s="2">
        <v>0</v>
      </c>
      <c r="P215" s="115">
        <v>0</v>
      </c>
      <c r="Q215" s="48">
        <v>0</v>
      </c>
      <c r="R215" s="2">
        <v>0</v>
      </c>
      <c r="S215" s="2">
        <v>0</v>
      </c>
      <c r="T215" s="2">
        <v>0</v>
      </c>
      <c r="U215" s="115">
        <v>0</v>
      </c>
      <c r="V215" s="48">
        <v>0</v>
      </c>
      <c r="W215" s="2">
        <v>0</v>
      </c>
      <c r="X215" s="2">
        <v>0</v>
      </c>
      <c r="Y215" s="2">
        <v>0</v>
      </c>
      <c r="Z215" s="2">
        <v>0</v>
      </c>
      <c r="AA215" s="115">
        <v>0</v>
      </c>
      <c r="AB215" s="48">
        <v>0</v>
      </c>
      <c r="AC215" s="2">
        <v>0</v>
      </c>
      <c r="AD215" s="2">
        <v>0</v>
      </c>
      <c r="AE215" s="2">
        <v>0</v>
      </c>
      <c r="AF215" s="2">
        <v>0</v>
      </c>
      <c r="AG215" s="115">
        <v>0</v>
      </c>
      <c r="AH215" s="4"/>
    </row>
    <row r="216" spans="1:34" ht="15">
      <c r="A216" s="4"/>
      <c r="B216" s="35"/>
      <c r="C216" s="40"/>
      <c r="D216" s="41"/>
      <c r="E216" s="39"/>
      <c r="F216" s="4"/>
      <c r="G216" s="4"/>
      <c r="H216" s="4"/>
      <c r="I216" s="4"/>
      <c r="J216" s="18"/>
      <c r="K216" s="40"/>
      <c r="L216" s="4"/>
      <c r="M216" s="4"/>
      <c r="N216" s="4"/>
      <c r="O216" s="4"/>
      <c r="P216" s="18"/>
      <c r="Q216" s="40"/>
      <c r="R216" s="4"/>
      <c r="S216" s="4"/>
      <c r="T216" s="4"/>
      <c r="U216" s="18"/>
      <c r="V216" s="40"/>
      <c r="W216" s="4"/>
      <c r="X216" s="4"/>
      <c r="Y216" s="4"/>
      <c r="Z216" s="4"/>
      <c r="AA216" s="18"/>
      <c r="AB216" s="40"/>
      <c r="AC216" s="4"/>
      <c r="AD216" s="4"/>
      <c r="AE216" s="4"/>
      <c r="AF216" s="4"/>
      <c r="AG216" s="18"/>
      <c r="AH216" s="4"/>
    </row>
    <row r="217" spans="1:34" ht="15.75">
      <c r="A217" s="4"/>
      <c r="B217" s="41">
        <f>B215+1</f>
        <v>58</v>
      </c>
      <c r="C217" s="14" t="s">
        <v>100</v>
      </c>
      <c r="D217" s="41" t="s">
        <v>36</v>
      </c>
      <c r="E217" s="39">
        <f>SUM(F217:AG217)</f>
        <v>0</v>
      </c>
      <c r="F217" s="2">
        <v>0</v>
      </c>
      <c r="G217" s="2">
        <v>0</v>
      </c>
      <c r="H217" s="2">
        <v>0</v>
      </c>
      <c r="I217" s="2">
        <v>0</v>
      </c>
      <c r="J217" s="115">
        <v>0</v>
      </c>
      <c r="K217" s="48">
        <v>0</v>
      </c>
      <c r="L217" s="2">
        <v>0</v>
      </c>
      <c r="M217" s="2">
        <v>0</v>
      </c>
      <c r="N217" s="2">
        <v>0</v>
      </c>
      <c r="O217" s="2">
        <v>0</v>
      </c>
      <c r="P217" s="115">
        <v>0</v>
      </c>
      <c r="Q217" s="48">
        <v>0</v>
      </c>
      <c r="R217" s="2">
        <v>0</v>
      </c>
      <c r="S217" s="2">
        <v>0</v>
      </c>
      <c r="T217" s="2">
        <v>0</v>
      </c>
      <c r="U217" s="115">
        <v>0</v>
      </c>
      <c r="V217" s="48">
        <v>0</v>
      </c>
      <c r="W217" s="2">
        <v>0</v>
      </c>
      <c r="X217" s="2">
        <v>0</v>
      </c>
      <c r="Y217" s="2">
        <v>0</v>
      </c>
      <c r="Z217" s="2">
        <v>0</v>
      </c>
      <c r="AA217" s="115">
        <v>0</v>
      </c>
      <c r="AB217" s="48">
        <v>0</v>
      </c>
      <c r="AC217" s="2">
        <v>0</v>
      </c>
      <c r="AD217" s="2">
        <v>0</v>
      </c>
      <c r="AE217" s="49">
        <v>0</v>
      </c>
      <c r="AF217" s="2">
        <v>0</v>
      </c>
      <c r="AG217" s="115">
        <v>0</v>
      </c>
      <c r="AH217" s="4"/>
    </row>
    <row r="218" spans="1:34" ht="15">
      <c r="A218" s="4"/>
      <c r="B218" s="41">
        <f>B217+1</f>
        <v>59</v>
      </c>
      <c r="C218" s="42"/>
      <c r="D218" s="41"/>
      <c r="E218" s="39">
        <f>SUM(F218:AG218)</f>
        <v>0</v>
      </c>
      <c r="F218" s="2">
        <v>0</v>
      </c>
      <c r="G218" s="2">
        <v>0</v>
      </c>
      <c r="H218" s="2">
        <v>0</v>
      </c>
      <c r="I218" s="2">
        <v>0</v>
      </c>
      <c r="J218" s="115">
        <v>0</v>
      </c>
      <c r="K218" s="48">
        <v>0</v>
      </c>
      <c r="L218" s="2">
        <v>0</v>
      </c>
      <c r="M218" s="2">
        <v>0</v>
      </c>
      <c r="N218" s="2">
        <v>0</v>
      </c>
      <c r="O218" s="2">
        <v>0</v>
      </c>
      <c r="P218" s="115">
        <v>0</v>
      </c>
      <c r="Q218" s="48">
        <v>0</v>
      </c>
      <c r="R218" s="2">
        <v>0</v>
      </c>
      <c r="S218" s="2">
        <v>0</v>
      </c>
      <c r="T218" s="2">
        <v>0</v>
      </c>
      <c r="U218" s="115">
        <v>0</v>
      </c>
      <c r="V218" s="48">
        <v>0</v>
      </c>
      <c r="W218" s="2">
        <v>0</v>
      </c>
      <c r="X218" s="2">
        <v>0</v>
      </c>
      <c r="Y218" s="2">
        <v>0</v>
      </c>
      <c r="Z218" s="2">
        <v>0</v>
      </c>
      <c r="AA218" s="115">
        <v>0</v>
      </c>
      <c r="AB218" s="48">
        <v>0</v>
      </c>
      <c r="AC218" s="2">
        <v>0</v>
      </c>
      <c r="AD218" s="2">
        <v>0</v>
      </c>
      <c r="AE218" s="2">
        <v>0</v>
      </c>
      <c r="AF218" s="2">
        <v>0</v>
      </c>
      <c r="AG218" s="115">
        <v>0</v>
      </c>
      <c r="AH218" s="4"/>
    </row>
    <row r="219" spans="1:34" ht="15">
      <c r="A219" s="4"/>
      <c r="B219" s="41">
        <f>B218+1</f>
        <v>60</v>
      </c>
      <c r="C219" s="42"/>
      <c r="D219" s="41"/>
      <c r="E219" s="39">
        <f>SUM(F219:AG219)</f>
        <v>0</v>
      </c>
      <c r="F219" s="2">
        <v>0</v>
      </c>
      <c r="G219" s="2">
        <v>0</v>
      </c>
      <c r="H219" s="2">
        <v>0</v>
      </c>
      <c r="I219" s="2">
        <v>0</v>
      </c>
      <c r="J219" s="115">
        <v>0</v>
      </c>
      <c r="K219" s="48">
        <v>0</v>
      </c>
      <c r="L219" s="2">
        <v>0</v>
      </c>
      <c r="M219" s="2">
        <v>0</v>
      </c>
      <c r="N219" s="2">
        <v>0</v>
      </c>
      <c r="O219" s="2">
        <v>0</v>
      </c>
      <c r="P219" s="115">
        <v>0</v>
      </c>
      <c r="Q219" s="48">
        <v>0</v>
      </c>
      <c r="R219" s="2">
        <v>0</v>
      </c>
      <c r="S219" s="2">
        <v>0</v>
      </c>
      <c r="T219" s="2">
        <v>0</v>
      </c>
      <c r="U219" s="115">
        <v>0</v>
      </c>
      <c r="V219" s="48">
        <v>0</v>
      </c>
      <c r="W219" s="2">
        <v>0</v>
      </c>
      <c r="X219" s="2">
        <v>0</v>
      </c>
      <c r="Y219" s="2">
        <v>0</v>
      </c>
      <c r="Z219" s="2">
        <v>0</v>
      </c>
      <c r="AA219" s="115">
        <v>0</v>
      </c>
      <c r="AB219" s="48">
        <v>0</v>
      </c>
      <c r="AC219" s="2">
        <v>0</v>
      </c>
      <c r="AD219" s="2">
        <v>0</v>
      </c>
      <c r="AE219" s="2">
        <v>0</v>
      </c>
      <c r="AF219" s="2">
        <v>0</v>
      </c>
      <c r="AG219" s="115">
        <v>0</v>
      </c>
      <c r="AH219" s="4"/>
    </row>
    <row r="220" spans="1:34" ht="15">
      <c r="A220" s="4"/>
      <c r="B220" s="41">
        <f>B219+1</f>
        <v>61</v>
      </c>
      <c r="C220" s="42"/>
      <c r="D220" s="41"/>
      <c r="E220" s="39">
        <f>SUM(F220:AG220)</f>
        <v>0</v>
      </c>
      <c r="F220" s="2">
        <v>0</v>
      </c>
      <c r="G220" s="2">
        <v>0</v>
      </c>
      <c r="H220" s="2">
        <v>0</v>
      </c>
      <c r="I220" s="2">
        <v>0</v>
      </c>
      <c r="J220" s="115">
        <v>0</v>
      </c>
      <c r="K220" s="48">
        <v>0</v>
      </c>
      <c r="L220" s="2">
        <v>0</v>
      </c>
      <c r="M220" s="2">
        <v>0</v>
      </c>
      <c r="N220" s="2">
        <v>0</v>
      </c>
      <c r="O220" s="2">
        <v>0</v>
      </c>
      <c r="P220" s="115">
        <v>0</v>
      </c>
      <c r="Q220" s="48">
        <v>0</v>
      </c>
      <c r="R220" s="2">
        <v>0</v>
      </c>
      <c r="S220" s="2">
        <v>0</v>
      </c>
      <c r="T220" s="2">
        <v>0</v>
      </c>
      <c r="U220" s="115">
        <v>0</v>
      </c>
      <c r="V220" s="48">
        <v>0</v>
      </c>
      <c r="W220" s="2">
        <v>0</v>
      </c>
      <c r="X220" s="2">
        <v>0</v>
      </c>
      <c r="Y220" s="2">
        <v>0</v>
      </c>
      <c r="Z220" s="2">
        <v>0</v>
      </c>
      <c r="AA220" s="115">
        <v>0</v>
      </c>
      <c r="AB220" s="48">
        <v>0</v>
      </c>
      <c r="AC220" s="2">
        <v>0</v>
      </c>
      <c r="AD220" s="2">
        <v>0</v>
      </c>
      <c r="AE220" s="2">
        <v>0</v>
      </c>
      <c r="AF220" s="2">
        <v>0</v>
      </c>
      <c r="AG220" s="115">
        <v>0</v>
      </c>
      <c r="AH220" s="4"/>
    </row>
    <row r="221" spans="1:34" ht="15">
      <c r="A221" s="4"/>
      <c r="B221" s="41">
        <f>B220+1</f>
        <v>62</v>
      </c>
      <c r="C221" s="40"/>
      <c r="D221" s="40"/>
      <c r="E221" s="143"/>
      <c r="F221" s="144"/>
      <c r="G221" s="144"/>
      <c r="H221" s="144"/>
      <c r="I221" s="144"/>
      <c r="J221" s="145"/>
      <c r="K221" s="101"/>
      <c r="L221" s="144"/>
      <c r="M221" s="144"/>
      <c r="N221" s="144"/>
      <c r="O221" s="144"/>
      <c r="P221" s="145"/>
      <c r="Q221" s="101"/>
      <c r="R221" s="144"/>
      <c r="S221" s="144"/>
      <c r="T221" s="144"/>
      <c r="U221" s="145"/>
      <c r="V221" s="101"/>
      <c r="W221" s="144"/>
      <c r="X221" s="144"/>
      <c r="Y221" s="144"/>
      <c r="Z221" s="144"/>
      <c r="AA221" s="145"/>
      <c r="AB221" s="101"/>
      <c r="AC221" s="144"/>
      <c r="AD221" s="144"/>
      <c r="AE221" s="144"/>
      <c r="AF221" s="144"/>
      <c r="AG221" s="145"/>
      <c r="AH221" s="4"/>
    </row>
    <row r="222" spans="1:34" ht="15.75">
      <c r="A222" s="4"/>
      <c r="B222" s="41">
        <f>B221+1</f>
        <v>63</v>
      </c>
      <c r="C222" s="14" t="s">
        <v>101</v>
      </c>
      <c r="D222" s="41" t="str">
        <f>"Ln "&amp;FIXED(+B209,0)&amp;"-"&amp;FIXED(+B213,0)&amp;"+"&amp;FIXED(+B214,0)&amp;"+"&amp;FIXED(+B215,0)&amp;"+"&amp;FIXED(+B217,0)</f>
        <v>Ln 52-55+56+57+58</v>
      </c>
      <c r="E222" s="68">
        <f aca="true" t="shared" si="42" ref="E222:AG222">E209-E213+E214+E215+SUM(E217:E221)</f>
        <v>-102603</v>
      </c>
      <c r="F222" s="68">
        <f t="shared" si="42"/>
        <v>0</v>
      </c>
      <c r="G222" s="69">
        <f t="shared" si="42"/>
        <v>0</v>
      </c>
      <c r="H222" s="69">
        <f t="shared" si="42"/>
        <v>-102603</v>
      </c>
      <c r="I222" s="69">
        <f t="shared" si="42"/>
        <v>0</v>
      </c>
      <c r="J222" s="70">
        <f t="shared" si="42"/>
        <v>0</v>
      </c>
      <c r="K222" s="68">
        <f t="shared" si="42"/>
        <v>0</v>
      </c>
      <c r="L222" s="69">
        <f t="shared" si="42"/>
        <v>0</v>
      </c>
      <c r="M222" s="69">
        <f t="shared" si="42"/>
        <v>0</v>
      </c>
      <c r="N222" s="69">
        <f t="shared" si="42"/>
        <v>0</v>
      </c>
      <c r="O222" s="69">
        <f t="shared" si="42"/>
        <v>0</v>
      </c>
      <c r="P222" s="70">
        <f t="shared" si="42"/>
        <v>0</v>
      </c>
      <c r="Q222" s="68">
        <f t="shared" si="42"/>
        <v>0</v>
      </c>
      <c r="R222" s="69">
        <f t="shared" si="42"/>
        <v>0</v>
      </c>
      <c r="S222" s="69">
        <f t="shared" si="42"/>
        <v>0</v>
      </c>
      <c r="T222" s="69">
        <f t="shared" si="42"/>
        <v>0</v>
      </c>
      <c r="U222" s="70">
        <f t="shared" si="42"/>
        <v>0</v>
      </c>
      <c r="V222" s="68">
        <f t="shared" si="42"/>
        <v>0</v>
      </c>
      <c r="W222" s="69">
        <f t="shared" si="42"/>
        <v>0</v>
      </c>
      <c r="X222" s="69">
        <f t="shared" si="42"/>
        <v>0</v>
      </c>
      <c r="Y222" s="69">
        <f t="shared" si="42"/>
        <v>0</v>
      </c>
      <c r="Z222" s="69">
        <f t="shared" si="42"/>
        <v>0</v>
      </c>
      <c r="AA222" s="70">
        <f t="shared" si="42"/>
        <v>0</v>
      </c>
      <c r="AB222" s="68">
        <f t="shared" si="42"/>
        <v>0</v>
      </c>
      <c r="AC222" s="69">
        <f t="shared" si="42"/>
        <v>0</v>
      </c>
      <c r="AD222" s="69">
        <f t="shared" si="42"/>
        <v>0</v>
      </c>
      <c r="AE222" s="69">
        <f t="shared" si="42"/>
        <v>0</v>
      </c>
      <c r="AF222" s="69">
        <f t="shared" si="42"/>
        <v>0</v>
      </c>
      <c r="AG222" s="70">
        <f t="shared" si="42"/>
        <v>0</v>
      </c>
      <c r="AH222" s="4"/>
    </row>
    <row r="223" spans="1:34" ht="15">
      <c r="A223" s="4"/>
      <c r="B223" s="82"/>
      <c r="C223" s="102"/>
      <c r="D223" s="102"/>
      <c r="E223" s="146"/>
      <c r="F223" s="88"/>
      <c r="G223" s="88"/>
      <c r="H223" s="88"/>
      <c r="I223" s="88"/>
      <c r="J223" s="103"/>
      <c r="K223" s="102"/>
      <c r="L223" s="88"/>
      <c r="M223" s="88"/>
      <c r="N223" s="88"/>
      <c r="O223" s="88"/>
      <c r="P223" s="103"/>
      <c r="Q223" s="102"/>
      <c r="R223" s="88"/>
      <c r="S223" s="88"/>
      <c r="T223" s="88"/>
      <c r="U223" s="103"/>
      <c r="V223" s="102"/>
      <c r="W223" s="88"/>
      <c r="X223" s="88"/>
      <c r="Y223" s="88"/>
      <c r="Z223" s="88"/>
      <c r="AA223" s="103"/>
      <c r="AB223" s="102"/>
      <c r="AC223" s="88"/>
      <c r="AD223" s="88"/>
      <c r="AE223" s="88"/>
      <c r="AF223" s="88"/>
      <c r="AG223" s="103"/>
      <c r="AH223" s="4"/>
    </row>
    <row r="224" spans="1:34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ht="15.75">
      <c r="A228" s="1" t="s">
        <v>166</v>
      </c>
      <c r="B228" s="8" t="str">
        <f>$B$340</f>
        <v>RAINIER VIEW WATER CO., INC.</v>
      </c>
      <c r="C228" s="9"/>
      <c r="D228" s="9"/>
      <c r="E228" s="9"/>
      <c r="F228" s="12"/>
      <c r="G228" s="12"/>
      <c r="H228" s="12"/>
      <c r="I228" s="12" t="str">
        <f>$G$340</f>
        <v>Company Rebuttal</v>
      </c>
      <c r="J228" s="105"/>
      <c r="K228" s="12"/>
      <c r="L228" s="12"/>
      <c r="M228" s="12"/>
      <c r="N228" s="12"/>
      <c r="O228" s="12" t="str">
        <f>$G$340</f>
        <v>Company Rebuttal</v>
      </c>
      <c r="P228" s="105"/>
      <c r="Q228" s="12"/>
      <c r="R228" s="12"/>
      <c r="S228" s="12"/>
      <c r="T228" s="12" t="str">
        <f>$G$340</f>
        <v>Company Rebuttal</v>
      </c>
      <c r="U228" s="105"/>
      <c r="V228" s="12"/>
      <c r="W228" s="12"/>
      <c r="X228" s="12"/>
      <c r="Y228" s="12"/>
      <c r="Z228" s="12" t="str">
        <f>$G$340</f>
        <v>Company Rebuttal</v>
      </c>
      <c r="AA228" s="105"/>
      <c r="AB228" s="12"/>
      <c r="AC228" s="12"/>
      <c r="AD228" s="12"/>
      <c r="AE228" s="12"/>
      <c r="AF228" s="12" t="str">
        <f>$G$340</f>
        <v>Company Rebuttal</v>
      </c>
      <c r="AG228" s="105"/>
      <c r="AH228" s="4"/>
    </row>
    <row r="229" spans="1:34" ht="15.75">
      <c r="A229" s="1"/>
      <c r="B229" s="19" t="s">
        <v>167</v>
      </c>
      <c r="C229" s="1"/>
      <c r="D229" s="1"/>
      <c r="E229" s="1"/>
      <c r="F229" s="20"/>
      <c r="G229" s="17"/>
      <c r="H229" s="17"/>
      <c r="I229" s="17" t="str">
        <f>$G$341</f>
        <v>Docket No. UW-010877</v>
      </c>
      <c r="J229" s="106"/>
      <c r="K229" s="17"/>
      <c r="L229" s="20"/>
      <c r="M229" s="17"/>
      <c r="N229" s="17"/>
      <c r="O229" s="17" t="str">
        <f>$G$341</f>
        <v>Docket No. UW-010877</v>
      </c>
      <c r="P229" s="106"/>
      <c r="Q229" s="17"/>
      <c r="R229" s="20"/>
      <c r="S229" s="17"/>
      <c r="T229" s="17" t="str">
        <f>$G$341</f>
        <v>Docket No. UW-010877</v>
      </c>
      <c r="U229" s="106"/>
      <c r="V229" s="17"/>
      <c r="W229" s="20"/>
      <c r="X229" s="17"/>
      <c r="Y229" s="17"/>
      <c r="Z229" s="17" t="str">
        <f>$G$341</f>
        <v>Docket No. UW-010877</v>
      </c>
      <c r="AA229" s="106"/>
      <c r="AB229" s="17"/>
      <c r="AC229" s="20"/>
      <c r="AD229" s="17"/>
      <c r="AE229" s="17"/>
      <c r="AF229" s="17" t="str">
        <f>$G$341</f>
        <v>Docket No. UW-010877</v>
      </c>
      <c r="AG229" s="106"/>
      <c r="AH229" s="4"/>
    </row>
    <row r="230" spans="1:34" ht="15.75">
      <c r="A230" s="1"/>
      <c r="B230" s="19" t="str">
        <f>$B$342</f>
        <v>FOR THE 12 MONTHS ENDED DECEMBER 31, 2000</v>
      </c>
      <c r="C230" s="4"/>
      <c r="D230" s="4"/>
      <c r="E230" s="1"/>
      <c r="F230" s="17"/>
      <c r="G230" s="17"/>
      <c r="H230" s="17"/>
      <c r="I230" s="3" t="s">
        <v>168</v>
      </c>
      <c r="J230" s="106"/>
      <c r="K230" s="17"/>
      <c r="L230" s="17"/>
      <c r="M230" s="17"/>
      <c r="N230" s="17"/>
      <c r="O230" s="3" t="s">
        <v>169</v>
      </c>
      <c r="P230" s="106"/>
      <c r="Q230" s="17"/>
      <c r="R230" s="17"/>
      <c r="S230" s="17"/>
      <c r="T230" s="3" t="s">
        <v>170</v>
      </c>
      <c r="U230" s="106"/>
      <c r="V230" s="17"/>
      <c r="W230" s="17"/>
      <c r="X230" s="17"/>
      <c r="Y230" s="17"/>
      <c r="Z230" s="3" t="s">
        <v>171</v>
      </c>
      <c r="AA230" s="106"/>
      <c r="AB230" s="17"/>
      <c r="AC230" s="17"/>
      <c r="AD230" s="17"/>
      <c r="AE230" s="17"/>
      <c r="AF230" s="3" t="s">
        <v>172</v>
      </c>
      <c r="AG230" s="106"/>
      <c r="AH230" s="4"/>
    </row>
    <row r="231" spans="1:34" ht="15.75">
      <c r="A231" s="1"/>
      <c r="B231" s="19"/>
      <c r="C231" s="4"/>
      <c r="D231" s="4"/>
      <c r="E231" s="1"/>
      <c r="F231" s="17"/>
      <c r="G231" s="17"/>
      <c r="H231" s="17"/>
      <c r="I231" s="17"/>
      <c r="J231" s="106"/>
      <c r="K231" s="17"/>
      <c r="L231" s="17"/>
      <c r="M231" s="17"/>
      <c r="N231" s="17"/>
      <c r="O231" s="17"/>
      <c r="P231" s="106"/>
      <c r="Q231" s="17"/>
      <c r="R231" s="17"/>
      <c r="S231" s="17"/>
      <c r="T231" s="17"/>
      <c r="U231" s="106"/>
      <c r="V231" s="17"/>
      <c r="W231" s="17"/>
      <c r="X231" s="17"/>
      <c r="Y231" s="17"/>
      <c r="Z231" s="17"/>
      <c r="AA231" s="106"/>
      <c r="AB231" s="17"/>
      <c r="AC231" s="17"/>
      <c r="AD231" s="17"/>
      <c r="AE231" s="17"/>
      <c r="AF231" s="17"/>
      <c r="AG231" s="106"/>
      <c r="AH231" s="4"/>
    </row>
    <row r="232" spans="1:34" ht="15.75">
      <c r="A232" s="1"/>
      <c r="B232" s="19"/>
      <c r="C232" s="17"/>
      <c r="D232" s="17"/>
      <c r="E232" s="22"/>
      <c r="F232" s="22" t="s">
        <v>173</v>
      </c>
      <c r="G232" s="22" t="s">
        <v>174</v>
      </c>
      <c r="H232" s="22" t="s">
        <v>175</v>
      </c>
      <c r="I232" s="22" t="s">
        <v>176</v>
      </c>
      <c r="J232" s="26" t="s">
        <v>177</v>
      </c>
      <c r="K232" s="22" t="s">
        <v>178</v>
      </c>
      <c r="L232" s="22" t="s">
        <v>179</v>
      </c>
      <c r="M232" s="22" t="s">
        <v>180</v>
      </c>
      <c r="N232" s="22" t="s">
        <v>181</v>
      </c>
      <c r="O232" s="22" t="s">
        <v>182</v>
      </c>
      <c r="P232" s="26" t="s">
        <v>183</v>
      </c>
      <c r="Q232" s="22" t="s">
        <v>184</v>
      </c>
      <c r="R232" s="22" t="s">
        <v>185</v>
      </c>
      <c r="S232" s="22" t="s">
        <v>186</v>
      </c>
      <c r="T232" s="22" t="s">
        <v>187</v>
      </c>
      <c r="U232" s="26" t="s">
        <v>188</v>
      </c>
      <c r="V232" s="22" t="s">
        <v>189</v>
      </c>
      <c r="W232" s="22" t="s">
        <v>190</v>
      </c>
      <c r="X232" s="22" t="s">
        <v>191</v>
      </c>
      <c r="Y232" s="22" t="s">
        <v>191</v>
      </c>
      <c r="Z232" s="22" t="s">
        <v>191</v>
      </c>
      <c r="AA232" s="26" t="s">
        <v>191</v>
      </c>
      <c r="AB232" s="22" t="s">
        <v>191</v>
      </c>
      <c r="AC232" s="22" t="s">
        <v>191</v>
      </c>
      <c r="AD232" s="22" t="s">
        <v>191</v>
      </c>
      <c r="AE232" s="22" t="s">
        <v>191</v>
      </c>
      <c r="AF232" s="22" t="s">
        <v>191</v>
      </c>
      <c r="AG232" s="26" t="s">
        <v>191</v>
      </c>
      <c r="AH232" s="4"/>
    </row>
    <row r="233" spans="1:34" ht="15.75">
      <c r="A233" s="1"/>
      <c r="B233" s="19"/>
      <c r="C233" s="17"/>
      <c r="D233" s="17"/>
      <c r="E233" s="24" t="s">
        <v>9</v>
      </c>
      <c r="F233" s="22"/>
      <c r="G233" s="22" t="s">
        <v>192</v>
      </c>
      <c r="H233" s="22" t="s">
        <v>193</v>
      </c>
      <c r="I233" s="22" t="s">
        <v>194</v>
      </c>
      <c r="J233" s="26" t="s">
        <v>195</v>
      </c>
      <c r="K233" s="4"/>
      <c r="L233" s="22"/>
      <c r="M233" s="17" t="s">
        <v>196</v>
      </c>
      <c r="N233" s="22" t="s">
        <v>197</v>
      </c>
      <c r="O233" s="24"/>
      <c r="P233" s="26" t="s">
        <v>198</v>
      </c>
      <c r="Q233" s="22" t="s">
        <v>199</v>
      </c>
      <c r="R233" s="22" t="s">
        <v>200</v>
      </c>
      <c r="S233" s="17"/>
      <c r="T233" s="22"/>
      <c r="U233" s="26"/>
      <c r="V233" s="22"/>
      <c r="W233" s="22"/>
      <c r="X233" s="17"/>
      <c r="Y233" s="17"/>
      <c r="Z233" s="17"/>
      <c r="AA233" s="106"/>
      <c r="AB233" s="22"/>
      <c r="AC233" s="22"/>
      <c r="AD233" s="22"/>
      <c r="AE233" s="22"/>
      <c r="AF233" s="22"/>
      <c r="AG233" s="106"/>
      <c r="AH233" s="4"/>
    </row>
    <row r="234" spans="1:34" ht="15.75">
      <c r="A234" s="1"/>
      <c r="B234" s="25" t="s">
        <v>14</v>
      </c>
      <c r="C234" s="17"/>
      <c r="D234" s="17"/>
      <c r="E234" s="24" t="s">
        <v>13</v>
      </c>
      <c r="F234" s="22" t="s">
        <v>199</v>
      </c>
      <c r="G234" s="22" t="s">
        <v>201</v>
      </c>
      <c r="H234" s="22" t="s">
        <v>202</v>
      </c>
      <c r="I234" s="22" t="s">
        <v>203</v>
      </c>
      <c r="J234" s="26" t="s">
        <v>204</v>
      </c>
      <c r="K234" s="22" t="s">
        <v>205</v>
      </c>
      <c r="L234" s="22" t="s">
        <v>206</v>
      </c>
      <c r="M234" s="22" t="s">
        <v>207</v>
      </c>
      <c r="N234" s="22" t="s">
        <v>208</v>
      </c>
      <c r="O234" s="22" t="s">
        <v>209</v>
      </c>
      <c r="P234" s="26" t="s">
        <v>210</v>
      </c>
      <c r="Q234" s="22" t="s">
        <v>211</v>
      </c>
      <c r="R234" s="22" t="s">
        <v>212</v>
      </c>
      <c r="S234" s="17"/>
      <c r="T234" s="22"/>
      <c r="U234" s="26"/>
      <c r="V234" s="22"/>
      <c r="W234" s="22"/>
      <c r="X234" s="17"/>
      <c r="Y234" s="17"/>
      <c r="Z234" s="17"/>
      <c r="AA234" s="106"/>
      <c r="AB234" s="22"/>
      <c r="AC234" s="22"/>
      <c r="AD234" s="22"/>
      <c r="AE234" s="22"/>
      <c r="AF234" s="22"/>
      <c r="AG234" s="106"/>
      <c r="AH234" s="4"/>
    </row>
    <row r="235" spans="1:34" ht="15.75">
      <c r="A235" s="1"/>
      <c r="B235" s="27" t="s">
        <v>18</v>
      </c>
      <c r="C235" s="28" t="s">
        <v>19</v>
      </c>
      <c r="D235" s="28" t="s">
        <v>20</v>
      </c>
      <c r="E235" s="29" t="s">
        <v>22</v>
      </c>
      <c r="F235" s="28" t="s">
        <v>213</v>
      </c>
      <c r="G235" s="28" t="s">
        <v>214</v>
      </c>
      <c r="H235" s="28" t="s">
        <v>215</v>
      </c>
      <c r="I235" s="28" t="s">
        <v>216</v>
      </c>
      <c r="J235" s="26" t="s">
        <v>217</v>
      </c>
      <c r="K235" s="22" t="s">
        <v>218</v>
      </c>
      <c r="L235" s="22" t="s">
        <v>204</v>
      </c>
      <c r="M235" s="22" t="s">
        <v>219</v>
      </c>
      <c r="N235" s="22" t="s">
        <v>220</v>
      </c>
      <c r="O235" s="28" t="s">
        <v>221</v>
      </c>
      <c r="P235" s="30" t="s">
        <v>222</v>
      </c>
      <c r="Q235" s="28" t="s">
        <v>223</v>
      </c>
      <c r="R235" s="28" t="s">
        <v>224</v>
      </c>
      <c r="S235" s="22"/>
      <c r="T235" s="22"/>
      <c r="U235" s="26"/>
      <c r="V235" s="22"/>
      <c r="W235" s="22"/>
      <c r="X235" s="17"/>
      <c r="Y235" s="17"/>
      <c r="Z235" s="17"/>
      <c r="AA235" s="106"/>
      <c r="AB235" s="22"/>
      <c r="AC235" s="22"/>
      <c r="AD235" s="22"/>
      <c r="AE235" s="22"/>
      <c r="AF235" s="22"/>
      <c r="AG235" s="106"/>
      <c r="AH235" s="4"/>
    </row>
    <row r="236" spans="1:34" ht="15.75">
      <c r="A236" s="1"/>
      <c r="B236" s="31"/>
      <c r="C236" s="32" t="s">
        <v>25</v>
      </c>
      <c r="D236" s="32" t="s">
        <v>26</v>
      </c>
      <c r="E236" s="32" t="s">
        <v>27</v>
      </c>
      <c r="F236" s="33" t="s">
        <v>28</v>
      </c>
      <c r="G236" s="33" t="s">
        <v>29</v>
      </c>
      <c r="H236" s="33" t="s">
        <v>30</v>
      </c>
      <c r="I236" s="33" t="s">
        <v>31</v>
      </c>
      <c r="J236" s="34" t="s">
        <v>32</v>
      </c>
      <c r="K236" s="31" t="s">
        <v>33</v>
      </c>
      <c r="L236" s="33" t="s">
        <v>140</v>
      </c>
      <c r="M236" s="33" t="s">
        <v>141</v>
      </c>
      <c r="N236" s="33" t="s">
        <v>142</v>
      </c>
      <c r="O236" s="33" t="s">
        <v>143</v>
      </c>
      <c r="P236" s="34" t="s">
        <v>144</v>
      </c>
      <c r="Q236" s="31" t="s">
        <v>145</v>
      </c>
      <c r="R236" s="33" t="s">
        <v>145</v>
      </c>
      <c r="S236" s="33" t="s">
        <v>146</v>
      </c>
      <c r="T236" s="33" t="s">
        <v>147</v>
      </c>
      <c r="U236" s="34" t="s">
        <v>144</v>
      </c>
      <c r="V236" s="31" t="s">
        <v>144</v>
      </c>
      <c r="W236" s="33" t="s">
        <v>148</v>
      </c>
      <c r="X236" s="33" t="s">
        <v>146</v>
      </c>
      <c r="Y236" s="33" t="s">
        <v>149</v>
      </c>
      <c r="Z236" s="33" t="s">
        <v>150</v>
      </c>
      <c r="AA236" s="34" t="s">
        <v>149</v>
      </c>
      <c r="AB236" s="107" t="s">
        <v>151</v>
      </c>
      <c r="AC236" s="108" t="s">
        <v>152</v>
      </c>
      <c r="AD236" s="108" t="s">
        <v>153</v>
      </c>
      <c r="AE236" s="108" t="s">
        <v>154</v>
      </c>
      <c r="AF236" s="108" t="s">
        <v>155</v>
      </c>
      <c r="AG236" s="109" t="s">
        <v>156</v>
      </c>
      <c r="AH236" s="4"/>
    </row>
    <row r="237" spans="1:34" ht="15">
      <c r="A237" s="1"/>
      <c r="B237" s="35"/>
      <c r="C237" s="36"/>
      <c r="D237" s="36"/>
      <c r="E237" s="36"/>
      <c r="F237" s="37"/>
      <c r="G237" s="37"/>
      <c r="H237" s="37"/>
      <c r="I237" s="37"/>
      <c r="J237" s="38"/>
      <c r="K237" s="35"/>
      <c r="L237" s="37"/>
      <c r="M237" s="37"/>
      <c r="N237" s="37"/>
      <c r="O237" s="37"/>
      <c r="P237" s="38"/>
      <c r="Q237" s="35"/>
      <c r="R237" s="37"/>
      <c r="S237" s="37"/>
      <c r="T237" s="37"/>
      <c r="U237" s="38"/>
      <c r="V237" s="35"/>
      <c r="W237" s="37"/>
      <c r="X237" s="37"/>
      <c r="Y237" s="37"/>
      <c r="Z237" s="37"/>
      <c r="AA237" s="38"/>
      <c r="AB237" s="35"/>
      <c r="AC237" s="37"/>
      <c r="AD237" s="37"/>
      <c r="AE237" s="37"/>
      <c r="AF237" s="37"/>
      <c r="AG237" s="38"/>
      <c r="AH237" s="4"/>
    </row>
    <row r="238" spans="1:34" ht="15.75">
      <c r="A238" s="1"/>
      <c r="B238" s="35"/>
      <c r="C238" s="110" t="s">
        <v>34</v>
      </c>
      <c r="D238" s="39"/>
      <c r="E238" s="39"/>
      <c r="F238" s="4"/>
      <c r="G238" s="4"/>
      <c r="H238" s="4"/>
      <c r="I238" s="4"/>
      <c r="J238" s="18"/>
      <c r="K238" s="40"/>
      <c r="L238" s="4"/>
      <c r="M238" s="4"/>
      <c r="N238" s="4"/>
      <c r="O238" s="4"/>
      <c r="P238" s="18"/>
      <c r="Q238" s="40"/>
      <c r="R238" s="4"/>
      <c r="S238" s="4"/>
      <c r="T238" s="4"/>
      <c r="U238" s="18"/>
      <c r="V238" s="40"/>
      <c r="W238" s="4"/>
      <c r="X238" s="4"/>
      <c r="Y238" s="4"/>
      <c r="Z238" s="4"/>
      <c r="AA238" s="18"/>
      <c r="AB238" s="40"/>
      <c r="AC238" s="4"/>
      <c r="AD238" s="4"/>
      <c r="AE238" s="4"/>
      <c r="AF238" s="4"/>
      <c r="AG238" s="18"/>
      <c r="AH238" s="4"/>
    </row>
    <row r="239" spans="1:34" ht="15">
      <c r="A239" s="1"/>
      <c r="B239" s="41">
        <v>1</v>
      </c>
      <c r="C239" s="111" t="s">
        <v>35</v>
      </c>
      <c r="D239" s="43" t="s">
        <v>36</v>
      </c>
      <c r="E239" s="112">
        <f>SUM(F239:AG239)</f>
        <v>0</v>
      </c>
      <c r="F239" s="113">
        <v>0</v>
      </c>
      <c r="G239" s="113">
        <v>0</v>
      </c>
      <c r="H239" s="113">
        <v>0</v>
      </c>
      <c r="I239" s="113">
        <v>0</v>
      </c>
      <c r="J239" s="114">
        <v>0</v>
      </c>
      <c r="K239" s="44">
        <v>0</v>
      </c>
      <c r="L239" s="113">
        <v>0</v>
      </c>
      <c r="M239" s="113">
        <v>0</v>
      </c>
      <c r="N239" s="113">
        <v>0</v>
      </c>
      <c r="O239" s="113">
        <v>0</v>
      </c>
      <c r="P239" s="114">
        <v>0</v>
      </c>
      <c r="Q239" s="44">
        <v>0</v>
      </c>
      <c r="R239" s="113">
        <v>0</v>
      </c>
      <c r="S239" s="113">
        <v>0</v>
      </c>
      <c r="T239" s="113">
        <v>0</v>
      </c>
      <c r="U239" s="114">
        <v>0</v>
      </c>
      <c r="V239" s="44">
        <v>0</v>
      </c>
      <c r="W239" s="113">
        <v>0</v>
      </c>
      <c r="X239" s="113">
        <v>0</v>
      </c>
      <c r="Y239" s="113">
        <v>0</v>
      </c>
      <c r="Z239" s="113">
        <v>0</v>
      </c>
      <c r="AA239" s="114">
        <v>0</v>
      </c>
      <c r="AB239" s="44">
        <v>0</v>
      </c>
      <c r="AC239" s="113">
        <v>0</v>
      </c>
      <c r="AD239" s="113">
        <v>0</v>
      </c>
      <c r="AE239" s="113">
        <v>0</v>
      </c>
      <c r="AF239" s="113">
        <v>0</v>
      </c>
      <c r="AG239" s="114">
        <v>0</v>
      </c>
      <c r="AH239" s="4"/>
    </row>
    <row r="240" spans="1:34" ht="15">
      <c r="A240" s="1"/>
      <c r="B240" s="41">
        <f>B239+1</f>
        <v>2</v>
      </c>
      <c r="C240" s="111" t="s">
        <v>37</v>
      </c>
      <c r="D240" s="43" t="s">
        <v>36</v>
      </c>
      <c r="E240" s="39">
        <f>SUM(F240:AG240)</f>
        <v>-45433</v>
      </c>
      <c r="F240" s="2">
        <v>0</v>
      </c>
      <c r="G240" s="2">
        <v>-45433</v>
      </c>
      <c r="H240" s="2">
        <v>0</v>
      </c>
      <c r="I240" s="2">
        <v>0</v>
      </c>
      <c r="J240" s="115">
        <v>0</v>
      </c>
      <c r="K240" s="48">
        <v>0</v>
      </c>
      <c r="L240" s="2">
        <v>0</v>
      </c>
      <c r="M240" s="2">
        <v>0</v>
      </c>
      <c r="N240" s="2">
        <v>0</v>
      </c>
      <c r="O240" s="2">
        <v>0</v>
      </c>
      <c r="P240" s="115">
        <v>0</v>
      </c>
      <c r="Q240" s="48">
        <v>0</v>
      </c>
      <c r="R240" s="2">
        <v>0</v>
      </c>
      <c r="S240" s="2">
        <v>0</v>
      </c>
      <c r="T240" s="2">
        <v>0</v>
      </c>
      <c r="U240" s="115">
        <v>0</v>
      </c>
      <c r="V240" s="48">
        <v>0</v>
      </c>
      <c r="W240" s="2">
        <v>0</v>
      </c>
      <c r="X240" s="2">
        <v>0</v>
      </c>
      <c r="Y240" s="2">
        <v>0</v>
      </c>
      <c r="Z240" s="2">
        <v>0</v>
      </c>
      <c r="AA240" s="115">
        <v>0</v>
      </c>
      <c r="AB240" s="48">
        <v>0</v>
      </c>
      <c r="AC240" s="2">
        <v>0</v>
      </c>
      <c r="AD240" s="2">
        <v>0</v>
      </c>
      <c r="AE240" s="2">
        <v>0</v>
      </c>
      <c r="AF240" s="2">
        <v>0</v>
      </c>
      <c r="AG240" s="115">
        <v>0</v>
      </c>
      <c r="AH240" s="4"/>
    </row>
    <row r="241" spans="1:34" ht="15">
      <c r="A241" s="1"/>
      <c r="B241" s="41">
        <f>B240+1</f>
        <v>3</v>
      </c>
      <c r="C241" s="111" t="s">
        <v>38</v>
      </c>
      <c r="D241" s="43" t="s">
        <v>36</v>
      </c>
      <c r="E241" s="39">
        <f>SUM(F241:AG241)</f>
        <v>0</v>
      </c>
      <c r="F241" s="2">
        <v>0</v>
      </c>
      <c r="G241" s="2">
        <v>0</v>
      </c>
      <c r="H241" s="2">
        <v>0</v>
      </c>
      <c r="I241" s="2">
        <v>0</v>
      </c>
      <c r="J241" s="115">
        <v>0</v>
      </c>
      <c r="K241" s="48">
        <v>0</v>
      </c>
      <c r="L241" s="2">
        <v>0</v>
      </c>
      <c r="M241" s="2">
        <v>0</v>
      </c>
      <c r="N241" s="2">
        <v>0</v>
      </c>
      <c r="O241" s="2">
        <v>0</v>
      </c>
      <c r="P241" s="115">
        <v>0</v>
      </c>
      <c r="Q241" s="48">
        <v>0</v>
      </c>
      <c r="R241" s="2">
        <v>0</v>
      </c>
      <c r="S241" s="2">
        <v>0</v>
      </c>
      <c r="T241" s="2">
        <v>0</v>
      </c>
      <c r="U241" s="115">
        <v>0</v>
      </c>
      <c r="V241" s="48">
        <v>0</v>
      </c>
      <c r="W241" s="2">
        <v>0</v>
      </c>
      <c r="X241" s="2">
        <v>0</v>
      </c>
      <c r="Y241" s="2">
        <v>0</v>
      </c>
      <c r="Z241" s="2">
        <v>0</v>
      </c>
      <c r="AA241" s="115">
        <v>0</v>
      </c>
      <c r="AB241" s="48">
        <v>0</v>
      </c>
      <c r="AC241" s="2">
        <v>0</v>
      </c>
      <c r="AD241" s="2">
        <v>0</v>
      </c>
      <c r="AE241" s="2">
        <v>0</v>
      </c>
      <c r="AF241" s="2">
        <v>0</v>
      </c>
      <c r="AG241" s="115">
        <v>0</v>
      </c>
      <c r="AH241" s="4"/>
    </row>
    <row r="242" spans="1:34" ht="15">
      <c r="A242" s="1"/>
      <c r="B242" s="41">
        <f>B241+1</f>
        <v>4</v>
      </c>
      <c r="C242" s="111" t="s">
        <v>39</v>
      </c>
      <c r="D242" s="43" t="s">
        <v>36</v>
      </c>
      <c r="E242" s="39">
        <f>SUM(F242:AG242)</f>
        <v>0</v>
      </c>
      <c r="F242" s="2">
        <v>0</v>
      </c>
      <c r="G242" s="2">
        <v>0</v>
      </c>
      <c r="H242" s="2">
        <v>0</v>
      </c>
      <c r="I242" s="2">
        <v>0</v>
      </c>
      <c r="J242" s="115">
        <v>0</v>
      </c>
      <c r="K242" s="48">
        <v>0</v>
      </c>
      <c r="L242" s="2">
        <v>0</v>
      </c>
      <c r="M242" s="2">
        <v>0</v>
      </c>
      <c r="N242" s="2">
        <v>0</v>
      </c>
      <c r="O242" s="2">
        <v>0</v>
      </c>
      <c r="P242" s="115">
        <v>0</v>
      </c>
      <c r="Q242" s="48">
        <v>0</v>
      </c>
      <c r="R242" s="2">
        <v>0</v>
      </c>
      <c r="S242" s="2">
        <v>0</v>
      </c>
      <c r="T242" s="2">
        <v>0</v>
      </c>
      <c r="U242" s="115">
        <v>0</v>
      </c>
      <c r="V242" s="48">
        <v>0</v>
      </c>
      <c r="W242" s="2">
        <v>0</v>
      </c>
      <c r="X242" s="2">
        <v>0</v>
      </c>
      <c r="Y242" s="2">
        <v>0</v>
      </c>
      <c r="Z242" s="2">
        <v>0</v>
      </c>
      <c r="AA242" s="115">
        <v>0</v>
      </c>
      <c r="AB242" s="48">
        <v>0</v>
      </c>
      <c r="AC242" s="2">
        <v>0</v>
      </c>
      <c r="AD242" s="2">
        <v>0</v>
      </c>
      <c r="AE242" s="2">
        <v>0</v>
      </c>
      <c r="AF242" s="2">
        <v>0</v>
      </c>
      <c r="AG242" s="115">
        <v>0</v>
      </c>
      <c r="AH242" s="4"/>
    </row>
    <row r="243" spans="1:34" ht="15">
      <c r="A243" s="1"/>
      <c r="B243" s="41">
        <f>B242+1</f>
        <v>5</v>
      </c>
      <c r="C243" s="111" t="s">
        <v>40</v>
      </c>
      <c r="D243" s="43" t="str">
        <f>"Ln "&amp;FIXED(+B239,0)&amp;"+"&amp;FIXED(+B240,0)&amp;"+"&amp;FIXED(+B241,0)&amp;"+"&amp;FIXED(+B242,0)</f>
        <v>Ln 1+2+3+4</v>
      </c>
      <c r="E243" s="116">
        <f aca="true" t="shared" si="43" ref="E243:AG243">SUM(E239:E242)</f>
        <v>-45433</v>
      </c>
      <c r="F243" s="99">
        <f t="shared" si="43"/>
        <v>0</v>
      </c>
      <c r="G243" s="99">
        <f t="shared" si="43"/>
        <v>-45433</v>
      </c>
      <c r="H243" s="99">
        <f t="shared" si="43"/>
        <v>0</v>
      </c>
      <c r="I243" s="99">
        <f t="shared" si="43"/>
        <v>0</v>
      </c>
      <c r="J243" s="100">
        <f t="shared" si="43"/>
        <v>0</v>
      </c>
      <c r="K243" s="52">
        <f t="shared" si="43"/>
        <v>0</v>
      </c>
      <c r="L243" s="99">
        <f t="shared" si="43"/>
        <v>0</v>
      </c>
      <c r="M243" s="99">
        <f t="shared" si="43"/>
        <v>0</v>
      </c>
      <c r="N243" s="99">
        <f t="shared" si="43"/>
        <v>0</v>
      </c>
      <c r="O243" s="99">
        <f t="shared" si="43"/>
        <v>0</v>
      </c>
      <c r="P243" s="100">
        <f t="shared" si="43"/>
        <v>0</v>
      </c>
      <c r="Q243" s="52">
        <f t="shared" si="43"/>
        <v>0</v>
      </c>
      <c r="R243" s="99">
        <f t="shared" si="43"/>
        <v>0</v>
      </c>
      <c r="S243" s="99">
        <f t="shared" si="43"/>
        <v>0</v>
      </c>
      <c r="T243" s="99">
        <f t="shared" si="43"/>
        <v>0</v>
      </c>
      <c r="U243" s="100">
        <f t="shared" si="43"/>
        <v>0</v>
      </c>
      <c r="V243" s="52">
        <f t="shared" si="43"/>
        <v>0</v>
      </c>
      <c r="W243" s="99">
        <f t="shared" si="43"/>
        <v>0</v>
      </c>
      <c r="X243" s="99">
        <f t="shared" si="43"/>
        <v>0</v>
      </c>
      <c r="Y243" s="99">
        <f t="shared" si="43"/>
        <v>0</v>
      </c>
      <c r="Z243" s="99">
        <f t="shared" si="43"/>
        <v>0</v>
      </c>
      <c r="AA243" s="100">
        <f t="shared" si="43"/>
        <v>0</v>
      </c>
      <c r="AB243" s="52">
        <f t="shared" si="43"/>
        <v>0</v>
      </c>
      <c r="AC243" s="99">
        <f t="shared" si="43"/>
        <v>0</v>
      </c>
      <c r="AD243" s="99">
        <f t="shared" si="43"/>
        <v>0</v>
      </c>
      <c r="AE243" s="99">
        <f t="shared" si="43"/>
        <v>0</v>
      </c>
      <c r="AF243" s="99">
        <f t="shared" si="43"/>
        <v>0</v>
      </c>
      <c r="AG243" s="100">
        <f t="shared" si="43"/>
        <v>0</v>
      </c>
      <c r="AH243" s="4"/>
    </row>
    <row r="244" spans="1:34" ht="15">
      <c r="A244" s="1"/>
      <c r="B244" s="41">
        <f>B243+1</f>
        <v>6</v>
      </c>
      <c r="C244" s="111" t="s">
        <v>41</v>
      </c>
      <c r="D244" s="43" t="s">
        <v>36</v>
      </c>
      <c r="E244" s="39">
        <f>SUM(F244:AG244)</f>
        <v>0</v>
      </c>
      <c r="F244" s="1">
        <v>0</v>
      </c>
      <c r="G244" s="1">
        <v>0</v>
      </c>
      <c r="H244" s="1">
        <v>0</v>
      </c>
      <c r="I244" s="1">
        <v>0</v>
      </c>
      <c r="J244" s="67">
        <v>0</v>
      </c>
      <c r="K244" s="42">
        <v>0</v>
      </c>
      <c r="L244" s="1">
        <v>0</v>
      </c>
      <c r="M244" s="1">
        <v>0</v>
      </c>
      <c r="N244" s="1">
        <v>0</v>
      </c>
      <c r="O244" s="1">
        <v>0</v>
      </c>
      <c r="P244" s="67">
        <v>0</v>
      </c>
      <c r="Q244" s="42">
        <v>0</v>
      </c>
      <c r="R244" s="1">
        <v>0</v>
      </c>
      <c r="S244" s="1">
        <v>0</v>
      </c>
      <c r="T244" s="1">
        <v>0</v>
      </c>
      <c r="U244" s="67">
        <v>0</v>
      </c>
      <c r="V244" s="42">
        <v>0</v>
      </c>
      <c r="W244" s="1">
        <v>0</v>
      </c>
      <c r="X244" s="1">
        <v>0</v>
      </c>
      <c r="Y244" s="1">
        <v>0</v>
      </c>
      <c r="Z244" s="1">
        <v>0</v>
      </c>
      <c r="AA244" s="67">
        <v>0</v>
      </c>
      <c r="AB244" s="42">
        <v>0</v>
      </c>
      <c r="AC244" s="1">
        <v>0</v>
      </c>
      <c r="AD244" s="1">
        <v>0</v>
      </c>
      <c r="AE244" s="1">
        <v>0</v>
      </c>
      <c r="AF244" s="1">
        <v>0</v>
      </c>
      <c r="AG244" s="67">
        <v>0</v>
      </c>
      <c r="AH244" s="4"/>
    </row>
    <row r="245" spans="1:34" ht="15">
      <c r="A245" s="1"/>
      <c r="B245" s="41"/>
      <c r="C245" s="111"/>
      <c r="D245" s="43"/>
      <c r="E245" s="111"/>
      <c r="F245" s="1"/>
      <c r="G245" s="1"/>
      <c r="H245" s="1"/>
      <c r="I245" s="1"/>
      <c r="J245" s="67"/>
      <c r="K245" s="42"/>
      <c r="L245" s="1"/>
      <c r="M245" s="1"/>
      <c r="N245" s="1"/>
      <c r="O245" s="1"/>
      <c r="P245" s="67"/>
      <c r="Q245" s="42"/>
      <c r="R245" s="1"/>
      <c r="S245" s="1"/>
      <c r="T245" s="1"/>
      <c r="U245" s="67"/>
      <c r="V245" s="42"/>
      <c r="W245" s="1"/>
      <c r="X245" s="1"/>
      <c r="Y245" s="1"/>
      <c r="Z245" s="1"/>
      <c r="AA245" s="67"/>
      <c r="AB245" s="42"/>
      <c r="AC245" s="1"/>
      <c r="AD245" s="1"/>
      <c r="AE245" s="1"/>
      <c r="AF245" s="1"/>
      <c r="AG245" s="67"/>
      <c r="AH245" s="4"/>
    </row>
    <row r="246" spans="1:34" ht="15.75">
      <c r="A246" s="1"/>
      <c r="B246" s="41">
        <f>B244+1</f>
        <v>7</v>
      </c>
      <c r="C246" s="110" t="s">
        <v>42</v>
      </c>
      <c r="D246" s="43" t="str">
        <f>"Ln "&amp;FIXED(+B243,0)&amp;"+"&amp;FIXED(+B244,0)</f>
        <v>Ln 5+6</v>
      </c>
      <c r="E246" s="117">
        <f aca="true" t="shared" si="44" ref="E246:AG246">E243+E244</f>
        <v>-45433</v>
      </c>
      <c r="F246" s="57">
        <f t="shared" si="44"/>
        <v>0</v>
      </c>
      <c r="G246" s="57">
        <f t="shared" si="44"/>
        <v>-45433</v>
      </c>
      <c r="H246" s="57">
        <f t="shared" si="44"/>
        <v>0</v>
      </c>
      <c r="I246" s="57">
        <f t="shared" si="44"/>
        <v>0</v>
      </c>
      <c r="J246" s="58">
        <f t="shared" si="44"/>
        <v>0</v>
      </c>
      <c r="K246" s="8">
        <f t="shared" si="44"/>
        <v>0</v>
      </c>
      <c r="L246" s="57">
        <f t="shared" si="44"/>
        <v>0</v>
      </c>
      <c r="M246" s="57">
        <f t="shared" si="44"/>
        <v>0</v>
      </c>
      <c r="N246" s="57">
        <f t="shared" si="44"/>
        <v>0</v>
      </c>
      <c r="O246" s="57">
        <f t="shared" si="44"/>
        <v>0</v>
      </c>
      <c r="P246" s="58">
        <f t="shared" si="44"/>
        <v>0</v>
      </c>
      <c r="Q246" s="8">
        <f t="shared" si="44"/>
        <v>0</v>
      </c>
      <c r="R246" s="57">
        <f t="shared" si="44"/>
        <v>0</v>
      </c>
      <c r="S246" s="57">
        <f t="shared" si="44"/>
        <v>0</v>
      </c>
      <c r="T246" s="57">
        <f t="shared" si="44"/>
        <v>0</v>
      </c>
      <c r="U246" s="58">
        <f t="shared" si="44"/>
        <v>0</v>
      </c>
      <c r="V246" s="8">
        <f t="shared" si="44"/>
        <v>0</v>
      </c>
      <c r="W246" s="57">
        <f t="shared" si="44"/>
        <v>0</v>
      </c>
      <c r="X246" s="57">
        <f t="shared" si="44"/>
        <v>0</v>
      </c>
      <c r="Y246" s="57">
        <f t="shared" si="44"/>
        <v>0</v>
      </c>
      <c r="Z246" s="57">
        <f t="shared" si="44"/>
        <v>0</v>
      </c>
      <c r="AA246" s="58">
        <f t="shared" si="44"/>
        <v>0</v>
      </c>
      <c r="AB246" s="8">
        <f t="shared" si="44"/>
        <v>0</v>
      </c>
      <c r="AC246" s="57">
        <f t="shared" si="44"/>
        <v>0</v>
      </c>
      <c r="AD246" s="57">
        <f t="shared" si="44"/>
        <v>0</v>
      </c>
      <c r="AE246" s="57">
        <f t="shared" si="44"/>
        <v>0</v>
      </c>
      <c r="AF246" s="57">
        <f t="shared" si="44"/>
        <v>0</v>
      </c>
      <c r="AG246" s="58">
        <f t="shared" si="44"/>
        <v>0</v>
      </c>
      <c r="AH246" s="4"/>
    </row>
    <row r="247" spans="1:34" ht="15.75">
      <c r="A247" s="1"/>
      <c r="B247" s="41"/>
      <c r="C247" s="110"/>
      <c r="D247" s="43"/>
      <c r="E247" s="117"/>
      <c r="F247" s="57"/>
      <c r="G247" s="57"/>
      <c r="H247" s="57"/>
      <c r="I247" s="57"/>
      <c r="J247" s="58"/>
      <c r="K247" s="8"/>
      <c r="L247" s="57"/>
      <c r="M247" s="57"/>
      <c r="N247" s="57"/>
      <c r="O247" s="57"/>
      <c r="P247" s="58"/>
      <c r="Q247" s="8"/>
      <c r="R247" s="57"/>
      <c r="S247" s="57"/>
      <c r="T247" s="57"/>
      <c r="U247" s="58"/>
      <c r="V247" s="8"/>
      <c r="W247" s="57"/>
      <c r="X247" s="57"/>
      <c r="Y247" s="57"/>
      <c r="Z247" s="57"/>
      <c r="AA247" s="58"/>
      <c r="AB247" s="8"/>
      <c r="AC247" s="57"/>
      <c r="AD247" s="57"/>
      <c r="AE247" s="57"/>
      <c r="AF247" s="57"/>
      <c r="AG247" s="58"/>
      <c r="AH247" s="4"/>
    </row>
    <row r="248" spans="1:34" ht="15.75">
      <c r="A248" s="1"/>
      <c r="B248" s="35"/>
      <c r="C248" s="110" t="s">
        <v>43</v>
      </c>
      <c r="D248" s="39"/>
      <c r="E248" s="39"/>
      <c r="F248" s="4"/>
      <c r="G248" s="4"/>
      <c r="H248" s="4"/>
      <c r="I248" s="4"/>
      <c r="J248" s="18"/>
      <c r="K248" s="40"/>
      <c r="L248" s="4"/>
      <c r="M248" s="4"/>
      <c r="N248" s="4"/>
      <c r="O248" s="4"/>
      <c r="P248" s="18"/>
      <c r="Q248" s="40"/>
      <c r="R248" s="4"/>
      <c r="S248" s="4"/>
      <c r="T248" s="4"/>
      <c r="U248" s="18"/>
      <c r="V248" s="40"/>
      <c r="W248" s="4"/>
      <c r="X248" s="4"/>
      <c r="Y248" s="4"/>
      <c r="Z248" s="4"/>
      <c r="AA248" s="18"/>
      <c r="AB248" s="40"/>
      <c r="AC248" s="4"/>
      <c r="AD248" s="4"/>
      <c r="AE248" s="4"/>
      <c r="AF248" s="4"/>
      <c r="AG248" s="18"/>
      <c r="AH248" s="4"/>
    </row>
    <row r="249" spans="1:34" ht="15">
      <c r="A249" s="1"/>
      <c r="B249" s="41">
        <f>B246+1</f>
        <v>8</v>
      </c>
      <c r="C249" s="111" t="s">
        <v>44</v>
      </c>
      <c r="D249" s="43" t="s">
        <v>36</v>
      </c>
      <c r="E249" s="39">
        <f aca="true" t="shared" si="45" ref="E249:E269">SUM(F249:AG249)</f>
        <v>133056</v>
      </c>
      <c r="F249" s="2">
        <v>133056</v>
      </c>
      <c r="G249" s="2">
        <v>0</v>
      </c>
      <c r="H249" s="2">
        <v>0</v>
      </c>
      <c r="I249" s="2">
        <v>0</v>
      </c>
      <c r="J249" s="115">
        <v>0</v>
      </c>
      <c r="K249" s="48">
        <v>0</v>
      </c>
      <c r="L249" s="2">
        <v>0</v>
      </c>
      <c r="M249" s="2">
        <v>0</v>
      </c>
      <c r="N249" s="2">
        <v>0</v>
      </c>
      <c r="O249" s="2">
        <v>0</v>
      </c>
      <c r="P249" s="115">
        <v>0</v>
      </c>
      <c r="Q249" s="48">
        <v>0</v>
      </c>
      <c r="R249" s="2">
        <v>0</v>
      </c>
      <c r="S249" s="2">
        <v>0</v>
      </c>
      <c r="T249" s="2">
        <v>0</v>
      </c>
      <c r="U249" s="115">
        <v>0</v>
      </c>
      <c r="V249" s="48">
        <v>0</v>
      </c>
      <c r="W249" s="2">
        <v>0</v>
      </c>
      <c r="X249" s="2">
        <v>0</v>
      </c>
      <c r="Y249" s="2">
        <v>0</v>
      </c>
      <c r="Z249" s="2">
        <v>0</v>
      </c>
      <c r="AA249" s="115">
        <v>0</v>
      </c>
      <c r="AB249" s="48">
        <v>0</v>
      </c>
      <c r="AC249" s="2">
        <v>0</v>
      </c>
      <c r="AD249" s="2">
        <v>0</v>
      </c>
      <c r="AE249" s="2">
        <v>0</v>
      </c>
      <c r="AF249" s="2">
        <v>0</v>
      </c>
      <c r="AG249" s="115">
        <v>0</v>
      </c>
      <c r="AH249" s="4"/>
    </row>
    <row r="250" spans="1:34" ht="15">
      <c r="A250" s="1"/>
      <c r="B250" s="41">
        <f aca="true" t="shared" si="46" ref="B250:B270">B249+1</f>
        <v>9</v>
      </c>
      <c r="C250" s="111" t="s">
        <v>45</v>
      </c>
      <c r="D250" s="43" t="s">
        <v>36</v>
      </c>
      <c r="E250" s="39">
        <f t="shared" si="45"/>
        <v>5800</v>
      </c>
      <c r="F250" s="2">
        <v>0</v>
      </c>
      <c r="G250" s="2">
        <v>0</v>
      </c>
      <c r="H250" s="2">
        <v>0</v>
      </c>
      <c r="I250" s="2">
        <v>0</v>
      </c>
      <c r="J250" s="115">
        <v>0</v>
      </c>
      <c r="K250" s="48">
        <v>0</v>
      </c>
      <c r="L250" s="2">
        <v>0</v>
      </c>
      <c r="M250" s="2">
        <v>0</v>
      </c>
      <c r="N250" s="2">
        <v>0</v>
      </c>
      <c r="O250" s="2">
        <v>0</v>
      </c>
      <c r="P250" s="115">
        <v>0</v>
      </c>
      <c r="Q250" s="2">
        <v>5800</v>
      </c>
      <c r="R250" s="2">
        <v>0</v>
      </c>
      <c r="S250" s="2">
        <v>0</v>
      </c>
      <c r="T250" s="2">
        <v>0</v>
      </c>
      <c r="U250" s="115">
        <v>0</v>
      </c>
      <c r="V250" s="48">
        <v>0</v>
      </c>
      <c r="W250" s="2">
        <v>0</v>
      </c>
      <c r="X250" s="2">
        <v>0</v>
      </c>
      <c r="Y250" s="2">
        <v>0</v>
      </c>
      <c r="Z250" s="2">
        <v>0</v>
      </c>
      <c r="AA250" s="115">
        <v>0</v>
      </c>
      <c r="AB250" s="48">
        <v>0</v>
      </c>
      <c r="AC250" s="2">
        <v>0</v>
      </c>
      <c r="AD250" s="2">
        <v>0</v>
      </c>
      <c r="AE250" s="2">
        <v>0</v>
      </c>
      <c r="AF250" s="2">
        <v>0</v>
      </c>
      <c r="AG250" s="115">
        <v>0</v>
      </c>
      <c r="AH250" s="4"/>
    </row>
    <row r="251" spans="1:34" ht="15">
      <c r="A251" s="1"/>
      <c r="B251" s="41">
        <f t="shared" si="46"/>
        <v>10</v>
      </c>
      <c r="C251" s="111" t="s">
        <v>46</v>
      </c>
      <c r="D251" s="43" t="s">
        <v>36</v>
      </c>
      <c r="E251" s="39">
        <f t="shared" si="45"/>
        <v>49798</v>
      </c>
      <c r="F251" s="2">
        <v>0</v>
      </c>
      <c r="G251" s="2">
        <v>0</v>
      </c>
      <c r="H251" s="2">
        <v>49798</v>
      </c>
      <c r="I251" s="2">
        <v>0</v>
      </c>
      <c r="J251" s="115">
        <v>0</v>
      </c>
      <c r="K251" s="48">
        <v>0</v>
      </c>
      <c r="L251" s="2">
        <v>0</v>
      </c>
      <c r="M251" s="2">
        <v>0</v>
      </c>
      <c r="N251" s="2">
        <v>0</v>
      </c>
      <c r="O251" s="2">
        <v>0</v>
      </c>
      <c r="P251" s="115">
        <v>0</v>
      </c>
      <c r="Q251" s="48">
        <v>0</v>
      </c>
      <c r="R251" s="2">
        <v>0</v>
      </c>
      <c r="S251" s="2">
        <v>0</v>
      </c>
      <c r="T251" s="2">
        <v>0</v>
      </c>
      <c r="U251" s="115">
        <v>0</v>
      </c>
      <c r="V251" s="48">
        <v>0</v>
      </c>
      <c r="W251" s="2">
        <v>0</v>
      </c>
      <c r="X251" s="2">
        <v>0</v>
      </c>
      <c r="Y251" s="2">
        <v>0</v>
      </c>
      <c r="Z251" s="2">
        <v>0</v>
      </c>
      <c r="AA251" s="115">
        <v>0</v>
      </c>
      <c r="AB251" s="48">
        <v>0</v>
      </c>
      <c r="AC251" s="2">
        <v>0</v>
      </c>
      <c r="AD251" s="2">
        <v>0</v>
      </c>
      <c r="AE251" s="2">
        <v>0</v>
      </c>
      <c r="AF251" s="2">
        <v>0</v>
      </c>
      <c r="AG251" s="115">
        <v>0</v>
      </c>
      <c r="AH251" s="4"/>
    </row>
    <row r="252" spans="1:34" ht="15">
      <c r="A252" s="1"/>
      <c r="B252" s="41">
        <f t="shared" si="46"/>
        <v>11</v>
      </c>
      <c r="C252" s="111" t="s">
        <v>47</v>
      </c>
      <c r="D252" s="43" t="s">
        <v>36</v>
      </c>
      <c r="E252" s="39">
        <f t="shared" si="45"/>
        <v>46345</v>
      </c>
      <c r="F252" s="2">
        <v>0</v>
      </c>
      <c r="G252" s="2">
        <v>0</v>
      </c>
      <c r="H252" s="2">
        <v>0</v>
      </c>
      <c r="I252" s="2">
        <v>0</v>
      </c>
      <c r="J252" s="115">
        <v>0</v>
      </c>
      <c r="K252" s="48">
        <v>0</v>
      </c>
      <c r="L252" s="2">
        <v>46345</v>
      </c>
      <c r="M252" s="2">
        <v>0</v>
      </c>
      <c r="N252" s="2">
        <v>0</v>
      </c>
      <c r="O252" s="2">
        <v>0</v>
      </c>
      <c r="P252" s="115">
        <v>0</v>
      </c>
      <c r="Q252" s="48">
        <v>0</v>
      </c>
      <c r="R252" s="2">
        <v>0</v>
      </c>
      <c r="S252" s="2">
        <v>0</v>
      </c>
      <c r="T252" s="2">
        <v>0</v>
      </c>
      <c r="U252" s="115">
        <v>0</v>
      </c>
      <c r="V252" s="48">
        <v>0</v>
      </c>
      <c r="W252" s="2">
        <v>0</v>
      </c>
      <c r="X252" s="2">
        <v>0</v>
      </c>
      <c r="Y252" s="2">
        <v>0</v>
      </c>
      <c r="Z252" s="2">
        <v>0</v>
      </c>
      <c r="AA252" s="115">
        <v>0</v>
      </c>
      <c r="AB252" s="48">
        <v>0</v>
      </c>
      <c r="AC252" s="2">
        <v>0</v>
      </c>
      <c r="AD252" s="2">
        <v>0</v>
      </c>
      <c r="AE252" s="2">
        <v>0</v>
      </c>
      <c r="AF252" s="2">
        <v>0</v>
      </c>
      <c r="AG252" s="115">
        <v>0</v>
      </c>
      <c r="AH252" s="4"/>
    </row>
    <row r="253" spans="1:34" ht="15">
      <c r="A253" s="1"/>
      <c r="B253" s="41">
        <f t="shared" si="46"/>
        <v>12</v>
      </c>
      <c r="C253" s="111" t="s">
        <v>48</v>
      </c>
      <c r="D253" s="43" t="s">
        <v>36</v>
      </c>
      <c r="E253" s="39">
        <f t="shared" si="45"/>
        <v>0</v>
      </c>
      <c r="F253" s="1">
        <v>0</v>
      </c>
      <c r="G253" s="1">
        <v>0</v>
      </c>
      <c r="H253" s="1">
        <v>0</v>
      </c>
      <c r="I253" s="1">
        <v>0</v>
      </c>
      <c r="J253" s="67">
        <v>0</v>
      </c>
      <c r="K253" s="42">
        <v>0</v>
      </c>
      <c r="L253" s="1">
        <v>0</v>
      </c>
      <c r="M253" s="1">
        <v>0</v>
      </c>
      <c r="N253" s="1">
        <v>0</v>
      </c>
      <c r="O253" s="1">
        <v>0</v>
      </c>
      <c r="P253" s="67">
        <v>0</v>
      </c>
      <c r="Q253" s="42">
        <v>0</v>
      </c>
      <c r="R253" s="1">
        <v>0</v>
      </c>
      <c r="S253" s="1">
        <v>0</v>
      </c>
      <c r="T253" s="1">
        <v>0</v>
      </c>
      <c r="U253" s="67">
        <v>0</v>
      </c>
      <c r="V253" s="42">
        <v>0</v>
      </c>
      <c r="W253" s="1">
        <v>0</v>
      </c>
      <c r="X253" s="1">
        <v>0</v>
      </c>
      <c r="Y253" s="1">
        <v>0</v>
      </c>
      <c r="Z253" s="1">
        <v>0</v>
      </c>
      <c r="AA253" s="67">
        <v>0</v>
      </c>
      <c r="AB253" s="42">
        <v>0</v>
      </c>
      <c r="AC253" s="1">
        <v>0</v>
      </c>
      <c r="AD253" s="1">
        <v>0</v>
      </c>
      <c r="AE253" s="1">
        <v>0</v>
      </c>
      <c r="AF253" s="1">
        <v>0</v>
      </c>
      <c r="AG253" s="67">
        <v>0</v>
      </c>
      <c r="AH253" s="4"/>
    </row>
    <row r="254" spans="1:34" ht="15">
      <c r="A254" s="1"/>
      <c r="B254" s="41">
        <f t="shared" si="46"/>
        <v>13</v>
      </c>
      <c r="C254" s="111" t="s">
        <v>49</v>
      </c>
      <c r="D254" s="43" t="s">
        <v>36</v>
      </c>
      <c r="E254" s="39">
        <f t="shared" si="45"/>
        <v>23918</v>
      </c>
      <c r="F254" s="1">
        <v>0</v>
      </c>
      <c r="G254" s="1">
        <v>0</v>
      </c>
      <c r="H254" s="1">
        <v>0</v>
      </c>
      <c r="I254" s="1">
        <v>0</v>
      </c>
      <c r="J254" s="67">
        <v>0</v>
      </c>
      <c r="K254" s="42">
        <v>23918</v>
      </c>
      <c r="L254" s="1">
        <v>0</v>
      </c>
      <c r="M254" s="1">
        <v>0</v>
      </c>
      <c r="N254" s="1">
        <v>0</v>
      </c>
      <c r="O254" s="1">
        <v>0</v>
      </c>
      <c r="P254" s="67">
        <v>0</v>
      </c>
      <c r="Q254" s="42">
        <v>0</v>
      </c>
      <c r="R254" s="1">
        <v>0</v>
      </c>
      <c r="S254" s="1">
        <v>0</v>
      </c>
      <c r="T254" s="1">
        <v>0</v>
      </c>
      <c r="U254" s="67">
        <v>0</v>
      </c>
      <c r="V254" s="42">
        <v>0</v>
      </c>
      <c r="W254" s="1">
        <v>0</v>
      </c>
      <c r="X254" s="1">
        <v>0</v>
      </c>
      <c r="Y254" s="1">
        <v>0</v>
      </c>
      <c r="Z254" s="1">
        <v>0</v>
      </c>
      <c r="AA254" s="67">
        <v>0</v>
      </c>
      <c r="AB254" s="42">
        <v>0</v>
      </c>
      <c r="AC254" s="1">
        <v>0</v>
      </c>
      <c r="AD254" s="1">
        <v>0</v>
      </c>
      <c r="AE254" s="1">
        <v>0</v>
      </c>
      <c r="AF254" s="1">
        <v>0</v>
      </c>
      <c r="AG254" s="67">
        <v>0</v>
      </c>
      <c r="AH254" s="4"/>
    </row>
    <row r="255" spans="1:34" ht="15">
      <c r="A255" s="1"/>
      <c r="B255" s="41">
        <f t="shared" si="46"/>
        <v>14</v>
      </c>
      <c r="C255" s="111" t="s">
        <v>50</v>
      </c>
      <c r="D255" s="43" t="s">
        <v>36</v>
      </c>
      <c r="E255" s="39">
        <f t="shared" si="45"/>
        <v>0</v>
      </c>
      <c r="F255" s="2">
        <v>0</v>
      </c>
      <c r="G255" s="2">
        <v>0</v>
      </c>
      <c r="H255" s="2">
        <v>0</v>
      </c>
      <c r="I255" s="2">
        <v>0</v>
      </c>
      <c r="J255" s="115">
        <v>0</v>
      </c>
      <c r="K255" s="48">
        <v>0</v>
      </c>
      <c r="L255" s="2">
        <v>0</v>
      </c>
      <c r="M255" s="2">
        <v>0</v>
      </c>
      <c r="N255" s="2">
        <v>0</v>
      </c>
      <c r="O255" s="2">
        <v>0</v>
      </c>
      <c r="P255" s="115">
        <v>0</v>
      </c>
      <c r="Q255" s="48">
        <v>0</v>
      </c>
      <c r="R255" s="2">
        <v>0</v>
      </c>
      <c r="S255" s="2">
        <v>0</v>
      </c>
      <c r="T255" s="2">
        <v>0</v>
      </c>
      <c r="U255" s="115">
        <v>0</v>
      </c>
      <c r="V255" s="48">
        <v>0</v>
      </c>
      <c r="W255" s="2">
        <v>0</v>
      </c>
      <c r="X255" s="2">
        <v>0</v>
      </c>
      <c r="Y255" s="2">
        <v>0</v>
      </c>
      <c r="Z255" s="2">
        <v>0</v>
      </c>
      <c r="AA255" s="115">
        <v>0</v>
      </c>
      <c r="AB255" s="48">
        <v>0</v>
      </c>
      <c r="AC255" s="2">
        <v>0</v>
      </c>
      <c r="AD255" s="2">
        <v>0</v>
      </c>
      <c r="AE255" s="2">
        <v>0</v>
      </c>
      <c r="AF255" s="2">
        <v>0</v>
      </c>
      <c r="AG255" s="115">
        <v>0</v>
      </c>
      <c r="AH255" s="4"/>
    </row>
    <row r="256" spans="1:34" ht="15">
      <c r="A256" s="1"/>
      <c r="B256" s="41">
        <f t="shared" si="46"/>
        <v>15</v>
      </c>
      <c r="C256" s="111" t="s">
        <v>51</v>
      </c>
      <c r="D256" s="43" t="s">
        <v>36</v>
      </c>
      <c r="E256" s="39">
        <f t="shared" si="45"/>
        <v>0</v>
      </c>
      <c r="F256" s="2">
        <v>0</v>
      </c>
      <c r="G256" s="2">
        <v>0</v>
      </c>
      <c r="H256" s="2">
        <v>0</v>
      </c>
      <c r="I256" s="2">
        <v>0</v>
      </c>
      <c r="J256" s="115">
        <v>0</v>
      </c>
      <c r="K256" s="48">
        <v>0</v>
      </c>
      <c r="L256" s="2">
        <v>0</v>
      </c>
      <c r="M256" s="2">
        <v>0</v>
      </c>
      <c r="N256" s="2">
        <v>0</v>
      </c>
      <c r="O256" s="2">
        <v>0</v>
      </c>
      <c r="P256" s="115">
        <v>0</v>
      </c>
      <c r="Q256" s="48">
        <v>0</v>
      </c>
      <c r="R256" s="2">
        <v>0</v>
      </c>
      <c r="S256" s="2">
        <v>0</v>
      </c>
      <c r="T256" s="2">
        <v>0</v>
      </c>
      <c r="U256" s="115">
        <v>0</v>
      </c>
      <c r="V256" s="48">
        <v>0</v>
      </c>
      <c r="W256" s="2">
        <v>0</v>
      </c>
      <c r="X256" s="2">
        <v>0</v>
      </c>
      <c r="Y256" s="2">
        <v>0</v>
      </c>
      <c r="Z256" s="2">
        <v>0</v>
      </c>
      <c r="AA256" s="115">
        <v>0</v>
      </c>
      <c r="AB256" s="48">
        <v>0</v>
      </c>
      <c r="AC256" s="2">
        <v>0</v>
      </c>
      <c r="AD256" s="2">
        <v>0</v>
      </c>
      <c r="AE256" s="2">
        <v>0</v>
      </c>
      <c r="AF256" s="2">
        <v>0</v>
      </c>
      <c r="AG256" s="115">
        <v>0</v>
      </c>
      <c r="AH256" s="4"/>
    </row>
    <row r="257" spans="1:34" ht="15">
      <c r="A257" s="1"/>
      <c r="B257" s="41">
        <f t="shared" si="46"/>
        <v>16</v>
      </c>
      <c r="C257" s="111" t="s">
        <v>52</v>
      </c>
      <c r="D257" s="43" t="s">
        <v>36</v>
      </c>
      <c r="E257" s="39">
        <f t="shared" si="45"/>
        <v>6342</v>
      </c>
      <c r="F257" s="2">
        <v>0</v>
      </c>
      <c r="G257" s="2">
        <v>0</v>
      </c>
      <c r="H257" s="2">
        <v>0</v>
      </c>
      <c r="I257" s="2">
        <v>0</v>
      </c>
      <c r="J257" s="115">
        <v>0</v>
      </c>
      <c r="K257" s="48">
        <v>0</v>
      </c>
      <c r="L257" s="2">
        <v>0</v>
      </c>
      <c r="M257" s="2">
        <v>0</v>
      </c>
      <c r="N257" s="2">
        <v>0</v>
      </c>
      <c r="O257" s="2">
        <v>6342</v>
      </c>
      <c r="P257" s="115">
        <v>0</v>
      </c>
      <c r="Q257" s="48">
        <v>0</v>
      </c>
      <c r="R257" s="2">
        <v>0</v>
      </c>
      <c r="S257" s="2">
        <v>0</v>
      </c>
      <c r="T257" s="2">
        <v>0</v>
      </c>
      <c r="U257" s="115">
        <v>0</v>
      </c>
      <c r="V257" s="48">
        <v>0</v>
      </c>
      <c r="W257" s="2">
        <v>0</v>
      </c>
      <c r="X257" s="2">
        <v>0</v>
      </c>
      <c r="Y257" s="2">
        <v>0</v>
      </c>
      <c r="Z257" s="2">
        <v>0</v>
      </c>
      <c r="AA257" s="115">
        <v>0</v>
      </c>
      <c r="AB257" s="48">
        <v>0</v>
      </c>
      <c r="AC257" s="2">
        <v>0</v>
      </c>
      <c r="AD257" s="2">
        <v>0</v>
      </c>
      <c r="AE257" s="2">
        <v>0</v>
      </c>
      <c r="AF257" s="2">
        <v>0</v>
      </c>
      <c r="AG257" s="115">
        <v>0</v>
      </c>
      <c r="AH257" s="4"/>
    </row>
    <row r="258" spans="1:34" ht="15">
      <c r="A258" s="1"/>
      <c r="B258" s="41">
        <f t="shared" si="46"/>
        <v>17</v>
      </c>
      <c r="C258" s="111" t="s">
        <v>53</v>
      </c>
      <c r="D258" s="43" t="s">
        <v>36</v>
      </c>
      <c r="E258" s="39">
        <f t="shared" si="45"/>
        <v>0</v>
      </c>
      <c r="F258" s="2">
        <v>0</v>
      </c>
      <c r="G258" s="2">
        <v>0</v>
      </c>
      <c r="H258" s="2">
        <v>0</v>
      </c>
      <c r="I258" s="2">
        <v>0</v>
      </c>
      <c r="J258" s="115">
        <v>0</v>
      </c>
      <c r="K258" s="48">
        <v>0</v>
      </c>
      <c r="L258" s="2">
        <v>0</v>
      </c>
      <c r="M258" s="2">
        <v>0</v>
      </c>
      <c r="N258" s="2">
        <v>0</v>
      </c>
      <c r="O258" s="2">
        <v>0</v>
      </c>
      <c r="P258" s="115">
        <v>0</v>
      </c>
      <c r="Q258" s="48">
        <v>0</v>
      </c>
      <c r="R258" s="2">
        <v>0</v>
      </c>
      <c r="S258" s="2">
        <v>0</v>
      </c>
      <c r="T258" s="2">
        <v>0</v>
      </c>
      <c r="U258" s="115">
        <v>0</v>
      </c>
      <c r="V258" s="48">
        <v>0</v>
      </c>
      <c r="W258" s="2">
        <v>0</v>
      </c>
      <c r="X258" s="2">
        <v>0</v>
      </c>
      <c r="Y258" s="2">
        <v>0</v>
      </c>
      <c r="Z258" s="2">
        <v>0</v>
      </c>
      <c r="AA258" s="115">
        <v>0</v>
      </c>
      <c r="AB258" s="48">
        <v>0</v>
      </c>
      <c r="AC258" s="2">
        <v>0</v>
      </c>
      <c r="AD258" s="2">
        <v>0</v>
      </c>
      <c r="AE258" s="2">
        <v>0</v>
      </c>
      <c r="AF258" s="2">
        <v>0</v>
      </c>
      <c r="AG258" s="115">
        <v>0</v>
      </c>
      <c r="AH258" s="4"/>
    </row>
    <row r="259" spans="1:34" ht="15">
      <c r="A259" s="1"/>
      <c r="B259" s="41">
        <f t="shared" si="46"/>
        <v>18</v>
      </c>
      <c r="C259" s="111" t="s">
        <v>54</v>
      </c>
      <c r="D259" s="43" t="s">
        <v>36</v>
      </c>
      <c r="E259" s="39">
        <f t="shared" si="45"/>
        <v>0</v>
      </c>
      <c r="F259" s="2">
        <v>0</v>
      </c>
      <c r="G259" s="2">
        <v>0</v>
      </c>
      <c r="H259" s="2">
        <v>0</v>
      </c>
      <c r="I259" s="2">
        <v>0</v>
      </c>
      <c r="J259" s="115">
        <v>0</v>
      </c>
      <c r="K259" s="48">
        <v>0</v>
      </c>
      <c r="L259" s="2">
        <v>0</v>
      </c>
      <c r="M259" s="2">
        <v>0</v>
      </c>
      <c r="N259" s="2">
        <v>0</v>
      </c>
      <c r="O259" s="2">
        <v>0</v>
      </c>
      <c r="P259" s="115">
        <v>0</v>
      </c>
      <c r="Q259" s="48">
        <v>0</v>
      </c>
      <c r="R259" s="2">
        <v>0</v>
      </c>
      <c r="S259" s="2">
        <v>0</v>
      </c>
      <c r="T259" s="2">
        <v>0</v>
      </c>
      <c r="U259" s="115">
        <v>0</v>
      </c>
      <c r="V259" s="48">
        <v>0</v>
      </c>
      <c r="W259" s="2">
        <v>0</v>
      </c>
      <c r="X259" s="2">
        <v>0</v>
      </c>
      <c r="Y259" s="2">
        <v>0</v>
      </c>
      <c r="Z259" s="2">
        <v>0</v>
      </c>
      <c r="AA259" s="115">
        <v>0</v>
      </c>
      <c r="AB259" s="48">
        <v>0</v>
      </c>
      <c r="AC259" s="2">
        <v>0</v>
      </c>
      <c r="AD259" s="2">
        <v>0</v>
      </c>
      <c r="AE259" s="2">
        <v>0</v>
      </c>
      <c r="AF259" s="2">
        <v>0</v>
      </c>
      <c r="AG259" s="115">
        <v>0</v>
      </c>
      <c r="AH259" s="4"/>
    </row>
    <row r="260" spans="1:34" ht="15">
      <c r="A260" s="1"/>
      <c r="B260" s="41">
        <f t="shared" si="46"/>
        <v>19</v>
      </c>
      <c r="C260" s="111" t="s">
        <v>55</v>
      </c>
      <c r="D260" s="43" t="s">
        <v>36</v>
      </c>
      <c r="E260" s="39">
        <f t="shared" si="45"/>
        <v>0</v>
      </c>
      <c r="F260" s="2">
        <v>0</v>
      </c>
      <c r="G260" s="2">
        <v>0</v>
      </c>
      <c r="H260" s="2">
        <v>0</v>
      </c>
      <c r="I260" s="2">
        <v>0</v>
      </c>
      <c r="J260" s="115">
        <v>0</v>
      </c>
      <c r="K260" s="48">
        <v>0</v>
      </c>
      <c r="L260" s="2">
        <v>0</v>
      </c>
      <c r="M260" s="2">
        <v>0</v>
      </c>
      <c r="N260" s="2">
        <v>0</v>
      </c>
      <c r="O260" s="2">
        <v>0</v>
      </c>
      <c r="P260" s="115">
        <v>0</v>
      </c>
      <c r="Q260" s="48">
        <v>0</v>
      </c>
      <c r="R260" s="2">
        <v>0</v>
      </c>
      <c r="S260" s="2">
        <v>0</v>
      </c>
      <c r="T260" s="2">
        <v>0</v>
      </c>
      <c r="U260" s="115">
        <v>0</v>
      </c>
      <c r="V260" s="48">
        <v>0</v>
      </c>
      <c r="W260" s="2">
        <v>0</v>
      </c>
      <c r="X260" s="2">
        <v>0</v>
      </c>
      <c r="Y260" s="2">
        <v>0</v>
      </c>
      <c r="Z260" s="2">
        <v>0</v>
      </c>
      <c r="AA260" s="115">
        <v>0</v>
      </c>
      <c r="AB260" s="48">
        <v>0</v>
      </c>
      <c r="AC260" s="2">
        <v>0</v>
      </c>
      <c r="AD260" s="2">
        <v>0</v>
      </c>
      <c r="AE260" s="2">
        <v>0</v>
      </c>
      <c r="AF260" s="2">
        <v>0</v>
      </c>
      <c r="AG260" s="115">
        <v>0</v>
      </c>
      <c r="AH260" s="4"/>
    </row>
    <row r="261" spans="1:34" ht="15">
      <c r="A261" s="1"/>
      <c r="B261" s="41">
        <f t="shared" si="46"/>
        <v>20</v>
      </c>
      <c r="C261" s="111" t="s">
        <v>56</v>
      </c>
      <c r="D261" s="43" t="s">
        <v>36</v>
      </c>
      <c r="E261" s="39">
        <f t="shared" si="45"/>
        <v>0</v>
      </c>
      <c r="F261" s="2">
        <v>0</v>
      </c>
      <c r="G261" s="2">
        <v>0</v>
      </c>
      <c r="H261" s="2">
        <v>0</v>
      </c>
      <c r="I261" s="2">
        <v>0</v>
      </c>
      <c r="J261" s="115">
        <v>0</v>
      </c>
      <c r="K261" s="48">
        <v>0</v>
      </c>
      <c r="L261" s="2">
        <v>0</v>
      </c>
      <c r="M261" s="2">
        <v>0</v>
      </c>
      <c r="N261" s="2">
        <v>0</v>
      </c>
      <c r="O261" s="2">
        <v>0</v>
      </c>
      <c r="P261" s="115">
        <v>0</v>
      </c>
      <c r="Q261" s="48">
        <v>0</v>
      </c>
      <c r="R261" s="2">
        <v>0</v>
      </c>
      <c r="S261" s="2">
        <v>0</v>
      </c>
      <c r="T261" s="2">
        <v>0</v>
      </c>
      <c r="U261" s="115">
        <v>0</v>
      </c>
      <c r="V261" s="48">
        <v>0</v>
      </c>
      <c r="W261" s="2">
        <v>0</v>
      </c>
      <c r="X261" s="2">
        <v>0</v>
      </c>
      <c r="Y261" s="2">
        <v>0</v>
      </c>
      <c r="Z261" s="2">
        <v>0</v>
      </c>
      <c r="AA261" s="115">
        <v>0</v>
      </c>
      <c r="AB261" s="48">
        <v>0</v>
      </c>
      <c r="AC261" s="2">
        <v>0</v>
      </c>
      <c r="AD261" s="2">
        <v>0</v>
      </c>
      <c r="AE261" s="2">
        <v>0</v>
      </c>
      <c r="AF261" s="2">
        <v>0</v>
      </c>
      <c r="AG261" s="115">
        <v>0</v>
      </c>
      <c r="AH261" s="4"/>
    </row>
    <row r="262" spans="1:34" ht="15">
      <c r="A262" s="1"/>
      <c r="B262" s="41">
        <f t="shared" si="46"/>
        <v>21</v>
      </c>
      <c r="C262" s="111" t="s">
        <v>57</v>
      </c>
      <c r="D262" s="43" t="s">
        <v>36</v>
      </c>
      <c r="E262" s="39">
        <f t="shared" si="45"/>
        <v>-6911</v>
      </c>
      <c r="F262" s="2">
        <v>0</v>
      </c>
      <c r="G262" s="2">
        <v>0</v>
      </c>
      <c r="H262" s="2">
        <v>0</v>
      </c>
      <c r="I262" s="2">
        <v>0</v>
      </c>
      <c r="J262" s="115">
        <v>-6911</v>
      </c>
      <c r="K262" s="48">
        <v>0</v>
      </c>
      <c r="L262" s="2">
        <v>0</v>
      </c>
      <c r="M262" s="2">
        <v>0</v>
      </c>
      <c r="N262" s="2">
        <v>0</v>
      </c>
      <c r="O262" s="2">
        <v>0</v>
      </c>
      <c r="P262" s="115">
        <v>0</v>
      </c>
      <c r="Q262" s="48">
        <v>0</v>
      </c>
      <c r="R262" s="2">
        <v>0</v>
      </c>
      <c r="S262" s="2">
        <v>0</v>
      </c>
      <c r="T262" s="2">
        <v>0</v>
      </c>
      <c r="U262" s="115">
        <v>0</v>
      </c>
      <c r="V262" s="48">
        <v>0</v>
      </c>
      <c r="W262" s="2">
        <v>0</v>
      </c>
      <c r="X262" s="2">
        <v>0</v>
      </c>
      <c r="Y262" s="2">
        <v>0</v>
      </c>
      <c r="Z262" s="2">
        <v>0</v>
      </c>
      <c r="AA262" s="115">
        <v>0</v>
      </c>
      <c r="AB262" s="48">
        <v>0</v>
      </c>
      <c r="AC262" s="2">
        <v>0</v>
      </c>
      <c r="AD262" s="2">
        <v>0</v>
      </c>
      <c r="AE262" s="2">
        <v>0</v>
      </c>
      <c r="AF262" s="2">
        <v>0</v>
      </c>
      <c r="AG262" s="115">
        <v>0</v>
      </c>
      <c r="AH262" s="4"/>
    </row>
    <row r="263" spans="1:34" ht="15">
      <c r="A263" s="1"/>
      <c r="B263" s="41">
        <f t="shared" si="46"/>
        <v>22</v>
      </c>
      <c r="C263" s="111" t="s">
        <v>58</v>
      </c>
      <c r="D263" s="43" t="s">
        <v>36</v>
      </c>
      <c r="E263" s="39">
        <f t="shared" si="45"/>
        <v>55069</v>
      </c>
      <c r="F263" s="2">
        <v>0</v>
      </c>
      <c r="G263" s="2">
        <v>0</v>
      </c>
      <c r="H263" s="2">
        <v>0</v>
      </c>
      <c r="I263" s="2">
        <v>0</v>
      </c>
      <c r="J263" s="115">
        <v>55069</v>
      </c>
      <c r="K263" s="48">
        <v>0</v>
      </c>
      <c r="L263" s="2">
        <v>0</v>
      </c>
      <c r="M263" s="2">
        <v>0</v>
      </c>
      <c r="N263" s="2">
        <v>0</v>
      </c>
      <c r="O263" s="2">
        <v>0</v>
      </c>
      <c r="P263" s="115">
        <v>0</v>
      </c>
      <c r="Q263" s="48">
        <v>0</v>
      </c>
      <c r="R263" s="2">
        <v>0</v>
      </c>
      <c r="S263" s="2">
        <v>0</v>
      </c>
      <c r="T263" s="2">
        <v>0</v>
      </c>
      <c r="U263" s="115">
        <v>0</v>
      </c>
      <c r="V263" s="48">
        <v>0</v>
      </c>
      <c r="W263" s="2">
        <v>0</v>
      </c>
      <c r="X263" s="2">
        <v>0</v>
      </c>
      <c r="Y263" s="2">
        <v>0</v>
      </c>
      <c r="Z263" s="2">
        <v>0</v>
      </c>
      <c r="AA263" s="115">
        <v>0</v>
      </c>
      <c r="AB263" s="48">
        <v>0</v>
      </c>
      <c r="AC263" s="2">
        <v>0</v>
      </c>
      <c r="AD263" s="2">
        <v>0</v>
      </c>
      <c r="AE263" s="2">
        <v>0</v>
      </c>
      <c r="AF263" s="2">
        <v>0</v>
      </c>
      <c r="AG263" s="115">
        <v>0</v>
      </c>
      <c r="AH263" s="4"/>
    </row>
    <row r="264" spans="1:34" ht="15">
      <c r="A264" s="1"/>
      <c r="B264" s="41">
        <f t="shared" si="46"/>
        <v>23</v>
      </c>
      <c r="C264" s="111" t="s">
        <v>59</v>
      </c>
      <c r="D264" s="43" t="s">
        <v>36</v>
      </c>
      <c r="E264" s="39">
        <f t="shared" si="45"/>
        <v>0</v>
      </c>
      <c r="F264" s="1">
        <v>0</v>
      </c>
      <c r="G264" s="1">
        <v>0</v>
      </c>
      <c r="H264" s="1">
        <v>0</v>
      </c>
      <c r="I264" s="1">
        <v>0</v>
      </c>
      <c r="J264" s="67">
        <v>0</v>
      </c>
      <c r="K264" s="42">
        <v>0</v>
      </c>
      <c r="L264" s="1">
        <v>0</v>
      </c>
      <c r="M264" s="1">
        <v>0</v>
      </c>
      <c r="N264" s="1">
        <v>0</v>
      </c>
      <c r="O264" s="1">
        <v>0</v>
      </c>
      <c r="P264" s="67">
        <v>0</v>
      </c>
      <c r="Q264" s="42">
        <v>0</v>
      </c>
      <c r="R264" s="1">
        <v>0</v>
      </c>
      <c r="S264" s="1">
        <v>0</v>
      </c>
      <c r="T264" s="1">
        <v>0</v>
      </c>
      <c r="U264" s="67">
        <v>0</v>
      </c>
      <c r="V264" s="42">
        <v>0</v>
      </c>
      <c r="W264" s="1">
        <v>0</v>
      </c>
      <c r="X264" s="1">
        <v>0</v>
      </c>
      <c r="Y264" s="1">
        <v>0</v>
      </c>
      <c r="Z264" s="1">
        <v>0</v>
      </c>
      <c r="AA264" s="67">
        <v>0</v>
      </c>
      <c r="AB264" s="42">
        <v>0</v>
      </c>
      <c r="AC264" s="1">
        <v>0</v>
      </c>
      <c r="AD264" s="1">
        <v>0</v>
      </c>
      <c r="AE264" s="1">
        <v>0</v>
      </c>
      <c r="AF264" s="1">
        <v>0</v>
      </c>
      <c r="AG264" s="67">
        <v>0</v>
      </c>
      <c r="AH264" s="4"/>
    </row>
    <row r="265" spans="1:34" ht="15">
      <c r="A265" s="1"/>
      <c r="B265" s="41">
        <f t="shared" si="46"/>
        <v>24</v>
      </c>
      <c r="C265" s="111" t="s">
        <v>60</v>
      </c>
      <c r="D265" s="43" t="s">
        <v>36</v>
      </c>
      <c r="E265" s="39">
        <f t="shared" si="45"/>
        <v>0</v>
      </c>
      <c r="F265" s="1">
        <v>0</v>
      </c>
      <c r="G265" s="1">
        <v>0</v>
      </c>
      <c r="H265" s="1">
        <v>0</v>
      </c>
      <c r="I265" s="1">
        <v>0</v>
      </c>
      <c r="J265" s="67">
        <v>0</v>
      </c>
      <c r="K265" s="42">
        <v>0</v>
      </c>
      <c r="L265" s="1">
        <v>0</v>
      </c>
      <c r="M265" s="1">
        <v>0</v>
      </c>
      <c r="N265" s="1">
        <v>0</v>
      </c>
      <c r="O265" s="1">
        <v>0</v>
      </c>
      <c r="P265" s="67">
        <v>0</v>
      </c>
      <c r="Q265" s="42">
        <v>0</v>
      </c>
      <c r="R265" s="1">
        <v>0</v>
      </c>
      <c r="S265" s="1">
        <v>0</v>
      </c>
      <c r="T265" s="1">
        <v>0</v>
      </c>
      <c r="U265" s="67">
        <v>0</v>
      </c>
      <c r="V265" s="42">
        <v>0</v>
      </c>
      <c r="W265" s="1">
        <v>0</v>
      </c>
      <c r="X265" s="1">
        <v>0</v>
      </c>
      <c r="Y265" s="1">
        <v>0</v>
      </c>
      <c r="Z265" s="1">
        <v>0</v>
      </c>
      <c r="AA265" s="67">
        <v>0</v>
      </c>
      <c r="AB265" s="42">
        <v>0</v>
      </c>
      <c r="AC265" s="1">
        <v>0</v>
      </c>
      <c r="AD265" s="1">
        <v>0</v>
      </c>
      <c r="AE265" s="1">
        <v>0</v>
      </c>
      <c r="AF265" s="1">
        <v>0</v>
      </c>
      <c r="AG265" s="67">
        <v>0</v>
      </c>
      <c r="AH265" s="4"/>
    </row>
    <row r="266" spans="1:34" ht="15">
      <c r="A266" s="1"/>
      <c r="B266" s="41">
        <f t="shared" si="46"/>
        <v>25</v>
      </c>
      <c r="C266" s="111" t="s">
        <v>61</v>
      </c>
      <c r="D266" s="43" t="s">
        <v>36</v>
      </c>
      <c r="E266" s="39">
        <f t="shared" si="45"/>
        <v>9239</v>
      </c>
      <c r="F266" s="1">
        <v>0</v>
      </c>
      <c r="G266" s="1">
        <v>0</v>
      </c>
      <c r="H266" s="1">
        <v>0</v>
      </c>
      <c r="I266" s="1">
        <v>0</v>
      </c>
      <c r="J266" s="67">
        <v>0</v>
      </c>
      <c r="K266" s="42">
        <v>0</v>
      </c>
      <c r="L266" s="1">
        <v>0</v>
      </c>
      <c r="M266" s="104" t="s">
        <v>225</v>
      </c>
      <c r="N266" s="1">
        <f>4880+4359</f>
        <v>9239</v>
      </c>
      <c r="O266" s="1">
        <v>0</v>
      </c>
      <c r="P266" s="67">
        <v>0</v>
      </c>
      <c r="Q266" s="42">
        <v>0</v>
      </c>
      <c r="R266" s="1">
        <v>0</v>
      </c>
      <c r="S266" s="1">
        <v>0</v>
      </c>
      <c r="T266" s="1">
        <v>0</v>
      </c>
      <c r="U266" s="67">
        <v>0</v>
      </c>
      <c r="V266" s="42">
        <v>0</v>
      </c>
      <c r="W266" s="1">
        <v>0</v>
      </c>
      <c r="X266" s="1">
        <v>0</v>
      </c>
      <c r="Y266" s="1">
        <v>0</v>
      </c>
      <c r="Z266" s="1">
        <v>0</v>
      </c>
      <c r="AA266" s="67">
        <v>0</v>
      </c>
      <c r="AB266" s="42">
        <v>0</v>
      </c>
      <c r="AC266" s="1">
        <v>0</v>
      </c>
      <c r="AD266" s="1">
        <v>0</v>
      </c>
      <c r="AE266" s="1">
        <v>0</v>
      </c>
      <c r="AF266" s="1">
        <v>0</v>
      </c>
      <c r="AG266" s="67">
        <v>0</v>
      </c>
      <c r="AH266" s="4"/>
    </row>
    <row r="267" spans="1:34" ht="15">
      <c r="A267" s="1"/>
      <c r="B267" s="41">
        <f t="shared" si="46"/>
        <v>26</v>
      </c>
      <c r="C267" s="111" t="s">
        <v>62</v>
      </c>
      <c r="D267" s="43" t="s">
        <v>36</v>
      </c>
      <c r="E267" s="39">
        <f t="shared" si="45"/>
        <v>0</v>
      </c>
      <c r="F267" s="1">
        <v>0</v>
      </c>
      <c r="G267" s="1">
        <v>0</v>
      </c>
      <c r="H267" s="1">
        <v>0</v>
      </c>
      <c r="I267" s="1">
        <v>0</v>
      </c>
      <c r="J267" s="67">
        <v>0</v>
      </c>
      <c r="K267" s="42">
        <v>0</v>
      </c>
      <c r="L267" s="1">
        <v>0</v>
      </c>
      <c r="M267" s="1">
        <v>0</v>
      </c>
      <c r="N267" s="1">
        <v>0</v>
      </c>
      <c r="O267" s="1">
        <v>0</v>
      </c>
      <c r="P267" s="67">
        <v>0</v>
      </c>
      <c r="Q267" s="42">
        <v>0</v>
      </c>
      <c r="R267" s="1">
        <v>0</v>
      </c>
      <c r="S267" s="1">
        <v>0</v>
      </c>
      <c r="T267" s="1">
        <v>0</v>
      </c>
      <c r="U267" s="67">
        <v>0</v>
      </c>
      <c r="V267" s="42">
        <v>0</v>
      </c>
      <c r="W267" s="1">
        <v>0</v>
      </c>
      <c r="X267" s="1">
        <v>0</v>
      </c>
      <c r="Y267" s="1">
        <v>0</v>
      </c>
      <c r="Z267" s="1">
        <v>0</v>
      </c>
      <c r="AA267" s="67">
        <v>0</v>
      </c>
      <c r="AB267" s="42">
        <v>0</v>
      </c>
      <c r="AC267" s="1">
        <v>0</v>
      </c>
      <c r="AD267" s="1">
        <v>0</v>
      </c>
      <c r="AE267" s="1">
        <v>0</v>
      </c>
      <c r="AF267" s="1">
        <v>0</v>
      </c>
      <c r="AG267" s="67">
        <v>0</v>
      </c>
      <c r="AH267" s="4"/>
    </row>
    <row r="268" spans="1:34" ht="15">
      <c r="A268" s="1"/>
      <c r="B268" s="41">
        <f t="shared" si="46"/>
        <v>27</v>
      </c>
      <c r="C268" s="111" t="s">
        <v>63</v>
      </c>
      <c r="D268" s="43" t="s">
        <v>36</v>
      </c>
      <c r="E268" s="39">
        <f t="shared" si="45"/>
        <v>16124.702910000004</v>
      </c>
      <c r="F268" s="1">
        <f>(+F249+F250)*0.13258</f>
        <v>17640.564480000005</v>
      </c>
      <c r="G268" s="1">
        <f>G246*F356</f>
        <v>-2284.825570000001</v>
      </c>
      <c r="H268" s="1">
        <v>0</v>
      </c>
      <c r="I268" s="1">
        <v>0</v>
      </c>
      <c r="J268" s="67">
        <v>0</v>
      </c>
      <c r="K268" s="42">
        <v>0</v>
      </c>
      <c r="L268" s="1">
        <v>0</v>
      </c>
      <c r="M268" s="1">
        <v>0</v>
      </c>
      <c r="N268" s="1">
        <v>0</v>
      </c>
      <c r="O268" s="1">
        <v>0</v>
      </c>
      <c r="P268" s="67">
        <v>0</v>
      </c>
      <c r="Q268" s="1">
        <f>(+Q249+Q250)*0.13258</f>
        <v>768.9640000000002</v>
      </c>
      <c r="R268" s="1">
        <v>0</v>
      </c>
      <c r="S268" s="1">
        <v>0</v>
      </c>
      <c r="T268" s="1">
        <v>0</v>
      </c>
      <c r="U268" s="67">
        <v>0</v>
      </c>
      <c r="V268" s="42">
        <v>0</v>
      </c>
      <c r="W268" s="1">
        <v>0</v>
      </c>
      <c r="X268" s="1">
        <v>0</v>
      </c>
      <c r="Y268" s="1">
        <v>0</v>
      </c>
      <c r="Z268" s="1">
        <v>0</v>
      </c>
      <c r="AA268" s="67">
        <v>0</v>
      </c>
      <c r="AB268" s="42">
        <v>0</v>
      </c>
      <c r="AC268" s="1">
        <v>0</v>
      </c>
      <c r="AD268" s="1">
        <v>0</v>
      </c>
      <c r="AE268" s="1">
        <v>0</v>
      </c>
      <c r="AF268" s="1">
        <v>0</v>
      </c>
      <c r="AG268" s="67">
        <v>0</v>
      </c>
      <c r="AH268" s="4"/>
    </row>
    <row r="269" spans="1:34" ht="15">
      <c r="A269" s="1"/>
      <c r="B269" s="41">
        <f t="shared" si="46"/>
        <v>28</v>
      </c>
      <c r="C269" s="111" t="s">
        <v>64</v>
      </c>
      <c r="D269" s="43" t="s">
        <v>36</v>
      </c>
      <c r="E269" s="39">
        <f t="shared" si="45"/>
        <v>22567</v>
      </c>
      <c r="F269" s="2">
        <v>0</v>
      </c>
      <c r="G269" s="2">
        <v>0</v>
      </c>
      <c r="H269" s="2">
        <v>0</v>
      </c>
      <c r="I269" s="2">
        <v>22567</v>
      </c>
      <c r="J269" s="115">
        <v>0</v>
      </c>
      <c r="K269" s="48">
        <v>0</v>
      </c>
      <c r="L269" s="2">
        <v>0</v>
      </c>
      <c r="M269" s="2">
        <v>0</v>
      </c>
      <c r="N269" s="2">
        <v>0</v>
      </c>
      <c r="O269" s="2">
        <v>0</v>
      </c>
      <c r="P269" s="115">
        <v>0</v>
      </c>
      <c r="Q269" s="48">
        <v>0</v>
      </c>
      <c r="R269" s="2">
        <v>0</v>
      </c>
      <c r="S269" s="2">
        <v>0</v>
      </c>
      <c r="T269" s="2">
        <v>0</v>
      </c>
      <c r="U269" s="115">
        <v>0</v>
      </c>
      <c r="V269" s="48">
        <v>0</v>
      </c>
      <c r="W269" s="2">
        <v>0</v>
      </c>
      <c r="X269" s="2">
        <v>0</v>
      </c>
      <c r="Y269" s="2">
        <v>0</v>
      </c>
      <c r="Z269" s="2">
        <v>0</v>
      </c>
      <c r="AA269" s="115">
        <v>0</v>
      </c>
      <c r="AB269" s="48">
        <v>0</v>
      </c>
      <c r="AC269" s="2">
        <v>0</v>
      </c>
      <c r="AD269" s="2">
        <v>0</v>
      </c>
      <c r="AE269" s="2">
        <v>0</v>
      </c>
      <c r="AF269" s="2">
        <v>0</v>
      </c>
      <c r="AG269" s="115">
        <v>0</v>
      </c>
      <c r="AH269" s="4"/>
    </row>
    <row r="270" spans="1:34" ht="15.75">
      <c r="A270" s="1"/>
      <c r="B270" s="41">
        <f t="shared" si="46"/>
        <v>29</v>
      </c>
      <c r="C270" s="110" t="s">
        <v>65</v>
      </c>
      <c r="D270" s="43" t="str">
        <f>"Ln "&amp;FIXED(+B249,0)&amp;" thru "&amp;FIXED(+B269,0)</f>
        <v>Ln 8 thru 28</v>
      </c>
      <c r="E270" s="118">
        <f aca="true" t="shared" si="47" ref="E270:AG270">SUM(E249:E269)</f>
        <v>361347.70291</v>
      </c>
      <c r="F270" s="62">
        <f t="shared" si="47"/>
        <v>150696.56448</v>
      </c>
      <c r="G270" s="62">
        <f t="shared" si="47"/>
        <v>-2284.825570000001</v>
      </c>
      <c r="H270" s="62">
        <f t="shared" si="47"/>
        <v>49798</v>
      </c>
      <c r="I270" s="62">
        <f t="shared" si="47"/>
        <v>22567</v>
      </c>
      <c r="J270" s="63">
        <f t="shared" si="47"/>
        <v>48158</v>
      </c>
      <c r="K270" s="62">
        <f t="shared" si="47"/>
        <v>23918</v>
      </c>
      <c r="L270" s="62">
        <f t="shared" si="47"/>
        <v>46345</v>
      </c>
      <c r="M270" s="62">
        <f t="shared" si="47"/>
        <v>0</v>
      </c>
      <c r="N270" s="62">
        <f t="shared" si="47"/>
        <v>9239</v>
      </c>
      <c r="O270" s="62">
        <f t="shared" si="47"/>
        <v>6342</v>
      </c>
      <c r="P270" s="63">
        <f t="shared" si="47"/>
        <v>0</v>
      </c>
      <c r="Q270" s="62">
        <f t="shared" si="47"/>
        <v>6568.964</v>
      </c>
      <c r="R270" s="62">
        <f t="shared" si="47"/>
        <v>0</v>
      </c>
      <c r="S270" s="62">
        <f t="shared" si="47"/>
        <v>0</v>
      </c>
      <c r="T270" s="62">
        <f t="shared" si="47"/>
        <v>0</v>
      </c>
      <c r="U270" s="63">
        <f t="shared" si="47"/>
        <v>0</v>
      </c>
      <c r="V270" s="62">
        <f t="shared" si="47"/>
        <v>0</v>
      </c>
      <c r="W270" s="62">
        <f t="shared" si="47"/>
        <v>0</v>
      </c>
      <c r="X270" s="62">
        <f t="shared" si="47"/>
        <v>0</v>
      </c>
      <c r="Y270" s="62">
        <f t="shared" si="47"/>
        <v>0</v>
      </c>
      <c r="Z270" s="62">
        <f t="shared" si="47"/>
        <v>0</v>
      </c>
      <c r="AA270" s="63">
        <f t="shared" si="47"/>
        <v>0</v>
      </c>
      <c r="AB270" s="62">
        <f t="shared" si="47"/>
        <v>0</v>
      </c>
      <c r="AC270" s="62">
        <f t="shared" si="47"/>
        <v>0</v>
      </c>
      <c r="AD270" s="62">
        <f t="shared" si="47"/>
        <v>0</v>
      </c>
      <c r="AE270" s="62">
        <f t="shared" si="47"/>
        <v>0</v>
      </c>
      <c r="AF270" s="62">
        <f t="shared" si="47"/>
        <v>0</v>
      </c>
      <c r="AG270" s="63">
        <f t="shared" si="47"/>
        <v>0</v>
      </c>
      <c r="AH270" s="4"/>
    </row>
    <row r="271" spans="1:34" ht="15">
      <c r="A271" s="1"/>
      <c r="B271" s="41"/>
      <c r="C271" s="111"/>
      <c r="D271" s="43"/>
      <c r="E271" s="111"/>
      <c r="F271" s="1"/>
      <c r="G271" s="1"/>
      <c r="H271" s="1"/>
      <c r="I271" s="1"/>
      <c r="J271" s="67"/>
      <c r="K271" s="42"/>
      <c r="L271" s="1"/>
      <c r="M271" s="1"/>
      <c r="N271" s="1"/>
      <c r="O271" s="1"/>
      <c r="P271" s="67"/>
      <c r="Q271" s="42"/>
      <c r="R271" s="1"/>
      <c r="S271" s="1"/>
      <c r="T271" s="1"/>
      <c r="U271" s="67"/>
      <c r="V271" s="42"/>
      <c r="W271" s="1"/>
      <c r="X271" s="1"/>
      <c r="Y271" s="1"/>
      <c r="Z271" s="1"/>
      <c r="AA271" s="67"/>
      <c r="AB271" s="42"/>
      <c r="AC271" s="1"/>
      <c r="AD271" s="1"/>
      <c r="AE271" s="1"/>
      <c r="AF271" s="1"/>
      <c r="AG271" s="67"/>
      <c r="AH271" s="4"/>
    </row>
    <row r="272" spans="1:34" ht="15.75">
      <c r="A272" s="1"/>
      <c r="B272" s="41">
        <f>B270+1</f>
        <v>30</v>
      </c>
      <c r="C272" s="110" t="s">
        <v>66</v>
      </c>
      <c r="D272" s="43" t="str">
        <f>"Ln "&amp;FIXED(+B246,0)&amp;"-"&amp;FIXED(+B270,0)</f>
        <v>Ln 7-29</v>
      </c>
      <c r="E272" s="119">
        <f aca="true" t="shared" si="48" ref="E272:AG272">E246-E270</f>
        <v>-406780.70291</v>
      </c>
      <c r="F272" s="65">
        <f t="shared" si="48"/>
        <v>-150696.56448</v>
      </c>
      <c r="G272" s="65">
        <f t="shared" si="48"/>
        <v>-43148.17443</v>
      </c>
      <c r="H272" s="65">
        <f t="shared" si="48"/>
        <v>-49798</v>
      </c>
      <c r="I272" s="65">
        <f t="shared" si="48"/>
        <v>-22567</v>
      </c>
      <c r="J272" s="120">
        <f t="shared" si="48"/>
        <v>-48158</v>
      </c>
      <c r="K272" s="64">
        <f t="shared" si="48"/>
        <v>-23918</v>
      </c>
      <c r="L272" s="65">
        <f t="shared" si="48"/>
        <v>-46345</v>
      </c>
      <c r="M272" s="65">
        <f t="shared" si="48"/>
        <v>0</v>
      </c>
      <c r="N272" s="65">
        <f t="shared" si="48"/>
        <v>-9239</v>
      </c>
      <c r="O272" s="65">
        <f t="shared" si="48"/>
        <v>-6342</v>
      </c>
      <c r="P272" s="120">
        <f t="shared" si="48"/>
        <v>0</v>
      </c>
      <c r="Q272" s="64">
        <f t="shared" si="48"/>
        <v>-6568.964</v>
      </c>
      <c r="R272" s="65">
        <f t="shared" si="48"/>
        <v>0</v>
      </c>
      <c r="S272" s="65">
        <f t="shared" si="48"/>
        <v>0</v>
      </c>
      <c r="T272" s="65">
        <f t="shared" si="48"/>
        <v>0</v>
      </c>
      <c r="U272" s="120">
        <f t="shared" si="48"/>
        <v>0</v>
      </c>
      <c r="V272" s="64">
        <f t="shared" si="48"/>
        <v>0</v>
      </c>
      <c r="W272" s="65">
        <f t="shared" si="48"/>
        <v>0</v>
      </c>
      <c r="X272" s="65">
        <f t="shared" si="48"/>
        <v>0</v>
      </c>
      <c r="Y272" s="65">
        <f t="shared" si="48"/>
        <v>0</v>
      </c>
      <c r="Z272" s="65">
        <f t="shared" si="48"/>
        <v>0</v>
      </c>
      <c r="AA272" s="120">
        <f t="shared" si="48"/>
        <v>0</v>
      </c>
      <c r="AB272" s="64">
        <f t="shared" si="48"/>
        <v>0</v>
      </c>
      <c r="AC272" s="65">
        <f t="shared" si="48"/>
        <v>0</v>
      </c>
      <c r="AD272" s="65">
        <f t="shared" si="48"/>
        <v>0</v>
      </c>
      <c r="AE272" s="65">
        <f t="shared" si="48"/>
        <v>0</v>
      </c>
      <c r="AF272" s="65">
        <f t="shared" si="48"/>
        <v>0</v>
      </c>
      <c r="AG272" s="120">
        <f t="shared" si="48"/>
        <v>0</v>
      </c>
      <c r="AH272" s="4"/>
    </row>
    <row r="273" spans="1:34" ht="15.75">
      <c r="A273" s="1"/>
      <c r="B273" s="41"/>
      <c r="C273" s="110"/>
      <c r="D273" s="43"/>
      <c r="E273" s="111"/>
      <c r="F273" s="1"/>
      <c r="G273" s="1"/>
      <c r="H273" s="1"/>
      <c r="I273" s="1"/>
      <c r="J273" s="67"/>
      <c r="K273" s="42"/>
      <c r="L273" s="1"/>
      <c r="M273" s="1"/>
      <c r="N273" s="1"/>
      <c r="O273" s="1"/>
      <c r="P273" s="67"/>
      <c r="Q273" s="42"/>
      <c r="R273" s="1"/>
      <c r="S273" s="1"/>
      <c r="T273" s="1"/>
      <c r="U273" s="67"/>
      <c r="V273" s="42"/>
      <c r="W273" s="1"/>
      <c r="X273" s="1"/>
      <c r="Y273" s="1"/>
      <c r="Z273" s="1"/>
      <c r="AA273" s="67"/>
      <c r="AB273" s="42"/>
      <c r="AC273" s="1"/>
      <c r="AD273" s="1"/>
      <c r="AE273" s="1"/>
      <c r="AF273" s="1"/>
      <c r="AG273" s="67"/>
      <c r="AH273" s="4"/>
    </row>
    <row r="274" spans="1:34" ht="15.75">
      <c r="A274" s="1"/>
      <c r="B274" s="41">
        <f>B272+1</f>
        <v>31</v>
      </c>
      <c r="C274" s="110" t="s">
        <v>67</v>
      </c>
      <c r="D274" s="43" t="str">
        <f>"From Ln "&amp;FIXED(+B311,0)&amp;" or "&amp;FIXED(+B313,0)</f>
        <v>From Ln 45 or 46</v>
      </c>
      <c r="E274" s="39">
        <f>SUM(F274:AG274)</f>
        <v>-138305.43898940002</v>
      </c>
      <c r="F274" s="1">
        <f aca="true" t="shared" si="49" ref="F274:AG274">IF(+F313=0,+F311,+F313)</f>
        <v>-51236.83192320001</v>
      </c>
      <c r="G274" s="1">
        <f t="shared" si="49"/>
        <v>-14670.3793062</v>
      </c>
      <c r="H274" s="1">
        <f t="shared" si="49"/>
        <v>-16931.32</v>
      </c>
      <c r="I274" s="1">
        <f t="shared" si="49"/>
        <v>-7672.780000000001</v>
      </c>
      <c r="J274" s="67">
        <f t="shared" si="49"/>
        <v>-16373.720000000001</v>
      </c>
      <c r="K274" s="42">
        <f t="shared" si="49"/>
        <v>-8132.120000000001</v>
      </c>
      <c r="L274" s="1">
        <f t="shared" si="49"/>
        <v>-15757.300000000001</v>
      </c>
      <c r="M274" s="1">
        <f t="shared" si="49"/>
        <v>0</v>
      </c>
      <c r="N274" s="1">
        <f t="shared" si="49"/>
        <v>-3141.26</v>
      </c>
      <c r="O274" s="1">
        <f t="shared" si="49"/>
        <v>-2156.28</v>
      </c>
      <c r="P274" s="67">
        <f t="shared" si="49"/>
        <v>0</v>
      </c>
      <c r="Q274" s="42">
        <f t="shared" si="49"/>
        <v>-2233.44776</v>
      </c>
      <c r="R274" s="1">
        <f t="shared" si="49"/>
        <v>0</v>
      </c>
      <c r="S274" s="1">
        <f t="shared" si="49"/>
        <v>0</v>
      </c>
      <c r="T274" s="1">
        <f t="shared" si="49"/>
        <v>0</v>
      </c>
      <c r="U274" s="67">
        <f t="shared" si="49"/>
        <v>0</v>
      </c>
      <c r="V274" s="42">
        <f t="shared" si="49"/>
        <v>0</v>
      </c>
      <c r="W274" s="1">
        <f t="shared" si="49"/>
        <v>0</v>
      </c>
      <c r="X274" s="1">
        <f t="shared" si="49"/>
        <v>0</v>
      </c>
      <c r="Y274" s="1">
        <f t="shared" si="49"/>
        <v>0</v>
      </c>
      <c r="Z274" s="1">
        <f t="shared" si="49"/>
        <v>0</v>
      </c>
      <c r="AA274" s="67">
        <f t="shared" si="49"/>
        <v>0</v>
      </c>
      <c r="AB274" s="42">
        <f t="shared" si="49"/>
        <v>0</v>
      </c>
      <c r="AC274" s="1">
        <f t="shared" si="49"/>
        <v>0</v>
      </c>
      <c r="AD274" s="1">
        <f t="shared" si="49"/>
        <v>0</v>
      </c>
      <c r="AE274" s="1">
        <f t="shared" si="49"/>
        <v>0</v>
      </c>
      <c r="AF274" s="1">
        <f t="shared" si="49"/>
        <v>0</v>
      </c>
      <c r="AG274" s="67">
        <f t="shared" si="49"/>
        <v>0</v>
      </c>
      <c r="AH274" s="4"/>
    </row>
    <row r="275" spans="1:34" ht="15">
      <c r="A275" s="1"/>
      <c r="B275" s="41"/>
      <c r="C275" s="111"/>
      <c r="D275" s="43"/>
      <c r="E275" s="39"/>
      <c r="F275" s="4"/>
      <c r="G275" s="4"/>
      <c r="H275" s="4"/>
      <c r="I275" s="4"/>
      <c r="J275" s="18"/>
      <c r="K275" s="40"/>
      <c r="L275" s="4"/>
      <c r="M275" s="4"/>
      <c r="N275" s="4"/>
      <c r="O275" s="4"/>
      <c r="P275" s="18"/>
      <c r="Q275" s="40"/>
      <c r="R275" s="4"/>
      <c r="S275" s="4"/>
      <c r="T275" s="4"/>
      <c r="U275" s="18"/>
      <c r="V275" s="40"/>
      <c r="W275" s="4"/>
      <c r="X275" s="4"/>
      <c r="Y275" s="4"/>
      <c r="Z275" s="4"/>
      <c r="AA275" s="18"/>
      <c r="AB275" s="40"/>
      <c r="AC275" s="4"/>
      <c r="AD275" s="4"/>
      <c r="AE275" s="4"/>
      <c r="AF275" s="4"/>
      <c r="AG275" s="18"/>
      <c r="AH275" s="4"/>
    </row>
    <row r="276" spans="1:34" ht="15.75">
      <c r="A276" s="1"/>
      <c r="B276" s="41">
        <f>B274+1</f>
        <v>32</v>
      </c>
      <c r="C276" s="110" t="s">
        <v>68</v>
      </c>
      <c r="D276" s="43" t="str">
        <f>"Ln "&amp;FIXED(+B270,0)&amp;"+"&amp;FIXED(+B274,0)</f>
        <v>Ln 29+31</v>
      </c>
      <c r="E276" s="118">
        <f aca="true" t="shared" si="50" ref="E276:AG276">E270+E274</f>
        <v>223042.26392059997</v>
      </c>
      <c r="F276" s="62">
        <f t="shared" si="50"/>
        <v>99459.7325568</v>
      </c>
      <c r="G276" s="62">
        <f t="shared" si="50"/>
        <v>-16955.2048762</v>
      </c>
      <c r="H276" s="62">
        <f t="shared" si="50"/>
        <v>32866.68</v>
      </c>
      <c r="I276" s="62">
        <f t="shared" si="50"/>
        <v>14894.22</v>
      </c>
      <c r="J276" s="63">
        <f t="shared" si="50"/>
        <v>31784.28</v>
      </c>
      <c r="K276" s="62">
        <f t="shared" si="50"/>
        <v>15785.88</v>
      </c>
      <c r="L276" s="62">
        <f t="shared" si="50"/>
        <v>30587.699999999997</v>
      </c>
      <c r="M276" s="62">
        <f t="shared" si="50"/>
        <v>0</v>
      </c>
      <c r="N276" s="62">
        <f t="shared" si="50"/>
        <v>6097.74</v>
      </c>
      <c r="O276" s="62">
        <f t="shared" si="50"/>
        <v>4185.719999999999</v>
      </c>
      <c r="P276" s="63">
        <f t="shared" si="50"/>
        <v>0</v>
      </c>
      <c r="Q276" s="62">
        <f t="shared" si="50"/>
        <v>4335.51624</v>
      </c>
      <c r="R276" s="62">
        <f t="shared" si="50"/>
        <v>0</v>
      </c>
      <c r="S276" s="62">
        <f t="shared" si="50"/>
        <v>0</v>
      </c>
      <c r="T276" s="62">
        <f t="shared" si="50"/>
        <v>0</v>
      </c>
      <c r="U276" s="63">
        <f t="shared" si="50"/>
        <v>0</v>
      </c>
      <c r="V276" s="62">
        <f t="shared" si="50"/>
        <v>0</v>
      </c>
      <c r="W276" s="62">
        <f t="shared" si="50"/>
        <v>0</v>
      </c>
      <c r="X276" s="62">
        <f t="shared" si="50"/>
        <v>0</v>
      </c>
      <c r="Y276" s="62">
        <f t="shared" si="50"/>
        <v>0</v>
      </c>
      <c r="Z276" s="62">
        <f t="shared" si="50"/>
        <v>0</v>
      </c>
      <c r="AA276" s="63">
        <f t="shared" si="50"/>
        <v>0</v>
      </c>
      <c r="AB276" s="62">
        <f t="shared" si="50"/>
        <v>0</v>
      </c>
      <c r="AC276" s="62">
        <f t="shared" si="50"/>
        <v>0</v>
      </c>
      <c r="AD276" s="62">
        <f t="shared" si="50"/>
        <v>0</v>
      </c>
      <c r="AE276" s="62">
        <f t="shared" si="50"/>
        <v>0</v>
      </c>
      <c r="AF276" s="62">
        <f t="shared" si="50"/>
        <v>0</v>
      </c>
      <c r="AG276" s="63">
        <f t="shared" si="50"/>
        <v>0</v>
      </c>
      <c r="AH276" s="4"/>
    </row>
    <row r="277" spans="1:34" ht="15.75">
      <c r="A277" s="1"/>
      <c r="B277" s="41">
        <f>B276+1</f>
        <v>33</v>
      </c>
      <c r="C277" s="110" t="s">
        <v>69</v>
      </c>
      <c r="D277" s="43" t="str">
        <f>"Ln "&amp;FIXED(+B246,0)&amp;"-"&amp;FIXED(+B276,0)</f>
        <v>Ln 7-32</v>
      </c>
      <c r="E277" s="121">
        <f aca="true" t="shared" si="51" ref="E277:AG277">E246-E276</f>
        <v>-268475.26392059994</v>
      </c>
      <c r="F277" s="69">
        <f t="shared" si="51"/>
        <v>-99459.7325568</v>
      </c>
      <c r="G277" s="69">
        <f t="shared" si="51"/>
        <v>-28477.7951238</v>
      </c>
      <c r="H277" s="69">
        <f t="shared" si="51"/>
        <v>-32866.68</v>
      </c>
      <c r="I277" s="69">
        <f t="shared" si="51"/>
        <v>-14894.22</v>
      </c>
      <c r="J277" s="70">
        <f t="shared" si="51"/>
        <v>-31784.28</v>
      </c>
      <c r="K277" s="69">
        <f t="shared" si="51"/>
        <v>-15785.88</v>
      </c>
      <c r="L277" s="69">
        <f t="shared" si="51"/>
        <v>-30587.699999999997</v>
      </c>
      <c r="M277" s="69">
        <f t="shared" si="51"/>
        <v>0</v>
      </c>
      <c r="N277" s="69">
        <f t="shared" si="51"/>
        <v>-6097.74</v>
      </c>
      <c r="O277" s="69">
        <f t="shared" si="51"/>
        <v>-4185.719999999999</v>
      </c>
      <c r="P277" s="70">
        <f t="shared" si="51"/>
        <v>0</v>
      </c>
      <c r="Q277" s="69">
        <f t="shared" si="51"/>
        <v>-4335.51624</v>
      </c>
      <c r="R277" s="69">
        <f t="shared" si="51"/>
        <v>0</v>
      </c>
      <c r="S277" s="69">
        <f t="shared" si="51"/>
        <v>0</v>
      </c>
      <c r="T277" s="69">
        <f t="shared" si="51"/>
        <v>0</v>
      </c>
      <c r="U277" s="70">
        <f t="shared" si="51"/>
        <v>0</v>
      </c>
      <c r="V277" s="69">
        <f t="shared" si="51"/>
        <v>0</v>
      </c>
      <c r="W277" s="69">
        <f t="shared" si="51"/>
        <v>0</v>
      </c>
      <c r="X277" s="69">
        <f t="shared" si="51"/>
        <v>0</v>
      </c>
      <c r="Y277" s="69">
        <f t="shared" si="51"/>
        <v>0</v>
      </c>
      <c r="Z277" s="69">
        <f t="shared" si="51"/>
        <v>0</v>
      </c>
      <c r="AA277" s="70">
        <f t="shared" si="51"/>
        <v>0</v>
      </c>
      <c r="AB277" s="69">
        <f t="shared" si="51"/>
        <v>0</v>
      </c>
      <c r="AC277" s="69">
        <f t="shared" si="51"/>
        <v>0</v>
      </c>
      <c r="AD277" s="69">
        <f t="shared" si="51"/>
        <v>0</v>
      </c>
      <c r="AE277" s="69">
        <f t="shared" si="51"/>
        <v>0</v>
      </c>
      <c r="AF277" s="69">
        <f t="shared" si="51"/>
        <v>0</v>
      </c>
      <c r="AG277" s="70">
        <f t="shared" si="51"/>
        <v>0</v>
      </c>
      <c r="AH277" s="4"/>
    </row>
    <row r="278" spans="1:34" ht="15">
      <c r="A278" s="1"/>
      <c r="B278" s="35"/>
      <c r="C278" s="111"/>
      <c r="D278" s="36"/>
      <c r="E278" s="122"/>
      <c r="F278" s="72"/>
      <c r="G278" s="72"/>
      <c r="H278" s="72"/>
      <c r="I278" s="72"/>
      <c r="J278" s="73"/>
      <c r="K278" s="71"/>
      <c r="L278" s="72"/>
      <c r="M278" s="72"/>
      <c r="N278" s="72"/>
      <c r="O278" s="72"/>
      <c r="P278" s="73"/>
      <c r="Q278" s="71"/>
      <c r="R278" s="72"/>
      <c r="S278" s="72"/>
      <c r="T278" s="72"/>
      <c r="U278" s="73"/>
      <c r="V278" s="71"/>
      <c r="W278" s="72"/>
      <c r="X278" s="72"/>
      <c r="Y278" s="72"/>
      <c r="Z278" s="72"/>
      <c r="AA278" s="73"/>
      <c r="AB278" s="71"/>
      <c r="AC278" s="72"/>
      <c r="AD278" s="72"/>
      <c r="AE278" s="72"/>
      <c r="AF278" s="72"/>
      <c r="AG278" s="73"/>
      <c r="AH278" s="4"/>
    </row>
    <row r="279" spans="1:34" ht="15.75">
      <c r="A279" s="1"/>
      <c r="B279" s="43"/>
      <c r="C279" s="110" t="s">
        <v>70</v>
      </c>
      <c r="D279" s="43"/>
      <c r="E279" s="123"/>
      <c r="F279" s="124"/>
      <c r="G279" s="124"/>
      <c r="H279" s="124"/>
      <c r="I279" s="124"/>
      <c r="J279" s="125"/>
      <c r="K279" s="74"/>
      <c r="L279" s="124"/>
      <c r="M279" s="124"/>
      <c r="N279" s="124"/>
      <c r="O279" s="124"/>
      <c r="P279" s="125"/>
      <c r="Q279" s="74"/>
      <c r="R279" s="124"/>
      <c r="S279" s="124"/>
      <c r="T279" s="124"/>
      <c r="U279" s="125"/>
      <c r="V279" s="74"/>
      <c r="W279" s="124"/>
      <c r="X279" s="124"/>
      <c r="Y279" s="124"/>
      <c r="Z279" s="124"/>
      <c r="AA279" s="125"/>
      <c r="AB279" s="74"/>
      <c r="AC279" s="124"/>
      <c r="AD279" s="124"/>
      <c r="AE279" s="124"/>
      <c r="AF279" s="124"/>
      <c r="AG279" s="125"/>
      <c r="AH279" s="4"/>
    </row>
    <row r="280" spans="1:34" ht="15">
      <c r="A280" s="1"/>
      <c r="B280" s="41">
        <f>B277+1</f>
        <v>34</v>
      </c>
      <c r="C280" s="111" t="s">
        <v>71</v>
      </c>
      <c r="D280" s="43" t="str">
        <f>"From Ln "&amp;FIXED(+B322,0)</f>
        <v>From Ln 52</v>
      </c>
      <c r="E280" s="39">
        <f>SUM(F280:AG280)</f>
        <v>67005</v>
      </c>
      <c r="F280" s="45">
        <f aca="true" t="shared" si="52" ref="F280:L280">F322</f>
        <v>0</v>
      </c>
      <c r="G280" s="45">
        <f t="shared" si="52"/>
        <v>0</v>
      </c>
      <c r="H280" s="45">
        <f t="shared" si="52"/>
        <v>0</v>
      </c>
      <c r="I280" s="45">
        <f t="shared" si="52"/>
        <v>0</v>
      </c>
      <c r="J280" s="46">
        <f t="shared" si="52"/>
        <v>0</v>
      </c>
      <c r="K280" s="75">
        <f t="shared" si="52"/>
        <v>0</v>
      </c>
      <c r="L280" s="45">
        <f t="shared" si="52"/>
        <v>0</v>
      </c>
      <c r="M280" s="147" t="s">
        <v>226</v>
      </c>
      <c r="N280" s="45">
        <f aca="true" t="shared" si="53" ref="N280:AG280">N322</f>
        <v>42506</v>
      </c>
      <c r="O280" s="45">
        <f t="shared" si="53"/>
        <v>0</v>
      </c>
      <c r="P280" s="46">
        <f t="shared" si="53"/>
        <v>0</v>
      </c>
      <c r="Q280" s="75">
        <f t="shared" si="53"/>
        <v>0</v>
      </c>
      <c r="R280" s="45">
        <f t="shared" si="53"/>
        <v>24499</v>
      </c>
      <c r="S280" s="45">
        <f t="shared" si="53"/>
        <v>0</v>
      </c>
      <c r="T280" s="45">
        <f t="shared" si="53"/>
        <v>0</v>
      </c>
      <c r="U280" s="46">
        <f t="shared" si="53"/>
        <v>0</v>
      </c>
      <c r="V280" s="75">
        <f t="shared" si="53"/>
        <v>0</v>
      </c>
      <c r="W280" s="45">
        <f t="shared" si="53"/>
        <v>0</v>
      </c>
      <c r="X280" s="45">
        <f t="shared" si="53"/>
        <v>0</v>
      </c>
      <c r="Y280" s="45">
        <f t="shared" si="53"/>
        <v>0</v>
      </c>
      <c r="Z280" s="45">
        <f t="shared" si="53"/>
        <v>0</v>
      </c>
      <c r="AA280" s="46">
        <f t="shared" si="53"/>
        <v>0</v>
      </c>
      <c r="AB280" s="75">
        <f t="shared" si="53"/>
        <v>0</v>
      </c>
      <c r="AC280" s="45">
        <f t="shared" si="53"/>
        <v>0</v>
      </c>
      <c r="AD280" s="45">
        <f t="shared" si="53"/>
        <v>0</v>
      </c>
      <c r="AE280" s="45">
        <f t="shared" si="53"/>
        <v>0</v>
      </c>
      <c r="AF280" s="45">
        <f t="shared" si="53"/>
        <v>0</v>
      </c>
      <c r="AG280" s="46">
        <f t="shared" si="53"/>
        <v>0</v>
      </c>
      <c r="AH280" s="4"/>
    </row>
    <row r="281" spans="1:34" ht="15">
      <c r="A281" s="1"/>
      <c r="B281" s="41">
        <f>B280+1</f>
        <v>35</v>
      </c>
      <c r="C281" s="111" t="s">
        <v>72</v>
      </c>
      <c r="D281" s="43" t="str">
        <f>"From Ln "&amp;FIXED(+B326,0)</f>
        <v>From Ln 55</v>
      </c>
      <c r="E281" s="39">
        <f>SUM(F281:AG281)</f>
        <v>0</v>
      </c>
      <c r="F281" s="49">
        <f aca="true" t="shared" si="54" ref="F281:AG281">F326</f>
        <v>0</v>
      </c>
      <c r="G281" s="49">
        <f t="shared" si="54"/>
        <v>0</v>
      </c>
      <c r="H281" s="49">
        <f t="shared" si="54"/>
        <v>0</v>
      </c>
      <c r="I281" s="49">
        <f t="shared" si="54"/>
        <v>0</v>
      </c>
      <c r="J281" s="50">
        <f t="shared" si="54"/>
        <v>0</v>
      </c>
      <c r="K281" s="76">
        <f t="shared" si="54"/>
        <v>0</v>
      </c>
      <c r="L281" s="49">
        <f t="shared" si="54"/>
        <v>0</v>
      </c>
      <c r="M281" s="49">
        <f t="shared" si="54"/>
        <v>0</v>
      </c>
      <c r="N281" s="49">
        <f t="shared" si="54"/>
        <v>0</v>
      </c>
      <c r="O281" s="49">
        <f t="shared" si="54"/>
        <v>0</v>
      </c>
      <c r="P281" s="50">
        <f t="shared" si="54"/>
        <v>0</v>
      </c>
      <c r="Q281" s="76">
        <f t="shared" si="54"/>
        <v>0</v>
      </c>
      <c r="R281" s="49">
        <f t="shared" si="54"/>
        <v>0</v>
      </c>
      <c r="S281" s="49">
        <f t="shared" si="54"/>
        <v>0</v>
      </c>
      <c r="T281" s="49">
        <f t="shared" si="54"/>
        <v>0</v>
      </c>
      <c r="U281" s="50">
        <f t="shared" si="54"/>
        <v>0</v>
      </c>
      <c r="V281" s="76">
        <f t="shared" si="54"/>
        <v>0</v>
      </c>
      <c r="W281" s="49">
        <f t="shared" si="54"/>
        <v>0</v>
      </c>
      <c r="X281" s="49">
        <f t="shared" si="54"/>
        <v>0</v>
      </c>
      <c r="Y281" s="49">
        <f t="shared" si="54"/>
        <v>0</v>
      </c>
      <c r="Z281" s="49">
        <f t="shared" si="54"/>
        <v>0</v>
      </c>
      <c r="AA281" s="50">
        <f t="shared" si="54"/>
        <v>0</v>
      </c>
      <c r="AB281" s="76">
        <f t="shared" si="54"/>
        <v>0</v>
      </c>
      <c r="AC281" s="49">
        <f t="shared" si="54"/>
        <v>0</v>
      </c>
      <c r="AD281" s="49">
        <f t="shared" si="54"/>
        <v>0</v>
      </c>
      <c r="AE281" s="49">
        <f t="shared" si="54"/>
        <v>0</v>
      </c>
      <c r="AF281" s="49">
        <f t="shared" si="54"/>
        <v>0</v>
      </c>
      <c r="AG281" s="50">
        <f t="shared" si="54"/>
        <v>0</v>
      </c>
      <c r="AH281" s="4"/>
    </row>
    <row r="282" spans="1:34" ht="15">
      <c r="A282" s="1"/>
      <c r="B282" s="41">
        <f>B281+1</f>
        <v>36</v>
      </c>
      <c r="C282" s="111" t="s">
        <v>73</v>
      </c>
      <c r="D282" s="43" t="str">
        <f>"Ln "&amp;FIXED(+B280,0)&amp;"-"&amp;FIXED(+B281,0)</f>
        <v>Ln 34-35</v>
      </c>
      <c r="E282" s="126">
        <f aca="true" t="shared" si="55" ref="E282:AG282">E280-E281</f>
        <v>67005</v>
      </c>
      <c r="F282" s="54">
        <f t="shared" si="55"/>
        <v>0</v>
      </c>
      <c r="G282" s="54">
        <f t="shared" si="55"/>
        <v>0</v>
      </c>
      <c r="H282" s="54">
        <f t="shared" si="55"/>
        <v>0</v>
      </c>
      <c r="I282" s="54">
        <f t="shared" si="55"/>
        <v>0</v>
      </c>
      <c r="J282" s="55">
        <f t="shared" si="55"/>
        <v>0</v>
      </c>
      <c r="K282" s="77">
        <f t="shared" si="55"/>
        <v>0</v>
      </c>
      <c r="L282" s="54">
        <f t="shared" si="55"/>
        <v>0</v>
      </c>
      <c r="M282" s="54" t="e">
        <f t="shared" si="55"/>
        <v>#VALUE!</v>
      </c>
      <c r="N282" s="54">
        <f t="shared" si="55"/>
        <v>42506</v>
      </c>
      <c r="O282" s="54">
        <f t="shared" si="55"/>
        <v>0</v>
      </c>
      <c r="P282" s="55">
        <f t="shared" si="55"/>
        <v>0</v>
      </c>
      <c r="Q282" s="77">
        <f t="shared" si="55"/>
        <v>0</v>
      </c>
      <c r="R282" s="54">
        <f t="shared" si="55"/>
        <v>24499</v>
      </c>
      <c r="S282" s="54">
        <f t="shared" si="55"/>
        <v>0</v>
      </c>
      <c r="T282" s="54">
        <f t="shared" si="55"/>
        <v>0</v>
      </c>
      <c r="U282" s="55">
        <f t="shared" si="55"/>
        <v>0</v>
      </c>
      <c r="V282" s="77">
        <f t="shared" si="55"/>
        <v>0</v>
      </c>
      <c r="W282" s="54">
        <f t="shared" si="55"/>
        <v>0</v>
      </c>
      <c r="X282" s="54">
        <f t="shared" si="55"/>
        <v>0</v>
      </c>
      <c r="Y282" s="54">
        <f t="shared" si="55"/>
        <v>0</v>
      </c>
      <c r="Z282" s="54">
        <f t="shared" si="55"/>
        <v>0</v>
      </c>
      <c r="AA282" s="55">
        <f t="shared" si="55"/>
        <v>0</v>
      </c>
      <c r="AB282" s="77">
        <f t="shared" si="55"/>
        <v>0</v>
      </c>
      <c r="AC282" s="54">
        <f t="shared" si="55"/>
        <v>0</v>
      </c>
      <c r="AD282" s="54">
        <f t="shared" si="55"/>
        <v>0</v>
      </c>
      <c r="AE282" s="54">
        <f t="shared" si="55"/>
        <v>0</v>
      </c>
      <c r="AF282" s="54">
        <f t="shared" si="55"/>
        <v>0</v>
      </c>
      <c r="AG282" s="55">
        <f t="shared" si="55"/>
        <v>0</v>
      </c>
      <c r="AH282" s="4"/>
    </row>
    <row r="283" spans="1:34" ht="15">
      <c r="A283" s="1"/>
      <c r="B283" s="41">
        <f>B282+1</f>
        <v>37</v>
      </c>
      <c r="C283" s="42" t="s">
        <v>74</v>
      </c>
      <c r="D283" s="43" t="str">
        <f>"From Ln "&amp;FIXED(+B327,0)</f>
        <v>From Ln 56</v>
      </c>
      <c r="E283" s="39">
        <f>SUM(F283:AG283)</f>
        <v>0</v>
      </c>
      <c r="F283" s="49">
        <f aca="true" t="shared" si="56" ref="F283:AG283">F327</f>
        <v>0</v>
      </c>
      <c r="G283" s="49">
        <f t="shared" si="56"/>
        <v>0</v>
      </c>
      <c r="H283" s="49">
        <f t="shared" si="56"/>
        <v>0</v>
      </c>
      <c r="I283" s="49">
        <f t="shared" si="56"/>
        <v>0</v>
      </c>
      <c r="J283" s="50">
        <f t="shared" si="56"/>
        <v>0</v>
      </c>
      <c r="K283" s="76">
        <f t="shared" si="56"/>
        <v>0</v>
      </c>
      <c r="L283" s="49">
        <f t="shared" si="56"/>
        <v>0</v>
      </c>
      <c r="M283" s="49">
        <f t="shared" si="56"/>
        <v>0</v>
      </c>
      <c r="N283" s="49">
        <f t="shared" si="56"/>
        <v>0</v>
      </c>
      <c r="O283" s="49">
        <f t="shared" si="56"/>
        <v>0</v>
      </c>
      <c r="P283" s="50">
        <f t="shared" si="56"/>
        <v>0</v>
      </c>
      <c r="Q283" s="76">
        <f t="shared" si="56"/>
        <v>0</v>
      </c>
      <c r="R283" s="49">
        <f t="shared" si="56"/>
        <v>0</v>
      </c>
      <c r="S283" s="49">
        <f t="shared" si="56"/>
        <v>0</v>
      </c>
      <c r="T283" s="49">
        <f t="shared" si="56"/>
        <v>0</v>
      </c>
      <c r="U283" s="50">
        <f t="shared" si="56"/>
        <v>0</v>
      </c>
      <c r="V283" s="76">
        <f t="shared" si="56"/>
        <v>0</v>
      </c>
      <c r="W283" s="49">
        <f t="shared" si="56"/>
        <v>0</v>
      </c>
      <c r="X283" s="49">
        <f t="shared" si="56"/>
        <v>0</v>
      </c>
      <c r="Y283" s="49">
        <f t="shared" si="56"/>
        <v>0</v>
      </c>
      <c r="Z283" s="49">
        <f t="shared" si="56"/>
        <v>0</v>
      </c>
      <c r="AA283" s="50">
        <f t="shared" si="56"/>
        <v>0</v>
      </c>
      <c r="AB283" s="76">
        <f t="shared" si="56"/>
        <v>0</v>
      </c>
      <c r="AC283" s="49">
        <f t="shared" si="56"/>
        <v>0</v>
      </c>
      <c r="AD283" s="49">
        <f t="shared" si="56"/>
        <v>0</v>
      </c>
      <c r="AE283" s="49">
        <f t="shared" si="56"/>
        <v>0</v>
      </c>
      <c r="AF283" s="49">
        <f t="shared" si="56"/>
        <v>0</v>
      </c>
      <c r="AG283" s="50">
        <f t="shared" si="56"/>
        <v>0</v>
      </c>
      <c r="AH283" s="4"/>
    </row>
    <row r="284" spans="1:34" ht="15">
      <c r="A284" s="1"/>
      <c r="B284" s="41">
        <f>B283+1</f>
        <v>38</v>
      </c>
      <c r="C284" s="111" t="s">
        <v>75</v>
      </c>
      <c r="D284" s="43" t="str">
        <f>"From Ln "&amp;FIXED(+B328,0)</f>
        <v>From Ln 57</v>
      </c>
      <c r="E284" s="39">
        <f>SUM(F284:AG284)</f>
        <v>0</v>
      </c>
      <c r="F284" s="49">
        <f aca="true" t="shared" si="57" ref="F284:AG284">F328</f>
        <v>0</v>
      </c>
      <c r="G284" s="49">
        <f t="shared" si="57"/>
        <v>0</v>
      </c>
      <c r="H284" s="49">
        <f t="shared" si="57"/>
        <v>0</v>
      </c>
      <c r="I284" s="49">
        <f t="shared" si="57"/>
        <v>0</v>
      </c>
      <c r="J284" s="50">
        <f t="shared" si="57"/>
        <v>0</v>
      </c>
      <c r="K284" s="76">
        <f t="shared" si="57"/>
        <v>0</v>
      </c>
      <c r="L284" s="49">
        <f t="shared" si="57"/>
        <v>0</v>
      </c>
      <c r="M284" s="49">
        <f t="shared" si="57"/>
        <v>0</v>
      </c>
      <c r="N284" s="49">
        <f t="shared" si="57"/>
        <v>0</v>
      </c>
      <c r="O284" s="49">
        <f t="shared" si="57"/>
        <v>0</v>
      </c>
      <c r="P284" s="50">
        <f t="shared" si="57"/>
        <v>0</v>
      </c>
      <c r="Q284" s="76">
        <f t="shared" si="57"/>
        <v>0</v>
      </c>
      <c r="R284" s="49">
        <f t="shared" si="57"/>
        <v>0</v>
      </c>
      <c r="S284" s="49">
        <f t="shared" si="57"/>
        <v>0</v>
      </c>
      <c r="T284" s="49">
        <f t="shared" si="57"/>
        <v>0</v>
      </c>
      <c r="U284" s="50">
        <f t="shared" si="57"/>
        <v>0</v>
      </c>
      <c r="V284" s="76">
        <f t="shared" si="57"/>
        <v>0</v>
      </c>
      <c r="W284" s="49">
        <f t="shared" si="57"/>
        <v>0</v>
      </c>
      <c r="X284" s="49">
        <f t="shared" si="57"/>
        <v>0</v>
      </c>
      <c r="Y284" s="49">
        <f t="shared" si="57"/>
        <v>0</v>
      </c>
      <c r="Z284" s="49">
        <f t="shared" si="57"/>
        <v>0</v>
      </c>
      <c r="AA284" s="50">
        <f t="shared" si="57"/>
        <v>0</v>
      </c>
      <c r="AB284" s="76">
        <f t="shared" si="57"/>
        <v>0</v>
      </c>
      <c r="AC284" s="49">
        <f t="shared" si="57"/>
        <v>0</v>
      </c>
      <c r="AD284" s="49">
        <f t="shared" si="57"/>
        <v>0</v>
      </c>
      <c r="AE284" s="49">
        <f t="shared" si="57"/>
        <v>0</v>
      </c>
      <c r="AF284" s="49">
        <f t="shared" si="57"/>
        <v>0</v>
      </c>
      <c r="AG284" s="50">
        <f t="shared" si="57"/>
        <v>0</v>
      </c>
      <c r="AH284" s="4"/>
    </row>
    <row r="285" spans="1:34" ht="15">
      <c r="A285" s="1"/>
      <c r="B285" s="41">
        <f>B284+1</f>
        <v>39</v>
      </c>
      <c r="C285" s="111" t="s">
        <v>76</v>
      </c>
      <c r="D285" s="43" t="str">
        <f>"From Ln "&amp;FIXED(+B330,0)</f>
        <v>From Ln 58</v>
      </c>
      <c r="E285" s="39">
        <f>SUM(F285:AG285)</f>
        <v>231387</v>
      </c>
      <c r="F285" s="49">
        <f aca="true" t="shared" si="58" ref="F285:AG285">F330</f>
        <v>0</v>
      </c>
      <c r="G285" s="49">
        <f t="shared" si="58"/>
        <v>0</v>
      </c>
      <c r="H285" s="49">
        <f t="shared" si="58"/>
        <v>0</v>
      </c>
      <c r="I285" s="49">
        <f t="shared" si="58"/>
        <v>0</v>
      </c>
      <c r="J285" s="50">
        <f t="shared" si="58"/>
        <v>0</v>
      </c>
      <c r="K285" s="76">
        <f t="shared" si="58"/>
        <v>0</v>
      </c>
      <c r="L285" s="49">
        <f t="shared" si="58"/>
        <v>0</v>
      </c>
      <c r="M285" s="49">
        <f t="shared" si="58"/>
        <v>0</v>
      </c>
      <c r="N285" s="49">
        <f t="shared" si="58"/>
        <v>0</v>
      </c>
      <c r="O285" s="49">
        <f t="shared" si="58"/>
        <v>0</v>
      </c>
      <c r="P285" s="50">
        <f t="shared" si="58"/>
        <v>231387</v>
      </c>
      <c r="Q285" s="76">
        <f t="shared" si="58"/>
        <v>0</v>
      </c>
      <c r="R285" s="49">
        <f t="shared" si="58"/>
        <v>0</v>
      </c>
      <c r="S285" s="49">
        <f t="shared" si="58"/>
        <v>0</v>
      </c>
      <c r="T285" s="49">
        <f t="shared" si="58"/>
        <v>0</v>
      </c>
      <c r="U285" s="50">
        <f t="shared" si="58"/>
        <v>0</v>
      </c>
      <c r="V285" s="76">
        <f t="shared" si="58"/>
        <v>0</v>
      </c>
      <c r="W285" s="49">
        <f t="shared" si="58"/>
        <v>0</v>
      </c>
      <c r="X285" s="49">
        <f t="shared" si="58"/>
        <v>0</v>
      </c>
      <c r="Y285" s="49">
        <f t="shared" si="58"/>
        <v>0</v>
      </c>
      <c r="Z285" s="49">
        <f t="shared" si="58"/>
        <v>0</v>
      </c>
      <c r="AA285" s="50">
        <f t="shared" si="58"/>
        <v>0</v>
      </c>
      <c r="AB285" s="76">
        <f t="shared" si="58"/>
        <v>0</v>
      </c>
      <c r="AC285" s="49">
        <f t="shared" si="58"/>
        <v>0</v>
      </c>
      <c r="AD285" s="49">
        <f t="shared" si="58"/>
        <v>0</v>
      </c>
      <c r="AE285" s="49">
        <f t="shared" si="58"/>
        <v>0</v>
      </c>
      <c r="AF285" s="49">
        <f t="shared" si="58"/>
        <v>0</v>
      </c>
      <c r="AG285" s="50">
        <f t="shared" si="58"/>
        <v>0</v>
      </c>
      <c r="AH285" s="4"/>
    </row>
    <row r="286" spans="1:34" ht="15">
      <c r="A286" s="1"/>
      <c r="B286" s="43"/>
      <c r="C286" s="111"/>
      <c r="D286" s="43"/>
      <c r="E286" s="127"/>
      <c r="F286" s="128"/>
      <c r="G286" s="128"/>
      <c r="H286" s="128"/>
      <c r="I286" s="128"/>
      <c r="J286" s="129"/>
      <c r="K286" s="78"/>
      <c r="L286" s="128"/>
      <c r="M286" s="128"/>
      <c r="N286" s="128"/>
      <c r="O286" s="128"/>
      <c r="P286" s="129"/>
      <c r="Q286" s="78"/>
      <c r="R286" s="128"/>
      <c r="S286" s="128"/>
      <c r="T286" s="128"/>
      <c r="U286" s="129"/>
      <c r="V286" s="78"/>
      <c r="W286" s="128"/>
      <c r="X286" s="128"/>
      <c r="Y286" s="128"/>
      <c r="Z286" s="128"/>
      <c r="AA286" s="129"/>
      <c r="AB286" s="78"/>
      <c r="AC286" s="128"/>
      <c r="AD286" s="128"/>
      <c r="AE286" s="128"/>
      <c r="AF286" s="128"/>
      <c r="AG286" s="129"/>
      <c r="AH286" s="4"/>
    </row>
    <row r="287" spans="1:34" ht="15.75">
      <c r="A287" s="1"/>
      <c r="B287" s="41">
        <f>B285+1</f>
        <v>40</v>
      </c>
      <c r="C287" s="110" t="s">
        <v>77</v>
      </c>
      <c r="D287" s="43" t="str">
        <f>"Ln "&amp;FIXED(+B282,0)&amp;"+"&amp;FIXED(+B283,0)&amp;"+"&amp;FIXED(+B284,0)&amp;"+"&amp;FIXED(+B285,0)</f>
        <v>Ln 36+37+38+39</v>
      </c>
      <c r="E287" s="121">
        <f aca="true" t="shared" si="59" ref="E287:AG287">E282+E283+E284+E285</f>
        <v>298392</v>
      </c>
      <c r="F287" s="68">
        <f t="shared" si="59"/>
        <v>0</v>
      </c>
      <c r="G287" s="69">
        <f t="shared" si="59"/>
        <v>0</v>
      </c>
      <c r="H287" s="69">
        <f t="shared" si="59"/>
        <v>0</v>
      </c>
      <c r="I287" s="69">
        <f t="shared" si="59"/>
        <v>0</v>
      </c>
      <c r="J287" s="70">
        <f t="shared" si="59"/>
        <v>0</v>
      </c>
      <c r="K287" s="68">
        <f t="shared" si="59"/>
        <v>0</v>
      </c>
      <c r="L287" s="69">
        <f t="shared" si="59"/>
        <v>0</v>
      </c>
      <c r="M287" s="69" t="e">
        <f t="shared" si="59"/>
        <v>#VALUE!</v>
      </c>
      <c r="N287" s="69">
        <f t="shared" si="59"/>
        <v>42506</v>
      </c>
      <c r="O287" s="69">
        <f t="shared" si="59"/>
        <v>0</v>
      </c>
      <c r="P287" s="70">
        <f t="shared" si="59"/>
        <v>231387</v>
      </c>
      <c r="Q287" s="68">
        <f t="shared" si="59"/>
        <v>0</v>
      </c>
      <c r="R287" s="69">
        <f t="shared" si="59"/>
        <v>24499</v>
      </c>
      <c r="S287" s="69">
        <f t="shared" si="59"/>
        <v>0</v>
      </c>
      <c r="T287" s="69">
        <f t="shared" si="59"/>
        <v>0</v>
      </c>
      <c r="U287" s="70">
        <f t="shared" si="59"/>
        <v>0</v>
      </c>
      <c r="V287" s="68">
        <f t="shared" si="59"/>
        <v>0</v>
      </c>
      <c r="W287" s="69">
        <f t="shared" si="59"/>
        <v>0</v>
      </c>
      <c r="X287" s="69">
        <f t="shared" si="59"/>
        <v>0</v>
      </c>
      <c r="Y287" s="69">
        <f t="shared" si="59"/>
        <v>0</v>
      </c>
      <c r="Z287" s="69">
        <f t="shared" si="59"/>
        <v>0</v>
      </c>
      <c r="AA287" s="70">
        <f t="shared" si="59"/>
        <v>0</v>
      </c>
      <c r="AB287" s="68">
        <f t="shared" si="59"/>
        <v>0</v>
      </c>
      <c r="AC287" s="69">
        <f t="shared" si="59"/>
        <v>0</v>
      </c>
      <c r="AD287" s="69">
        <f t="shared" si="59"/>
        <v>0</v>
      </c>
      <c r="AE287" s="69">
        <f t="shared" si="59"/>
        <v>0</v>
      </c>
      <c r="AF287" s="69">
        <f t="shared" si="59"/>
        <v>0</v>
      </c>
      <c r="AG287" s="70">
        <f t="shared" si="59"/>
        <v>0</v>
      </c>
      <c r="AH287" s="4"/>
    </row>
    <row r="288" spans="1:34" ht="15">
      <c r="A288" s="1"/>
      <c r="B288" s="35"/>
      <c r="C288" s="111"/>
      <c r="D288" s="43"/>
      <c r="E288" s="122"/>
      <c r="F288" s="72"/>
      <c r="G288" s="72"/>
      <c r="H288" s="72"/>
      <c r="I288" s="72"/>
      <c r="J288" s="73"/>
      <c r="K288" s="71"/>
      <c r="L288" s="72"/>
      <c r="M288" s="72"/>
      <c r="N288" s="72"/>
      <c r="O288" s="72"/>
      <c r="P288" s="73"/>
      <c r="Q288" s="71"/>
      <c r="R288" s="72"/>
      <c r="S288" s="72"/>
      <c r="T288" s="72"/>
      <c r="U288" s="73"/>
      <c r="V288" s="71"/>
      <c r="W288" s="72"/>
      <c r="X288" s="72"/>
      <c r="Y288" s="72"/>
      <c r="Z288" s="72"/>
      <c r="AA288" s="73"/>
      <c r="AB288" s="71"/>
      <c r="AC288" s="72"/>
      <c r="AD288" s="72"/>
      <c r="AE288" s="72"/>
      <c r="AF288" s="72"/>
      <c r="AG288" s="73"/>
      <c r="AH288" s="4"/>
    </row>
    <row r="289" spans="1:34" ht="15.75">
      <c r="A289" s="1"/>
      <c r="B289" s="41"/>
      <c r="C289" s="110"/>
      <c r="D289" s="43"/>
      <c r="E289" s="130"/>
      <c r="F289" s="131"/>
      <c r="G289" s="131"/>
      <c r="H289" s="131"/>
      <c r="I289" s="131"/>
      <c r="J289" s="132"/>
      <c r="K289" s="131"/>
      <c r="L289" s="131"/>
      <c r="M289" s="131"/>
      <c r="N289" s="131"/>
      <c r="O289" s="131"/>
      <c r="P289" s="132"/>
      <c r="Q289" s="131"/>
      <c r="R289" s="131"/>
      <c r="S289" s="131"/>
      <c r="T289" s="131"/>
      <c r="U289" s="132"/>
      <c r="V289" s="131"/>
      <c r="W289" s="131"/>
      <c r="X289" s="131"/>
      <c r="Y289" s="131"/>
      <c r="Z289" s="131"/>
      <c r="AA289" s="132"/>
      <c r="AB289" s="131"/>
      <c r="AC289" s="131"/>
      <c r="AD289" s="131"/>
      <c r="AE289" s="131"/>
      <c r="AF289" s="131"/>
      <c r="AG289" s="132"/>
      <c r="AH289" s="4"/>
    </row>
    <row r="290" spans="1:34" ht="15">
      <c r="A290" s="1"/>
      <c r="B290" s="82"/>
      <c r="C290" s="84"/>
      <c r="D290" s="84"/>
      <c r="E290" s="134"/>
      <c r="F290" s="135"/>
      <c r="G290" s="135"/>
      <c r="H290" s="135"/>
      <c r="I290" s="135"/>
      <c r="J290" s="136"/>
      <c r="K290" s="135"/>
      <c r="L290" s="135"/>
      <c r="M290" s="135"/>
      <c r="N290" s="135"/>
      <c r="O290" s="135"/>
      <c r="P290" s="136"/>
      <c r="Q290" s="135"/>
      <c r="R290" s="135"/>
      <c r="S290" s="135"/>
      <c r="T290" s="135"/>
      <c r="U290" s="136"/>
      <c r="V290" s="135"/>
      <c r="W290" s="135"/>
      <c r="X290" s="135"/>
      <c r="Y290" s="135"/>
      <c r="Z290" s="135"/>
      <c r="AA290" s="136"/>
      <c r="AB290" s="135"/>
      <c r="AC290" s="135"/>
      <c r="AD290" s="135"/>
      <c r="AE290" s="135"/>
      <c r="AF290" s="135"/>
      <c r="AG290" s="136"/>
      <c r="AH290" s="4"/>
    </row>
    <row r="291" spans="1:34" ht="15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ht="15">
      <c r="A292" s="4"/>
      <c r="B292" s="4"/>
      <c r="C292" s="4"/>
      <c r="D292" s="4"/>
      <c r="E292" s="4"/>
      <c r="F292" s="148">
        <f>18410/(F249+5800)</f>
        <v>0.13258339574811315</v>
      </c>
      <c r="G292" s="1">
        <f>156537*0.0765</f>
        <v>11975.080500000002</v>
      </c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ht="15">
      <c r="A293" s="4"/>
      <c r="B293" s="4"/>
      <c r="C293" s="4"/>
      <c r="D293" s="4"/>
      <c r="E293" s="4"/>
      <c r="F293" s="4"/>
      <c r="G293" s="1">
        <f>5800*0.13275</f>
        <v>769.95</v>
      </c>
      <c r="H293" s="1">
        <f>SUM(G292:G293)</f>
        <v>12745.030500000003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ht="15">
      <c r="A294" s="1" t="s">
        <v>227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ht="15.75">
      <c r="A295" s="4"/>
      <c r="B295" s="8" t="str">
        <f>$B$340</f>
        <v>RAINIER VIEW WATER CO., INC.</v>
      </c>
      <c r="C295" s="9"/>
      <c r="D295" s="12"/>
      <c r="E295" s="11"/>
      <c r="F295" s="11"/>
      <c r="G295" s="11"/>
      <c r="H295" s="11"/>
      <c r="I295" s="12" t="str">
        <f>$G$340</f>
        <v>Company Rebuttal</v>
      </c>
      <c r="J295" s="13"/>
      <c r="K295" s="11"/>
      <c r="L295" s="11"/>
      <c r="M295" s="11"/>
      <c r="N295" s="11"/>
      <c r="O295" s="12" t="str">
        <f>$G$340</f>
        <v>Company Rebuttal</v>
      </c>
      <c r="P295" s="149"/>
      <c r="Q295" s="11"/>
      <c r="R295" s="11"/>
      <c r="S295" s="11"/>
      <c r="T295" s="12" t="str">
        <f>$G$340</f>
        <v>Company Rebuttal</v>
      </c>
      <c r="U295" s="13"/>
      <c r="V295" s="11"/>
      <c r="W295" s="11"/>
      <c r="X295" s="11"/>
      <c r="Y295" s="11"/>
      <c r="Z295" s="12" t="str">
        <f>$G$340</f>
        <v>Company Rebuttal</v>
      </c>
      <c r="AA295" s="13"/>
      <c r="AB295" s="9"/>
      <c r="AC295" s="11"/>
      <c r="AD295" s="11"/>
      <c r="AE295" s="11"/>
      <c r="AF295" s="12" t="str">
        <f>$G$340</f>
        <v>Company Rebuttal</v>
      </c>
      <c r="AG295" s="13"/>
      <c r="AH295" s="4"/>
    </row>
    <row r="296" spans="1:34" ht="15.75">
      <c r="A296" s="4"/>
      <c r="B296" s="14" t="s">
        <v>228</v>
      </c>
      <c r="C296" s="1"/>
      <c r="D296" s="17"/>
      <c r="E296" s="4"/>
      <c r="F296" s="4"/>
      <c r="G296" s="4"/>
      <c r="H296" s="4"/>
      <c r="I296" s="17" t="str">
        <f>$G$341</f>
        <v>Docket No. UW-010877</v>
      </c>
      <c r="J296" s="18"/>
      <c r="K296" s="4"/>
      <c r="L296" s="4"/>
      <c r="M296" s="4"/>
      <c r="N296" s="4"/>
      <c r="O296" s="17" t="str">
        <f>$G$341</f>
        <v>Docket No. UW-010877</v>
      </c>
      <c r="P296" s="18"/>
      <c r="Q296" s="4"/>
      <c r="R296" s="4"/>
      <c r="S296" s="4"/>
      <c r="T296" s="17" t="str">
        <f>$G$341</f>
        <v>Docket No. UW-010877</v>
      </c>
      <c r="U296" s="18"/>
      <c r="V296" s="4"/>
      <c r="W296" s="4"/>
      <c r="X296" s="4"/>
      <c r="Y296" s="4"/>
      <c r="Z296" s="17" t="str">
        <f>$G$341</f>
        <v>Docket No. UW-010877</v>
      </c>
      <c r="AA296" s="18"/>
      <c r="AB296" s="4"/>
      <c r="AC296" s="4"/>
      <c r="AD296" s="4"/>
      <c r="AE296" s="4"/>
      <c r="AF296" s="17" t="str">
        <f>$G$341</f>
        <v>Docket No. UW-010877</v>
      </c>
      <c r="AG296" s="18"/>
      <c r="AH296" s="4"/>
    </row>
    <row r="297" spans="1:34" ht="15.75">
      <c r="A297" s="4"/>
      <c r="B297" s="14" t="s">
        <v>159</v>
      </c>
      <c r="C297" s="4"/>
      <c r="D297" s="17"/>
      <c r="E297" s="4"/>
      <c r="F297" s="4"/>
      <c r="G297" s="4"/>
      <c r="H297" s="4"/>
      <c r="I297" s="3" t="s">
        <v>229</v>
      </c>
      <c r="J297" s="18"/>
      <c r="K297" s="4"/>
      <c r="L297" s="4"/>
      <c r="M297" s="4"/>
      <c r="N297" s="4"/>
      <c r="O297" s="3" t="s">
        <v>230</v>
      </c>
      <c r="P297" s="18"/>
      <c r="Q297" s="4"/>
      <c r="R297" s="4"/>
      <c r="S297" s="4"/>
      <c r="T297" s="3" t="s">
        <v>231</v>
      </c>
      <c r="U297" s="18"/>
      <c r="V297" s="4"/>
      <c r="W297" s="4"/>
      <c r="X297" s="4"/>
      <c r="Y297" s="4"/>
      <c r="Z297" s="3" t="s">
        <v>232</v>
      </c>
      <c r="AA297" s="18"/>
      <c r="AB297" s="4"/>
      <c r="AC297" s="4"/>
      <c r="AD297" s="4"/>
      <c r="AE297" s="4"/>
      <c r="AF297" s="3" t="s">
        <v>233</v>
      </c>
      <c r="AG297" s="18"/>
      <c r="AH297" s="4"/>
    </row>
    <row r="298" spans="1:34" ht="15.75">
      <c r="A298" s="4"/>
      <c r="B298" s="19" t="str">
        <f>$B$342</f>
        <v>FOR THE 12 MONTHS ENDED DECEMBER 31, 2000</v>
      </c>
      <c r="C298" s="4"/>
      <c r="D298" s="17"/>
      <c r="E298" s="4"/>
      <c r="F298" s="4"/>
      <c r="G298" s="4"/>
      <c r="H298" s="4"/>
      <c r="I298" s="4"/>
      <c r="J298" s="18"/>
      <c r="K298" s="4"/>
      <c r="L298" s="4"/>
      <c r="M298" s="4"/>
      <c r="N298" s="4"/>
      <c r="O298" s="4"/>
      <c r="P298" s="18"/>
      <c r="Q298" s="4"/>
      <c r="R298" s="4"/>
      <c r="S298" s="4"/>
      <c r="T298" s="4"/>
      <c r="U298" s="18"/>
      <c r="V298" s="4"/>
      <c r="W298" s="4"/>
      <c r="X298" s="4"/>
      <c r="Y298" s="4"/>
      <c r="Z298" s="4"/>
      <c r="AA298" s="18"/>
      <c r="AB298" s="4"/>
      <c r="AC298" s="4"/>
      <c r="AD298" s="4"/>
      <c r="AE298" s="4"/>
      <c r="AF298" s="4"/>
      <c r="AG298" s="18"/>
      <c r="AH298" s="4"/>
    </row>
    <row r="299" spans="1:34" ht="15.75">
      <c r="A299" s="4"/>
      <c r="B299" s="19"/>
      <c r="C299" s="17"/>
      <c r="D299" s="17"/>
      <c r="E299" s="22"/>
      <c r="F299" s="22" t="s">
        <v>173</v>
      </c>
      <c r="G299" s="22" t="s">
        <v>174</v>
      </c>
      <c r="H299" s="22" t="s">
        <v>175</v>
      </c>
      <c r="I299" s="22" t="s">
        <v>176</v>
      </c>
      <c r="J299" s="26" t="s">
        <v>177</v>
      </c>
      <c r="K299" s="22" t="s">
        <v>178</v>
      </c>
      <c r="L299" s="22" t="s">
        <v>179</v>
      </c>
      <c r="M299" s="22" t="s">
        <v>180</v>
      </c>
      <c r="N299" s="22" t="s">
        <v>181</v>
      </c>
      <c r="O299" s="22" t="s">
        <v>182</v>
      </c>
      <c r="P299" s="26" t="s">
        <v>183</v>
      </c>
      <c r="Q299" s="22" t="s">
        <v>184</v>
      </c>
      <c r="R299" s="22" t="s">
        <v>185</v>
      </c>
      <c r="S299" s="24" t="s">
        <v>186</v>
      </c>
      <c r="T299" s="24" t="s">
        <v>187</v>
      </c>
      <c r="U299" s="23" t="s">
        <v>188</v>
      </c>
      <c r="V299" s="24" t="s">
        <v>189</v>
      </c>
      <c r="W299" s="24" t="s">
        <v>190</v>
      </c>
      <c r="X299" s="24" t="s">
        <v>234</v>
      </c>
      <c r="Y299" s="24" t="s">
        <v>235</v>
      </c>
      <c r="Z299" s="24" t="s">
        <v>236</v>
      </c>
      <c r="AA299" s="23" t="s">
        <v>237</v>
      </c>
      <c r="AB299" s="22" t="s">
        <v>238</v>
      </c>
      <c r="AC299" s="22" t="s">
        <v>239</v>
      </c>
      <c r="AD299" s="22" t="s">
        <v>240</v>
      </c>
      <c r="AE299" s="22" t="s">
        <v>241</v>
      </c>
      <c r="AF299" s="22" t="s">
        <v>242</v>
      </c>
      <c r="AG299" s="26" t="s">
        <v>243</v>
      </c>
      <c r="AH299" s="4"/>
    </row>
    <row r="300" spans="1:34" ht="15.75">
      <c r="A300" s="4"/>
      <c r="B300" s="19"/>
      <c r="C300" s="17"/>
      <c r="D300" s="17"/>
      <c r="E300" s="24" t="s">
        <v>9</v>
      </c>
      <c r="F300" s="22"/>
      <c r="G300" s="22" t="s">
        <v>192</v>
      </c>
      <c r="H300" s="22" t="s">
        <v>193</v>
      </c>
      <c r="I300" s="22" t="s">
        <v>194</v>
      </c>
      <c r="J300" s="23" t="s">
        <v>195</v>
      </c>
      <c r="K300" s="24"/>
      <c r="L300" s="22"/>
      <c r="M300" s="22" t="s">
        <v>196</v>
      </c>
      <c r="N300" s="22" t="s">
        <v>197</v>
      </c>
      <c r="O300" s="24"/>
      <c r="P300" s="26" t="s">
        <v>198</v>
      </c>
      <c r="Q300" s="22" t="s">
        <v>199</v>
      </c>
      <c r="R300" s="22" t="s">
        <v>200</v>
      </c>
      <c r="S300" s="4"/>
      <c r="T300" s="4"/>
      <c r="U300" s="18"/>
      <c r="V300" s="4"/>
      <c r="W300" s="4"/>
      <c r="X300" s="4"/>
      <c r="Y300" s="4"/>
      <c r="Z300" s="4"/>
      <c r="AA300" s="18"/>
      <c r="AB300" s="4"/>
      <c r="AC300" s="4"/>
      <c r="AD300" s="4"/>
      <c r="AE300" s="4"/>
      <c r="AF300" s="4"/>
      <c r="AG300" s="18"/>
      <c r="AH300" s="4"/>
    </row>
    <row r="301" spans="1:34" ht="15.75">
      <c r="A301" s="4"/>
      <c r="B301" s="25" t="s">
        <v>14</v>
      </c>
      <c r="C301" s="17"/>
      <c r="D301" s="17"/>
      <c r="E301" s="22" t="s">
        <v>13</v>
      </c>
      <c r="F301" s="22"/>
      <c r="G301" s="22" t="s">
        <v>201</v>
      </c>
      <c r="H301" s="22" t="s">
        <v>202</v>
      </c>
      <c r="I301" s="22" t="s">
        <v>203</v>
      </c>
      <c r="J301" s="23" t="s">
        <v>204</v>
      </c>
      <c r="K301" s="24" t="s">
        <v>205</v>
      </c>
      <c r="L301" s="22" t="s">
        <v>206</v>
      </c>
      <c r="M301" s="22" t="s">
        <v>207</v>
      </c>
      <c r="N301" s="22" t="s">
        <v>208</v>
      </c>
      <c r="O301" s="22" t="s">
        <v>209</v>
      </c>
      <c r="P301" s="26" t="s">
        <v>210</v>
      </c>
      <c r="Q301" s="22" t="s">
        <v>211</v>
      </c>
      <c r="R301" s="22" t="s">
        <v>212</v>
      </c>
      <c r="S301" s="4"/>
      <c r="T301" s="4"/>
      <c r="U301" s="18"/>
      <c r="V301" s="4"/>
      <c r="W301" s="4"/>
      <c r="X301" s="4"/>
      <c r="Y301" s="4"/>
      <c r="Z301" s="4"/>
      <c r="AA301" s="18"/>
      <c r="AB301" s="4"/>
      <c r="AC301" s="4"/>
      <c r="AD301" s="4"/>
      <c r="AE301" s="4"/>
      <c r="AF301" s="4"/>
      <c r="AG301" s="18"/>
      <c r="AH301" s="4"/>
    </row>
    <row r="302" spans="1:34" ht="15.75">
      <c r="A302" s="4"/>
      <c r="B302" s="27" t="s">
        <v>18</v>
      </c>
      <c r="C302" s="28" t="s">
        <v>19</v>
      </c>
      <c r="D302" s="28" t="s">
        <v>20</v>
      </c>
      <c r="E302" s="29" t="s">
        <v>22</v>
      </c>
      <c r="F302" s="28" t="s">
        <v>199</v>
      </c>
      <c r="G302" s="28" t="s">
        <v>214</v>
      </c>
      <c r="H302" s="28" t="s">
        <v>215</v>
      </c>
      <c r="I302" s="28" t="s">
        <v>216</v>
      </c>
      <c r="J302" s="23" t="s">
        <v>217</v>
      </c>
      <c r="K302" s="24" t="s">
        <v>218</v>
      </c>
      <c r="L302" s="22" t="s">
        <v>204</v>
      </c>
      <c r="M302" s="22" t="s">
        <v>219</v>
      </c>
      <c r="N302" s="22" t="s">
        <v>220</v>
      </c>
      <c r="O302" s="28" t="s">
        <v>221</v>
      </c>
      <c r="P302" s="30" t="s">
        <v>222</v>
      </c>
      <c r="Q302" s="28" t="s">
        <v>223</v>
      </c>
      <c r="R302" s="28" t="s">
        <v>224</v>
      </c>
      <c r="S302" s="4"/>
      <c r="T302" s="4"/>
      <c r="U302" s="18"/>
      <c r="V302" s="4"/>
      <c r="W302" s="4"/>
      <c r="X302" s="4"/>
      <c r="Y302" s="4"/>
      <c r="Z302" s="4"/>
      <c r="AA302" s="18"/>
      <c r="AB302" s="4"/>
      <c r="AC302" s="4"/>
      <c r="AD302" s="4"/>
      <c r="AE302" s="4"/>
      <c r="AF302" s="4"/>
      <c r="AG302" s="18"/>
      <c r="AH302" s="4"/>
    </row>
    <row r="303" spans="1:34" ht="15.75">
      <c r="A303" s="4"/>
      <c r="B303" s="31"/>
      <c r="C303" s="31" t="s">
        <v>25</v>
      </c>
      <c r="D303" s="31" t="s">
        <v>26</v>
      </c>
      <c r="E303" s="32" t="s">
        <v>27</v>
      </c>
      <c r="F303" s="33" t="s">
        <v>28</v>
      </c>
      <c r="G303" s="33" t="s">
        <v>29</v>
      </c>
      <c r="H303" s="33" t="s">
        <v>30</v>
      </c>
      <c r="I303" s="33" t="s">
        <v>31</v>
      </c>
      <c r="J303" s="34" t="s">
        <v>32</v>
      </c>
      <c r="K303" s="31" t="s">
        <v>33</v>
      </c>
      <c r="L303" s="33" t="s">
        <v>140</v>
      </c>
      <c r="M303" s="33" t="s">
        <v>141</v>
      </c>
      <c r="N303" s="33" t="s">
        <v>142</v>
      </c>
      <c r="O303" s="33" t="s">
        <v>143</v>
      </c>
      <c r="P303" s="34" t="s">
        <v>144</v>
      </c>
      <c r="Q303" s="31" t="s">
        <v>145</v>
      </c>
      <c r="R303" s="33" t="s">
        <v>145</v>
      </c>
      <c r="S303" s="33" t="s">
        <v>146</v>
      </c>
      <c r="T303" s="33" t="s">
        <v>147</v>
      </c>
      <c r="U303" s="34" t="s">
        <v>144</v>
      </c>
      <c r="V303" s="31" t="s">
        <v>144</v>
      </c>
      <c r="W303" s="33" t="s">
        <v>148</v>
      </c>
      <c r="X303" s="33" t="s">
        <v>146</v>
      </c>
      <c r="Y303" s="33" t="s">
        <v>149</v>
      </c>
      <c r="Z303" s="33" t="s">
        <v>150</v>
      </c>
      <c r="AA303" s="34" t="s">
        <v>149</v>
      </c>
      <c r="AB303" s="107" t="s">
        <v>151</v>
      </c>
      <c r="AC303" s="108" t="s">
        <v>152</v>
      </c>
      <c r="AD303" s="108" t="s">
        <v>153</v>
      </c>
      <c r="AE303" s="108" t="s">
        <v>154</v>
      </c>
      <c r="AF303" s="108" t="s">
        <v>155</v>
      </c>
      <c r="AG303" s="109" t="s">
        <v>156</v>
      </c>
      <c r="AH303" s="4"/>
    </row>
    <row r="304" spans="1:34" ht="15">
      <c r="A304" s="4"/>
      <c r="B304" s="35"/>
      <c r="C304" s="35"/>
      <c r="D304" s="35"/>
      <c r="E304" s="36"/>
      <c r="F304" s="37"/>
      <c r="G304" s="37"/>
      <c r="H304" s="4"/>
      <c r="I304" s="4"/>
      <c r="J304" s="18"/>
      <c r="K304" s="40"/>
      <c r="L304" s="4"/>
      <c r="M304" s="4"/>
      <c r="N304" s="4"/>
      <c r="O304" s="4"/>
      <c r="P304" s="18"/>
      <c r="Q304" s="40"/>
      <c r="R304" s="4"/>
      <c r="S304" s="4"/>
      <c r="T304" s="4"/>
      <c r="U304" s="18"/>
      <c r="V304" s="40"/>
      <c r="W304" s="4"/>
      <c r="X304" s="4"/>
      <c r="Y304" s="4"/>
      <c r="Z304" s="4"/>
      <c r="AA304" s="18"/>
      <c r="AB304" s="40"/>
      <c r="AC304" s="4"/>
      <c r="AD304" s="4"/>
      <c r="AE304" s="4"/>
      <c r="AF304" s="4"/>
      <c r="AG304" s="18"/>
      <c r="AH304" s="4"/>
    </row>
    <row r="305" spans="1:34" ht="15.75">
      <c r="A305" s="4"/>
      <c r="B305" s="35"/>
      <c r="C305" s="89" t="s">
        <v>84</v>
      </c>
      <c r="D305" s="41"/>
      <c r="E305" s="39"/>
      <c r="F305" s="4"/>
      <c r="G305" s="4"/>
      <c r="H305" s="4"/>
      <c r="I305" s="4"/>
      <c r="J305" s="18"/>
      <c r="K305" s="40"/>
      <c r="L305" s="4"/>
      <c r="M305" s="4"/>
      <c r="N305" s="4"/>
      <c r="O305" s="4"/>
      <c r="P305" s="18"/>
      <c r="Q305" s="40"/>
      <c r="R305" s="4"/>
      <c r="S305" s="4"/>
      <c r="T305" s="4"/>
      <c r="U305" s="18"/>
      <c r="V305" s="40"/>
      <c r="W305" s="4"/>
      <c r="X305" s="4"/>
      <c r="Y305" s="4"/>
      <c r="Z305" s="4"/>
      <c r="AA305" s="18"/>
      <c r="AB305" s="40"/>
      <c r="AC305" s="4"/>
      <c r="AD305" s="4"/>
      <c r="AE305" s="4"/>
      <c r="AF305" s="4"/>
      <c r="AG305" s="18"/>
      <c r="AH305" s="4"/>
    </row>
    <row r="306" spans="1:34" ht="15">
      <c r="A306" s="4"/>
      <c r="B306" s="41">
        <f>B287+1</f>
        <v>41</v>
      </c>
      <c r="C306" s="42" t="s">
        <v>85</v>
      </c>
      <c r="D306" s="41" t="str">
        <f>"From Ln "&amp;FIXED(+B272,0)</f>
        <v>From Ln 30</v>
      </c>
      <c r="E306" s="112">
        <f>SUM(F306:AG306)</f>
        <v>-406780.70291</v>
      </c>
      <c r="F306" s="45">
        <f aca="true" t="shared" si="60" ref="F306:AG306">F246-F270</f>
        <v>-150696.56448</v>
      </c>
      <c r="G306" s="45">
        <f t="shared" si="60"/>
        <v>-43148.17443</v>
      </c>
      <c r="H306" s="45">
        <f t="shared" si="60"/>
        <v>-49798</v>
      </c>
      <c r="I306" s="45">
        <f t="shared" si="60"/>
        <v>-22567</v>
      </c>
      <c r="J306" s="46">
        <f t="shared" si="60"/>
        <v>-48158</v>
      </c>
      <c r="K306" s="75">
        <f t="shared" si="60"/>
        <v>-23918</v>
      </c>
      <c r="L306" s="45">
        <f t="shared" si="60"/>
        <v>-46345</v>
      </c>
      <c r="M306" s="45">
        <f t="shared" si="60"/>
        <v>0</v>
      </c>
      <c r="N306" s="45">
        <f t="shared" si="60"/>
        <v>-9239</v>
      </c>
      <c r="O306" s="45">
        <f t="shared" si="60"/>
        <v>-6342</v>
      </c>
      <c r="P306" s="46">
        <f t="shared" si="60"/>
        <v>0</v>
      </c>
      <c r="Q306" s="75">
        <f t="shared" si="60"/>
        <v>-6568.964</v>
      </c>
      <c r="R306" s="45">
        <f t="shared" si="60"/>
        <v>0</v>
      </c>
      <c r="S306" s="45">
        <f t="shared" si="60"/>
        <v>0</v>
      </c>
      <c r="T306" s="45">
        <f t="shared" si="60"/>
        <v>0</v>
      </c>
      <c r="U306" s="46">
        <f t="shared" si="60"/>
        <v>0</v>
      </c>
      <c r="V306" s="75">
        <f t="shared" si="60"/>
        <v>0</v>
      </c>
      <c r="W306" s="45">
        <f t="shared" si="60"/>
        <v>0</v>
      </c>
      <c r="X306" s="45">
        <f t="shared" si="60"/>
        <v>0</v>
      </c>
      <c r="Y306" s="45">
        <f t="shared" si="60"/>
        <v>0</v>
      </c>
      <c r="Z306" s="45">
        <f t="shared" si="60"/>
        <v>0</v>
      </c>
      <c r="AA306" s="46">
        <f t="shared" si="60"/>
        <v>0</v>
      </c>
      <c r="AB306" s="75">
        <f t="shared" si="60"/>
        <v>0</v>
      </c>
      <c r="AC306" s="45">
        <f t="shared" si="60"/>
        <v>0</v>
      </c>
      <c r="AD306" s="45">
        <f t="shared" si="60"/>
        <v>0</v>
      </c>
      <c r="AE306" s="45">
        <f t="shared" si="60"/>
        <v>0</v>
      </c>
      <c r="AF306" s="45">
        <f t="shared" si="60"/>
        <v>0</v>
      </c>
      <c r="AG306" s="46">
        <f t="shared" si="60"/>
        <v>0</v>
      </c>
      <c r="AH306" s="4"/>
    </row>
    <row r="307" spans="1:34" ht="15">
      <c r="A307" s="4"/>
      <c r="B307" s="41">
        <f>B306+1</f>
        <v>42</v>
      </c>
      <c r="C307" s="40" t="s">
        <v>165</v>
      </c>
      <c r="D307" s="35" t="s">
        <v>36</v>
      </c>
      <c r="E307" s="39">
        <f>SUM(F307:AG307)</f>
        <v>0</v>
      </c>
      <c r="F307" s="4">
        <v>0</v>
      </c>
      <c r="G307" s="4">
        <v>0</v>
      </c>
      <c r="H307" s="4">
        <v>0</v>
      </c>
      <c r="I307" s="4">
        <v>0</v>
      </c>
      <c r="J307" s="18">
        <v>0</v>
      </c>
      <c r="K307" s="40">
        <v>0</v>
      </c>
      <c r="L307" s="4">
        <v>0</v>
      </c>
      <c r="M307" s="4">
        <v>0</v>
      </c>
      <c r="N307" s="4">
        <v>0</v>
      </c>
      <c r="O307" s="4">
        <v>0</v>
      </c>
      <c r="P307" s="18">
        <v>0</v>
      </c>
      <c r="Q307" s="40">
        <v>0</v>
      </c>
      <c r="R307" s="4">
        <v>0</v>
      </c>
      <c r="S307" s="4">
        <v>0</v>
      </c>
      <c r="T307" s="4">
        <v>0</v>
      </c>
      <c r="U307" s="18">
        <v>0</v>
      </c>
      <c r="V307" s="40">
        <v>0</v>
      </c>
      <c r="W307" s="4">
        <v>0</v>
      </c>
      <c r="X307" s="4">
        <v>0</v>
      </c>
      <c r="Y307" s="4">
        <v>0</v>
      </c>
      <c r="Z307" s="4">
        <v>0</v>
      </c>
      <c r="AA307" s="18">
        <v>0</v>
      </c>
      <c r="AB307" s="40">
        <v>0</v>
      </c>
      <c r="AC307" s="4">
        <v>0</v>
      </c>
      <c r="AD307" s="4">
        <v>0</v>
      </c>
      <c r="AE307" s="4">
        <v>0</v>
      </c>
      <c r="AF307" s="4">
        <v>0</v>
      </c>
      <c r="AG307" s="18">
        <v>0</v>
      </c>
      <c r="AH307" s="4"/>
    </row>
    <row r="308" spans="1:34" ht="15">
      <c r="A308" s="4"/>
      <c r="B308" s="41">
        <f>B307+1</f>
        <v>43</v>
      </c>
      <c r="C308" s="40" t="s">
        <v>87</v>
      </c>
      <c r="D308" s="35" t="s">
        <v>36</v>
      </c>
      <c r="E308" s="39">
        <f>SUM(F308:AG308)</f>
        <v>0</v>
      </c>
      <c r="F308" s="1">
        <v>0</v>
      </c>
      <c r="G308" s="1">
        <v>0</v>
      </c>
      <c r="H308" s="1">
        <v>0</v>
      </c>
      <c r="I308" s="1">
        <v>0</v>
      </c>
      <c r="J308" s="67">
        <v>0</v>
      </c>
      <c r="K308" s="42">
        <v>0</v>
      </c>
      <c r="L308" s="1">
        <v>0</v>
      </c>
      <c r="M308" s="1">
        <v>0</v>
      </c>
      <c r="N308" s="1">
        <v>0</v>
      </c>
      <c r="O308" s="1">
        <v>0</v>
      </c>
      <c r="P308" s="67">
        <v>0</v>
      </c>
      <c r="Q308" s="42">
        <v>0</v>
      </c>
      <c r="R308" s="1">
        <v>0</v>
      </c>
      <c r="S308" s="1">
        <v>0</v>
      </c>
      <c r="T308" s="1">
        <v>0</v>
      </c>
      <c r="U308" s="67">
        <v>0</v>
      </c>
      <c r="V308" s="42">
        <v>0</v>
      </c>
      <c r="W308" s="1">
        <v>0</v>
      </c>
      <c r="X308" s="1">
        <v>0</v>
      </c>
      <c r="Y308" s="1">
        <v>0</v>
      </c>
      <c r="Z308" s="1">
        <v>0</v>
      </c>
      <c r="AA308" s="67">
        <v>0</v>
      </c>
      <c r="AB308" s="42">
        <v>0</v>
      </c>
      <c r="AC308" s="1">
        <v>0</v>
      </c>
      <c r="AD308" s="1">
        <v>0</v>
      </c>
      <c r="AE308" s="1">
        <v>0</v>
      </c>
      <c r="AF308" s="1">
        <v>0</v>
      </c>
      <c r="AG308" s="67">
        <v>0</v>
      </c>
      <c r="AH308" s="4"/>
    </row>
    <row r="309" spans="1:34" ht="15">
      <c r="A309" s="4"/>
      <c r="B309" s="41">
        <f>B308+1</f>
        <v>44</v>
      </c>
      <c r="C309" s="40" t="s">
        <v>88</v>
      </c>
      <c r="D309" s="41" t="str">
        <f>"Ln "&amp;FIXED(+B306,0)&amp;"+"&amp;FIXED(+B307,0)&amp;"+"&amp;FIXED(+B308,0)</f>
        <v>Ln 41+42+43</v>
      </c>
      <c r="E309" s="111">
        <f aca="true" t="shared" si="61" ref="E309:AG309">E306+E307+E308</f>
        <v>-406780.70291</v>
      </c>
      <c r="F309" s="42">
        <f t="shared" si="61"/>
        <v>-150696.56448</v>
      </c>
      <c r="G309" s="1">
        <f t="shared" si="61"/>
        <v>-43148.17443</v>
      </c>
      <c r="H309" s="1">
        <f t="shared" si="61"/>
        <v>-49798</v>
      </c>
      <c r="I309" s="1">
        <f t="shared" si="61"/>
        <v>-22567</v>
      </c>
      <c r="J309" s="67">
        <f t="shared" si="61"/>
        <v>-48158</v>
      </c>
      <c r="K309" s="42">
        <f t="shared" si="61"/>
        <v>-23918</v>
      </c>
      <c r="L309" s="1">
        <f t="shared" si="61"/>
        <v>-46345</v>
      </c>
      <c r="M309" s="1">
        <f t="shared" si="61"/>
        <v>0</v>
      </c>
      <c r="N309" s="1">
        <f t="shared" si="61"/>
        <v>-9239</v>
      </c>
      <c r="O309" s="1">
        <f t="shared" si="61"/>
        <v>-6342</v>
      </c>
      <c r="P309" s="67">
        <f t="shared" si="61"/>
        <v>0</v>
      </c>
      <c r="Q309" s="42">
        <f t="shared" si="61"/>
        <v>-6568.964</v>
      </c>
      <c r="R309" s="1">
        <f t="shared" si="61"/>
        <v>0</v>
      </c>
      <c r="S309" s="1">
        <f t="shared" si="61"/>
        <v>0</v>
      </c>
      <c r="T309" s="1">
        <f t="shared" si="61"/>
        <v>0</v>
      </c>
      <c r="U309" s="67">
        <f t="shared" si="61"/>
        <v>0</v>
      </c>
      <c r="V309" s="42">
        <f t="shared" si="61"/>
        <v>0</v>
      </c>
      <c r="W309" s="1">
        <f t="shared" si="61"/>
        <v>0</v>
      </c>
      <c r="X309" s="1">
        <f t="shared" si="61"/>
        <v>0</v>
      </c>
      <c r="Y309" s="1">
        <f t="shared" si="61"/>
        <v>0</v>
      </c>
      <c r="Z309" s="1">
        <f t="shared" si="61"/>
        <v>0</v>
      </c>
      <c r="AA309" s="67">
        <f t="shared" si="61"/>
        <v>0</v>
      </c>
      <c r="AB309" s="42">
        <f t="shared" si="61"/>
        <v>0</v>
      </c>
      <c r="AC309" s="1">
        <f t="shared" si="61"/>
        <v>0</v>
      </c>
      <c r="AD309" s="1">
        <f t="shared" si="61"/>
        <v>0</v>
      </c>
      <c r="AE309" s="1">
        <f t="shared" si="61"/>
        <v>0</v>
      </c>
      <c r="AF309" s="1">
        <f t="shared" si="61"/>
        <v>0</v>
      </c>
      <c r="AG309" s="67">
        <f t="shared" si="61"/>
        <v>0</v>
      </c>
      <c r="AH309" s="4"/>
    </row>
    <row r="310" spans="1:34" ht="15">
      <c r="A310" s="4"/>
      <c r="B310" s="35"/>
      <c r="C310" s="40"/>
      <c r="D310" s="40"/>
      <c r="E310" s="39"/>
      <c r="F310" s="4"/>
      <c r="G310" s="4"/>
      <c r="H310" s="4"/>
      <c r="I310" s="4"/>
      <c r="J310" s="18"/>
      <c r="K310" s="40"/>
      <c r="L310" s="4"/>
      <c r="M310" s="4"/>
      <c r="N310" s="4"/>
      <c r="O310" s="4"/>
      <c r="P310" s="18"/>
      <c r="Q310" s="40"/>
      <c r="R310" s="4"/>
      <c r="S310" s="4"/>
      <c r="T310" s="4"/>
      <c r="U310" s="18"/>
      <c r="V310" s="40"/>
      <c r="W310" s="4"/>
      <c r="X310" s="4"/>
      <c r="Y310" s="4"/>
      <c r="Z310" s="4"/>
      <c r="AA310" s="18"/>
      <c r="AB310" s="40"/>
      <c r="AC310" s="4"/>
      <c r="AD310" s="4"/>
      <c r="AE310" s="4"/>
      <c r="AF310" s="4"/>
      <c r="AG310" s="18"/>
      <c r="AH310" s="4"/>
    </row>
    <row r="311" spans="1:34" ht="15.75">
      <c r="A311" s="4"/>
      <c r="B311" s="41">
        <f>B309+1</f>
        <v>45</v>
      </c>
      <c r="C311" s="42" t="s">
        <v>89</v>
      </c>
      <c r="D311" s="42" t="str">
        <f>"Ln "&amp;FIXED(+B309,0)&amp;" x ("&amp;FIXED(+$E$360*100,2)&amp;"%/100)"</f>
        <v>Ln 44 x (34.00%/100)</v>
      </c>
      <c r="E311" s="137">
        <f aca="true" t="shared" si="62" ref="E311:AG311">E309*$E$360</f>
        <v>-138305.43898940002</v>
      </c>
      <c r="F311" s="138">
        <f t="shared" si="62"/>
        <v>-51236.83192320001</v>
      </c>
      <c r="G311" s="138">
        <f t="shared" si="62"/>
        <v>-14670.3793062</v>
      </c>
      <c r="H311" s="138">
        <f t="shared" si="62"/>
        <v>-16931.32</v>
      </c>
      <c r="I311" s="138">
        <f t="shared" si="62"/>
        <v>-7672.780000000001</v>
      </c>
      <c r="J311" s="139">
        <f t="shared" si="62"/>
        <v>-16373.720000000001</v>
      </c>
      <c r="K311" s="140">
        <f t="shared" si="62"/>
        <v>-8132.120000000001</v>
      </c>
      <c r="L311" s="138">
        <f t="shared" si="62"/>
        <v>-15757.300000000001</v>
      </c>
      <c r="M311" s="138">
        <f t="shared" si="62"/>
        <v>0</v>
      </c>
      <c r="N311" s="138">
        <f t="shared" si="62"/>
        <v>-3141.26</v>
      </c>
      <c r="O311" s="138">
        <f t="shared" si="62"/>
        <v>-2156.28</v>
      </c>
      <c r="P311" s="139">
        <f t="shared" si="62"/>
        <v>0</v>
      </c>
      <c r="Q311" s="140">
        <f t="shared" si="62"/>
        <v>-2233.44776</v>
      </c>
      <c r="R311" s="138">
        <f t="shared" si="62"/>
        <v>0</v>
      </c>
      <c r="S311" s="138">
        <f t="shared" si="62"/>
        <v>0</v>
      </c>
      <c r="T311" s="138">
        <f t="shared" si="62"/>
        <v>0</v>
      </c>
      <c r="U311" s="139">
        <f t="shared" si="62"/>
        <v>0</v>
      </c>
      <c r="V311" s="140">
        <f t="shared" si="62"/>
        <v>0</v>
      </c>
      <c r="W311" s="138">
        <f t="shared" si="62"/>
        <v>0</v>
      </c>
      <c r="X311" s="138">
        <f t="shared" si="62"/>
        <v>0</v>
      </c>
      <c r="Y311" s="138">
        <f t="shared" si="62"/>
        <v>0</v>
      </c>
      <c r="Z311" s="138">
        <f t="shared" si="62"/>
        <v>0</v>
      </c>
      <c r="AA311" s="139">
        <f t="shared" si="62"/>
        <v>0</v>
      </c>
      <c r="AB311" s="140">
        <f t="shared" si="62"/>
        <v>0</v>
      </c>
      <c r="AC311" s="138">
        <f t="shared" si="62"/>
        <v>0</v>
      </c>
      <c r="AD311" s="138">
        <f t="shared" si="62"/>
        <v>0</v>
      </c>
      <c r="AE311" s="138">
        <f t="shared" si="62"/>
        <v>0</v>
      </c>
      <c r="AF311" s="138">
        <f t="shared" si="62"/>
        <v>0</v>
      </c>
      <c r="AG311" s="139">
        <f t="shared" si="62"/>
        <v>0</v>
      </c>
      <c r="AH311" s="4"/>
    </row>
    <row r="312" spans="1:34" ht="15">
      <c r="A312" s="4"/>
      <c r="B312" s="35"/>
      <c r="C312" s="40" t="s">
        <v>90</v>
      </c>
      <c r="D312" s="41"/>
      <c r="E312" s="141"/>
      <c r="F312" s="94"/>
      <c r="G312" s="94"/>
      <c r="H312" s="94"/>
      <c r="I312" s="94"/>
      <c r="J312" s="95"/>
      <c r="K312" s="93"/>
      <c r="L312" s="94"/>
      <c r="M312" s="94"/>
      <c r="N312" s="94"/>
      <c r="O312" s="94"/>
      <c r="P312" s="95"/>
      <c r="Q312" s="93"/>
      <c r="R312" s="94"/>
      <c r="S312" s="94"/>
      <c r="T312" s="94"/>
      <c r="U312" s="95"/>
      <c r="V312" s="93"/>
      <c r="W312" s="94"/>
      <c r="X312" s="94"/>
      <c r="Y312" s="94"/>
      <c r="Z312" s="94"/>
      <c r="AA312" s="95"/>
      <c r="AB312" s="93"/>
      <c r="AC312" s="94"/>
      <c r="AD312" s="94"/>
      <c r="AE312" s="94"/>
      <c r="AF312" s="94"/>
      <c r="AG312" s="95"/>
      <c r="AH312" s="4"/>
    </row>
    <row r="313" spans="1:34" ht="15.75">
      <c r="A313" s="4"/>
      <c r="B313" s="41">
        <f>B311+1</f>
        <v>46</v>
      </c>
      <c r="C313" s="42" t="s">
        <v>91</v>
      </c>
      <c r="D313" s="41" t="s">
        <v>36</v>
      </c>
      <c r="E313" s="137">
        <f>SUM(F313:AG313)</f>
        <v>-138305.43898940002</v>
      </c>
      <c r="F313" s="91">
        <f aca="true" t="shared" si="63" ref="F313:AG313">F311</f>
        <v>-51236.83192320001</v>
      </c>
      <c r="G313" s="91">
        <f t="shared" si="63"/>
        <v>-14670.3793062</v>
      </c>
      <c r="H313" s="91">
        <f t="shared" si="63"/>
        <v>-16931.32</v>
      </c>
      <c r="I313" s="91">
        <f t="shared" si="63"/>
        <v>-7672.780000000001</v>
      </c>
      <c r="J313" s="92">
        <f t="shared" si="63"/>
        <v>-16373.720000000001</v>
      </c>
      <c r="K313" s="90">
        <f t="shared" si="63"/>
        <v>-8132.120000000001</v>
      </c>
      <c r="L313" s="91">
        <f t="shared" si="63"/>
        <v>-15757.300000000001</v>
      </c>
      <c r="M313" s="91">
        <f t="shared" si="63"/>
        <v>0</v>
      </c>
      <c r="N313" s="91">
        <f t="shared" si="63"/>
        <v>-3141.26</v>
      </c>
      <c r="O313" s="91">
        <f t="shared" si="63"/>
        <v>-2156.28</v>
      </c>
      <c r="P313" s="92">
        <f t="shared" si="63"/>
        <v>0</v>
      </c>
      <c r="Q313" s="90">
        <f t="shared" si="63"/>
        <v>-2233.44776</v>
      </c>
      <c r="R313" s="91">
        <f t="shared" si="63"/>
        <v>0</v>
      </c>
      <c r="S313" s="91">
        <f t="shared" si="63"/>
        <v>0</v>
      </c>
      <c r="T313" s="91">
        <f t="shared" si="63"/>
        <v>0</v>
      </c>
      <c r="U313" s="92">
        <f t="shared" si="63"/>
        <v>0</v>
      </c>
      <c r="V313" s="90">
        <f t="shared" si="63"/>
        <v>0</v>
      </c>
      <c r="W313" s="91">
        <f t="shared" si="63"/>
        <v>0</v>
      </c>
      <c r="X313" s="91">
        <f t="shared" si="63"/>
        <v>0</v>
      </c>
      <c r="Y313" s="91">
        <f t="shared" si="63"/>
        <v>0</v>
      </c>
      <c r="Z313" s="91">
        <f t="shared" si="63"/>
        <v>0</v>
      </c>
      <c r="AA313" s="139">
        <f t="shared" si="63"/>
        <v>0</v>
      </c>
      <c r="AB313" s="90">
        <f t="shared" si="63"/>
        <v>0</v>
      </c>
      <c r="AC313" s="91">
        <f t="shared" si="63"/>
        <v>0</v>
      </c>
      <c r="AD313" s="91">
        <f t="shared" si="63"/>
        <v>0</v>
      </c>
      <c r="AE313" s="91">
        <f t="shared" si="63"/>
        <v>0</v>
      </c>
      <c r="AF313" s="91">
        <f t="shared" si="63"/>
        <v>0</v>
      </c>
      <c r="AG313" s="139">
        <f t="shared" si="63"/>
        <v>0</v>
      </c>
      <c r="AH313" s="4"/>
    </row>
    <row r="314" spans="1:34" ht="15">
      <c r="A314" s="4"/>
      <c r="B314" s="35"/>
      <c r="C314" s="40"/>
      <c r="D314" s="40"/>
      <c r="E314" s="39"/>
      <c r="F314" s="4"/>
      <c r="G314" s="4"/>
      <c r="H314" s="4"/>
      <c r="I314" s="4"/>
      <c r="J314" s="18"/>
      <c r="K314" s="40"/>
      <c r="L314" s="4"/>
      <c r="M314" s="4"/>
      <c r="N314" s="4"/>
      <c r="O314" s="4"/>
      <c r="P314" s="18"/>
      <c r="Q314" s="40"/>
      <c r="R314" s="4"/>
      <c r="S314" s="4"/>
      <c r="T314" s="4"/>
      <c r="U314" s="18"/>
      <c r="V314" s="40"/>
      <c r="W314" s="4"/>
      <c r="X314" s="4"/>
      <c r="Y314" s="4"/>
      <c r="Z314" s="4"/>
      <c r="AA314" s="18"/>
      <c r="AB314" s="40"/>
      <c r="AC314" s="4"/>
      <c r="AD314" s="4"/>
      <c r="AE314" s="4"/>
      <c r="AF314" s="4"/>
      <c r="AG314" s="18"/>
      <c r="AH314" s="4"/>
    </row>
    <row r="315" spans="1:34" ht="15.75">
      <c r="A315" s="4"/>
      <c r="B315" s="35"/>
      <c r="C315" s="89" t="s">
        <v>70</v>
      </c>
      <c r="D315" s="42"/>
      <c r="E315" s="39"/>
      <c r="F315" s="4"/>
      <c r="G315" s="4"/>
      <c r="H315" s="4"/>
      <c r="I315" s="4"/>
      <c r="J315" s="18"/>
      <c r="K315" s="40"/>
      <c r="L315" s="4"/>
      <c r="M315" s="4"/>
      <c r="N315" s="4"/>
      <c r="O315" s="4"/>
      <c r="P315" s="18"/>
      <c r="Q315" s="40"/>
      <c r="R315" s="113" t="s">
        <v>244</v>
      </c>
      <c r="S315" s="4"/>
      <c r="T315" s="4"/>
      <c r="U315" s="18"/>
      <c r="V315" s="40"/>
      <c r="W315" s="4"/>
      <c r="X315" s="4"/>
      <c r="Y315" s="4"/>
      <c r="Z315" s="4"/>
      <c r="AA315" s="18"/>
      <c r="AB315" s="40"/>
      <c r="AC315" s="4"/>
      <c r="AD315" s="4"/>
      <c r="AE315" s="4"/>
      <c r="AF315" s="4"/>
      <c r="AG315" s="18"/>
      <c r="AH315" s="4"/>
    </row>
    <row r="316" spans="1:34" ht="15.75">
      <c r="A316" s="4"/>
      <c r="B316" s="35"/>
      <c r="C316" s="14" t="s">
        <v>92</v>
      </c>
      <c r="D316" s="40"/>
      <c r="E316" s="39"/>
      <c r="F316" s="4"/>
      <c r="G316" s="4"/>
      <c r="H316" s="4"/>
      <c r="I316" s="4"/>
      <c r="J316" s="18"/>
      <c r="K316" s="40"/>
      <c r="L316" s="4"/>
      <c r="M316" s="4"/>
      <c r="N316" s="4"/>
      <c r="O316" s="4"/>
      <c r="P316" s="18"/>
      <c r="Q316" s="40"/>
      <c r="R316" s="1">
        <f>67005-42506</f>
        <v>24499</v>
      </c>
      <c r="S316" s="4"/>
      <c r="T316" s="4"/>
      <c r="U316" s="18"/>
      <c r="V316" s="40"/>
      <c r="W316" s="4"/>
      <c r="X316" s="4"/>
      <c r="Y316" s="4"/>
      <c r="Z316" s="4"/>
      <c r="AA316" s="18"/>
      <c r="AB316" s="40"/>
      <c r="AC316" s="4"/>
      <c r="AD316" s="4"/>
      <c r="AE316" s="4"/>
      <c r="AF316" s="4"/>
      <c r="AG316" s="18"/>
      <c r="AH316" s="4"/>
    </row>
    <row r="317" spans="1:34" ht="15">
      <c r="A317" s="4"/>
      <c r="B317" s="41">
        <f>B313+1</f>
        <v>47</v>
      </c>
      <c r="C317" s="42" t="s">
        <v>93</v>
      </c>
      <c r="D317" s="41" t="s">
        <v>36</v>
      </c>
      <c r="E317" s="112">
        <f>SUM(F317:AG317)</f>
        <v>67005</v>
      </c>
      <c r="F317" s="113">
        <v>0</v>
      </c>
      <c r="G317" s="113">
        <v>0</v>
      </c>
      <c r="H317" s="113">
        <v>0</v>
      </c>
      <c r="I317" s="113">
        <v>0</v>
      </c>
      <c r="J317" s="114">
        <v>0</v>
      </c>
      <c r="K317" s="44">
        <v>0</v>
      </c>
      <c r="L317" s="113">
        <v>0</v>
      </c>
      <c r="M317" s="150" t="s">
        <v>226</v>
      </c>
      <c r="N317" s="113">
        <v>42506</v>
      </c>
      <c r="O317" s="113">
        <v>0</v>
      </c>
      <c r="P317" s="114">
        <v>0</v>
      </c>
      <c r="Q317" s="44">
        <v>0</v>
      </c>
      <c r="R317" s="113">
        <v>24499</v>
      </c>
      <c r="S317" s="113">
        <v>0</v>
      </c>
      <c r="T317" s="113">
        <v>0</v>
      </c>
      <c r="U317" s="114">
        <v>0</v>
      </c>
      <c r="V317" s="44">
        <v>0</v>
      </c>
      <c r="W317" s="113">
        <v>0</v>
      </c>
      <c r="X317" s="113">
        <v>0</v>
      </c>
      <c r="Y317" s="113">
        <v>0</v>
      </c>
      <c r="Z317" s="113">
        <v>0</v>
      </c>
      <c r="AA317" s="114">
        <v>0</v>
      </c>
      <c r="AB317" s="44">
        <v>0</v>
      </c>
      <c r="AC317" s="113">
        <v>0</v>
      </c>
      <c r="AD317" s="113">
        <v>0</v>
      </c>
      <c r="AE317" s="113">
        <v>0</v>
      </c>
      <c r="AF317" s="113">
        <v>0</v>
      </c>
      <c r="AG317" s="114">
        <v>0</v>
      </c>
      <c r="AH317" s="4"/>
    </row>
    <row r="318" spans="1:34" ht="15">
      <c r="A318" s="4"/>
      <c r="B318" s="41">
        <f>B317+1</f>
        <v>48</v>
      </c>
      <c r="C318" s="42"/>
      <c r="D318" s="41" t="s">
        <v>36</v>
      </c>
      <c r="E318" s="39">
        <f>SUM(F318:AG318)</f>
        <v>0</v>
      </c>
      <c r="F318" s="2">
        <v>0</v>
      </c>
      <c r="G318" s="2">
        <v>0</v>
      </c>
      <c r="H318" s="2">
        <v>0</v>
      </c>
      <c r="I318" s="2">
        <v>0</v>
      </c>
      <c r="J318" s="115">
        <v>0</v>
      </c>
      <c r="K318" s="48">
        <v>0</v>
      </c>
      <c r="L318" s="2">
        <v>0</v>
      </c>
      <c r="M318" s="2">
        <v>0</v>
      </c>
      <c r="N318" s="2">
        <v>0</v>
      </c>
      <c r="O318" s="2">
        <v>0</v>
      </c>
      <c r="P318" s="115">
        <v>0</v>
      </c>
      <c r="Q318" s="48">
        <v>0</v>
      </c>
      <c r="R318" s="2">
        <v>0</v>
      </c>
      <c r="S318" s="2">
        <v>0</v>
      </c>
      <c r="T318" s="2">
        <v>0</v>
      </c>
      <c r="U318" s="115">
        <v>0</v>
      </c>
      <c r="V318" s="48">
        <v>0</v>
      </c>
      <c r="W318" s="2">
        <v>0</v>
      </c>
      <c r="X318" s="2">
        <v>0</v>
      </c>
      <c r="Y318" s="2">
        <v>0</v>
      </c>
      <c r="Z318" s="2">
        <v>0</v>
      </c>
      <c r="AA318" s="115">
        <v>0</v>
      </c>
      <c r="AB318" s="48">
        <v>0</v>
      </c>
      <c r="AC318" s="2">
        <v>0</v>
      </c>
      <c r="AD318" s="2">
        <v>0</v>
      </c>
      <c r="AE318" s="2">
        <v>0</v>
      </c>
      <c r="AF318" s="2">
        <v>0</v>
      </c>
      <c r="AG318" s="115">
        <v>0</v>
      </c>
      <c r="AH318" s="4"/>
    </row>
    <row r="319" spans="1:34" ht="15">
      <c r="A319" s="4"/>
      <c r="B319" s="41">
        <f>B318+1</f>
        <v>49</v>
      </c>
      <c r="C319" s="42"/>
      <c r="D319" s="41" t="s">
        <v>36</v>
      </c>
      <c r="E319" s="39">
        <f>SUM(F319:AG319)</f>
        <v>0</v>
      </c>
      <c r="F319" s="1">
        <v>0</v>
      </c>
      <c r="G319" s="1">
        <v>0</v>
      </c>
      <c r="H319" s="1">
        <v>0</v>
      </c>
      <c r="I319" s="1">
        <v>0</v>
      </c>
      <c r="J319" s="67">
        <v>0</v>
      </c>
      <c r="K319" s="42">
        <v>0</v>
      </c>
      <c r="L319" s="1">
        <v>0</v>
      </c>
      <c r="M319" s="1">
        <v>0</v>
      </c>
      <c r="N319" s="1">
        <v>0</v>
      </c>
      <c r="O319" s="1">
        <v>0</v>
      </c>
      <c r="P319" s="67">
        <v>0</v>
      </c>
      <c r="Q319" s="42">
        <v>0</v>
      </c>
      <c r="R319" s="1">
        <v>0</v>
      </c>
      <c r="S319" s="1">
        <v>0</v>
      </c>
      <c r="T319" s="1">
        <v>0</v>
      </c>
      <c r="U319" s="67">
        <v>0</v>
      </c>
      <c r="V319" s="42">
        <v>0</v>
      </c>
      <c r="W319" s="1">
        <v>0</v>
      </c>
      <c r="X319" s="1">
        <v>0</v>
      </c>
      <c r="Y319" s="1">
        <v>0</v>
      </c>
      <c r="Z319" s="1">
        <v>0</v>
      </c>
      <c r="AA319" s="67">
        <v>0</v>
      </c>
      <c r="AB319" s="42">
        <v>0</v>
      </c>
      <c r="AC319" s="1">
        <v>0</v>
      </c>
      <c r="AD319" s="1">
        <v>0</v>
      </c>
      <c r="AE319" s="1">
        <v>0</v>
      </c>
      <c r="AF319" s="1">
        <v>0</v>
      </c>
      <c r="AG319" s="67">
        <v>0</v>
      </c>
      <c r="AH319" s="4"/>
    </row>
    <row r="320" spans="1:34" ht="15">
      <c r="A320" s="4"/>
      <c r="B320" s="41">
        <f>B319+1</f>
        <v>50</v>
      </c>
      <c r="C320" s="42"/>
      <c r="D320" s="41" t="s">
        <v>36</v>
      </c>
      <c r="E320" s="39">
        <f>SUM(F320:AG320)</f>
        <v>0</v>
      </c>
      <c r="F320" s="1">
        <v>0</v>
      </c>
      <c r="G320" s="1">
        <v>0</v>
      </c>
      <c r="H320" s="1">
        <v>0</v>
      </c>
      <c r="I320" s="1">
        <v>0</v>
      </c>
      <c r="J320" s="67">
        <v>0</v>
      </c>
      <c r="K320" s="42">
        <v>0</v>
      </c>
      <c r="L320" s="1">
        <v>0</v>
      </c>
      <c r="M320" s="1">
        <v>0</v>
      </c>
      <c r="N320" s="1">
        <v>0</v>
      </c>
      <c r="O320" s="1">
        <v>0</v>
      </c>
      <c r="P320" s="67">
        <v>0</v>
      </c>
      <c r="Q320" s="42">
        <v>0</v>
      </c>
      <c r="R320" s="1">
        <v>0</v>
      </c>
      <c r="S320" s="1">
        <v>0</v>
      </c>
      <c r="T320" s="1">
        <v>0</v>
      </c>
      <c r="U320" s="67">
        <v>0</v>
      </c>
      <c r="V320" s="42">
        <v>0</v>
      </c>
      <c r="W320" s="1">
        <v>0</v>
      </c>
      <c r="X320" s="1">
        <v>0</v>
      </c>
      <c r="Y320" s="1">
        <v>0</v>
      </c>
      <c r="Z320" s="1">
        <v>0</v>
      </c>
      <c r="AA320" s="67">
        <v>0</v>
      </c>
      <c r="AB320" s="42">
        <v>0</v>
      </c>
      <c r="AC320" s="1">
        <v>0</v>
      </c>
      <c r="AD320" s="1">
        <v>0</v>
      </c>
      <c r="AE320" s="1">
        <v>0</v>
      </c>
      <c r="AF320" s="1">
        <v>0</v>
      </c>
      <c r="AG320" s="67">
        <v>0</v>
      </c>
      <c r="AH320" s="4"/>
    </row>
    <row r="321" spans="1:34" ht="15">
      <c r="A321" s="4"/>
      <c r="B321" s="41">
        <f>B320+1</f>
        <v>51</v>
      </c>
      <c r="C321" s="42"/>
      <c r="D321" s="41" t="s">
        <v>36</v>
      </c>
      <c r="E321" s="39">
        <f>SUM(F321:AG321)</f>
        <v>0</v>
      </c>
      <c r="F321" s="1">
        <v>0</v>
      </c>
      <c r="G321" s="1">
        <v>0</v>
      </c>
      <c r="H321" s="1">
        <v>0</v>
      </c>
      <c r="I321" s="1">
        <v>0</v>
      </c>
      <c r="J321" s="67">
        <v>0</v>
      </c>
      <c r="K321" s="42">
        <v>0</v>
      </c>
      <c r="L321" s="1">
        <v>0</v>
      </c>
      <c r="M321" s="1">
        <v>0</v>
      </c>
      <c r="N321" s="1">
        <v>0</v>
      </c>
      <c r="O321" s="1">
        <v>0</v>
      </c>
      <c r="P321" s="67">
        <v>0</v>
      </c>
      <c r="Q321" s="42">
        <v>0</v>
      </c>
      <c r="R321" s="1">
        <v>0</v>
      </c>
      <c r="S321" s="1">
        <v>0</v>
      </c>
      <c r="T321" s="1">
        <v>0</v>
      </c>
      <c r="U321" s="67">
        <v>0</v>
      </c>
      <c r="V321" s="42">
        <v>0</v>
      </c>
      <c r="W321" s="1">
        <v>0</v>
      </c>
      <c r="X321" s="1">
        <v>0</v>
      </c>
      <c r="Y321" s="1">
        <v>0</v>
      </c>
      <c r="Z321" s="1">
        <v>0</v>
      </c>
      <c r="AA321" s="67">
        <v>0</v>
      </c>
      <c r="AB321" s="42">
        <v>0</v>
      </c>
      <c r="AC321" s="1">
        <v>0</v>
      </c>
      <c r="AD321" s="1">
        <v>0</v>
      </c>
      <c r="AE321" s="1">
        <v>0</v>
      </c>
      <c r="AF321" s="1">
        <v>0</v>
      </c>
      <c r="AG321" s="67">
        <v>0</v>
      </c>
      <c r="AH321" s="4"/>
    </row>
    <row r="322" spans="1:34" ht="15.75">
      <c r="A322" s="4"/>
      <c r="B322" s="41">
        <f>B321+1</f>
        <v>52</v>
      </c>
      <c r="C322" s="14" t="s">
        <v>94</v>
      </c>
      <c r="D322" s="41" t="str">
        <f>"Ln +"&amp;FIXED(+B317,0)&amp;"...+"&amp;FIXED(+B321,0)</f>
        <v>Ln +47...+51</v>
      </c>
      <c r="E322" s="142">
        <f aca="true" t="shared" si="64" ref="E322:AG322">SUM(E317:E321)</f>
        <v>67005</v>
      </c>
      <c r="F322" s="97">
        <f t="shared" si="64"/>
        <v>0</v>
      </c>
      <c r="G322" s="97">
        <f t="shared" si="64"/>
        <v>0</v>
      </c>
      <c r="H322" s="97">
        <f t="shared" si="64"/>
        <v>0</v>
      </c>
      <c r="I322" s="97">
        <f t="shared" si="64"/>
        <v>0</v>
      </c>
      <c r="J322" s="98">
        <f t="shared" si="64"/>
        <v>0</v>
      </c>
      <c r="K322" s="96">
        <f t="shared" si="64"/>
        <v>0</v>
      </c>
      <c r="L322" s="97">
        <f t="shared" si="64"/>
        <v>0</v>
      </c>
      <c r="M322" s="97">
        <f t="shared" si="64"/>
        <v>0</v>
      </c>
      <c r="N322" s="97">
        <f t="shared" si="64"/>
        <v>42506</v>
      </c>
      <c r="O322" s="97">
        <f t="shared" si="64"/>
        <v>0</v>
      </c>
      <c r="P322" s="98">
        <f t="shared" si="64"/>
        <v>0</v>
      </c>
      <c r="Q322" s="96">
        <f t="shared" si="64"/>
        <v>0</v>
      </c>
      <c r="R322" s="97">
        <f t="shared" si="64"/>
        <v>24499</v>
      </c>
      <c r="S322" s="97">
        <f t="shared" si="64"/>
        <v>0</v>
      </c>
      <c r="T322" s="97">
        <f t="shared" si="64"/>
        <v>0</v>
      </c>
      <c r="U322" s="98">
        <f t="shared" si="64"/>
        <v>0</v>
      </c>
      <c r="V322" s="96">
        <f t="shared" si="64"/>
        <v>0</v>
      </c>
      <c r="W322" s="97">
        <f t="shared" si="64"/>
        <v>0</v>
      </c>
      <c r="X322" s="97">
        <f t="shared" si="64"/>
        <v>0</v>
      </c>
      <c r="Y322" s="97">
        <f t="shared" si="64"/>
        <v>0</v>
      </c>
      <c r="Z322" s="97">
        <f t="shared" si="64"/>
        <v>0</v>
      </c>
      <c r="AA322" s="98">
        <f t="shared" si="64"/>
        <v>0</v>
      </c>
      <c r="AB322" s="96">
        <f t="shared" si="64"/>
        <v>0</v>
      </c>
      <c r="AC322" s="97">
        <f t="shared" si="64"/>
        <v>0</v>
      </c>
      <c r="AD322" s="97">
        <f t="shared" si="64"/>
        <v>0</v>
      </c>
      <c r="AE322" s="97">
        <f t="shared" si="64"/>
        <v>0</v>
      </c>
      <c r="AF322" s="97">
        <f t="shared" si="64"/>
        <v>0</v>
      </c>
      <c r="AG322" s="98">
        <f t="shared" si="64"/>
        <v>0</v>
      </c>
      <c r="AH322" s="4"/>
    </row>
    <row r="323" spans="1:34" ht="15.75">
      <c r="A323" s="4"/>
      <c r="B323" s="41"/>
      <c r="C323" s="14"/>
      <c r="D323" s="41"/>
      <c r="E323" s="142"/>
      <c r="F323" s="97"/>
      <c r="G323" s="97"/>
      <c r="H323" s="97"/>
      <c r="I323" s="97"/>
      <c r="J323" s="98"/>
      <c r="K323" s="96"/>
      <c r="L323" s="97"/>
      <c r="M323" s="97"/>
      <c r="N323" s="97"/>
      <c r="O323" s="97"/>
      <c r="P323" s="98"/>
      <c r="Q323" s="96"/>
      <c r="R323" s="97"/>
      <c r="S323" s="97"/>
      <c r="T323" s="97"/>
      <c r="U323" s="98"/>
      <c r="V323" s="96"/>
      <c r="W323" s="97"/>
      <c r="X323" s="97"/>
      <c r="Y323" s="97"/>
      <c r="Z323" s="97"/>
      <c r="AA323" s="98"/>
      <c r="AB323" s="96"/>
      <c r="AC323" s="97"/>
      <c r="AD323" s="97"/>
      <c r="AE323" s="97"/>
      <c r="AF323" s="97"/>
      <c r="AG323" s="98"/>
      <c r="AH323" s="4"/>
    </row>
    <row r="324" spans="1:34" ht="15.75">
      <c r="A324" s="4"/>
      <c r="B324" s="41">
        <f>B322+1</f>
        <v>53</v>
      </c>
      <c r="C324" s="14" t="s">
        <v>95</v>
      </c>
      <c r="D324" s="41" t="s">
        <v>36</v>
      </c>
      <c r="E324" s="39">
        <f>SUM(F324:AG324)</f>
        <v>0</v>
      </c>
      <c r="F324" s="2">
        <v>0</v>
      </c>
      <c r="G324" s="2">
        <v>0</v>
      </c>
      <c r="H324" s="2">
        <v>0</v>
      </c>
      <c r="I324" s="2">
        <v>0</v>
      </c>
      <c r="J324" s="115">
        <v>0</v>
      </c>
      <c r="K324" s="48">
        <v>0</v>
      </c>
      <c r="L324" s="2">
        <v>0</v>
      </c>
      <c r="M324" s="2">
        <v>0</v>
      </c>
      <c r="N324" s="2">
        <v>0</v>
      </c>
      <c r="O324" s="2">
        <v>0</v>
      </c>
      <c r="P324" s="115">
        <v>0</v>
      </c>
      <c r="Q324" s="48">
        <v>0</v>
      </c>
      <c r="R324" s="2">
        <v>0</v>
      </c>
      <c r="S324" s="2">
        <v>0</v>
      </c>
      <c r="T324" s="2">
        <v>0</v>
      </c>
      <c r="U324" s="115">
        <v>0</v>
      </c>
      <c r="V324" s="48">
        <v>0</v>
      </c>
      <c r="W324" s="2">
        <v>0</v>
      </c>
      <c r="X324" s="2">
        <v>0</v>
      </c>
      <c r="Y324" s="2">
        <v>0</v>
      </c>
      <c r="Z324" s="2">
        <v>0</v>
      </c>
      <c r="AA324" s="115">
        <v>0</v>
      </c>
      <c r="AB324" s="48">
        <v>0</v>
      </c>
      <c r="AC324" s="2">
        <v>0</v>
      </c>
      <c r="AD324" s="2">
        <f>AD251/2</f>
        <v>0</v>
      </c>
      <c r="AE324" s="2">
        <v>0</v>
      </c>
      <c r="AF324" s="2">
        <v>0</v>
      </c>
      <c r="AG324" s="115">
        <v>0</v>
      </c>
      <c r="AH324" s="4"/>
    </row>
    <row r="325" spans="1:34" ht="15.75">
      <c r="A325" s="4"/>
      <c r="B325" s="41">
        <f>B324+1</f>
        <v>54</v>
      </c>
      <c r="C325" s="14" t="s">
        <v>96</v>
      </c>
      <c r="D325" s="41" t="s">
        <v>36</v>
      </c>
      <c r="E325" s="39">
        <f>SUM(F325:AG325)</f>
        <v>0</v>
      </c>
      <c r="F325" s="2">
        <v>0</v>
      </c>
      <c r="G325" s="2">
        <v>0</v>
      </c>
      <c r="H325" s="2">
        <v>0</v>
      </c>
      <c r="I325" s="2">
        <v>0</v>
      </c>
      <c r="J325" s="115">
        <v>0</v>
      </c>
      <c r="K325" s="48">
        <v>0</v>
      </c>
      <c r="L325" s="2">
        <v>0</v>
      </c>
      <c r="M325" s="2">
        <v>0</v>
      </c>
      <c r="N325" s="2">
        <v>0</v>
      </c>
      <c r="O325" s="2">
        <v>0</v>
      </c>
      <c r="P325" s="115">
        <v>0</v>
      </c>
      <c r="Q325" s="48">
        <v>0</v>
      </c>
      <c r="R325" s="2">
        <v>0</v>
      </c>
      <c r="S325" s="2">
        <v>0</v>
      </c>
      <c r="T325" s="2">
        <v>0</v>
      </c>
      <c r="U325" s="115">
        <v>0</v>
      </c>
      <c r="V325" s="48">
        <v>0</v>
      </c>
      <c r="W325" s="2">
        <v>0</v>
      </c>
      <c r="X325" s="2">
        <v>0</v>
      </c>
      <c r="Y325" s="2">
        <v>0</v>
      </c>
      <c r="Z325" s="2">
        <v>0</v>
      </c>
      <c r="AA325" s="115">
        <v>0</v>
      </c>
      <c r="AB325" s="48">
        <v>0</v>
      </c>
      <c r="AC325" s="2">
        <v>0</v>
      </c>
      <c r="AD325" s="2">
        <v>0</v>
      </c>
      <c r="AE325" s="2">
        <v>0</v>
      </c>
      <c r="AF325" s="2">
        <v>0</v>
      </c>
      <c r="AG325" s="115">
        <v>0</v>
      </c>
      <c r="AH325" s="4"/>
    </row>
    <row r="326" spans="1:34" ht="15.75">
      <c r="A326" s="4"/>
      <c r="B326" s="41">
        <f>B325+1</f>
        <v>55</v>
      </c>
      <c r="C326" s="14" t="s">
        <v>97</v>
      </c>
      <c r="D326" s="41" t="str">
        <f>"Ln "&amp;FIXED(+B324,0)&amp;"+"&amp;FIXED(+B325,0)</f>
        <v>Ln 53+54</v>
      </c>
      <c r="E326" s="116">
        <f aca="true" t="shared" si="65" ref="E326:AG326">E324+E325</f>
        <v>0</v>
      </c>
      <c r="F326" s="99">
        <f t="shared" si="65"/>
        <v>0</v>
      </c>
      <c r="G326" s="99">
        <f t="shared" si="65"/>
        <v>0</v>
      </c>
      <c r="H326" s="99">
        <f t="shared" si="65"/>
        <v>0</v>
      </c>
      <c r="I326" s="99">
        <f t="shared" si="65"/>
        <v>0</v>
      </c>
      <c r="J326" s="100">
        <f t="shared" si="65"/>
        <v>0</v>
      </c>
      <c r="K326" s="52">
        <f t="shared" si="65"/>
        <v>0</v>
      </c>
      <c r="L326" s="99">
        <f t="shared" si="65"/>
        <v>0</v>
      </c>
      <c r="M326" s="99">
        <f t="shared" si="65"/>
        <v>0</v>
      </c>
      <c r="N326" s="99">
        <f t="shared" si="65"/>
        <v>0</v>
      </c>
      <c r="O326" s="99">
        <f t="shared" si="65"/>
        <v>0</v>
      </c>
      <c r="P326" s="100">
        <f t="shared" si="65"/>
        <v>0</v>
      </c>
      <c r="Q326" s="52">
        <f t="shared" si="65"/>
        <v>0</v>
      </c>
      <c r="R326" s="99">
        <f t="shared" si="65"/>
        <v>0</v>
      </c>
      <c r="S326" s="99">
        <f t="shared" si="65"/>
        <v>0</v>
      </c>
      <c r="T326" s="99">
        <f t="shared" si="65"/>
        <v>0</v>
      </c>
      <c r="U326" s="100">
        <f t="shared" si="65"/>
        <v>0</v>
      </c>
      <c r="V326" s="52">
        <f t="shared" si="65"/>
        <v>0</v>
      </c>
      <c r="W326" s="99">
        <f t="shared" si="65"/>
        <v>0</v>
      </c>
      <c r="X326" s="99">
        <f t="shared" si="65"/>
        <v>0</v>
      </c>
      <c r="Y326" s="99">
        <f t="shared" si="65"/>
        <v>0</v>
      </c>
      <c r="Z326" s="99">
        <f t="shared" si="65"/>
        <v>0</v>
      </c>
      <c r="AA326" s="100">
        <f t="shared" si="65"/>
        <v>0</v>
      </c>
      <c r="AB326" s="52">
        <f t="shared" si="65"/>
        <v>0</v>
      </c>
      <c r="AC326" s="99">
        <f t="shared" si="65"/>
        <v>0</v>
      </c>
      <c r="AD326" s="99">
        <f t="shared" si="65"/>
        <v>0</v>
      </c>
      <c r="AE326" s="99">
        <f t="shared" si="65"/>
        <v>0</v>
      </c>
      <c r="AF326" s="99">
        <f t="shared" si="65"/>
        <v>0</v>
      </c>
      <c r="AG326" s="100">
        <f t="shared" si="65"/>
        <v>0</v>
      </c>
      <c r="AH326" s="4"/>
    </row>
    <row r="327" spans="1:34" ht="15.75">
      <c r="A327" s="4"/>
      <c r="B327" s="41">
        <f>B326+1</f>
        <v>56</v>
      </c>
      <c r="C327" s="14" t="s">
        <v>98</v>
      </c>
      <c r="D327" s="41" t="s">
        <v>36</v>
      </c>
      <c r="E327" s="39">
        <f>SUM(F327:AG327)</f>
        <v>0</v>
      </c>
      <c r="F327" s="2">
        <v>0</v>
      </c>
      <c r="G327" s="2">
        <v>0</v>
      </c>
      <c r="H327" s="2">
        <v>0</v>
      </c>
      <c r="I327" s="2">
        <v>0</v>
      </c>
      <c r="J327" s="115">
        <v>0</v>
      </c>
      <c r="K327" s="48">
        <v>0</v>
      </c>
      <c r="L327" s="2">
        <v>0</v>
      </c>
      <c r="M327" s="2">
        <v>0</v>
      </c>
      <c r="N327" s="2">
        <v>0</v>
      </c>
      <c r="O327" s="2">
        <v>0</v>
      </c>
      <c r="P327" s="115">
        <v>0</v>
      </c>
      <c r="Q327" s="48">
        <v>0</v>
      </c>
      <c r="R327" s="2">
        <v>0</v>
      </c>
      <c r="S327" s="2">
        <v>0</v>
      </c>
      <c r="T327" s="2">
        <v>0</v>
      </c>
      <c r="U327" s="115">
        <v>0</v>
      </c>
      <c r="V327" s="48">
        <v>0</v>
      </c>
      <c r="W327" s="2">
        <v>0</v>
      </c>
      <c r="X327" s="2">
        <v>0</v>
      </c>
      <c r="Y327" s="2">
        <v>0</v>
      </c>
      <c r="Z327" s="2">
        <v>0</v>
      </c>
      <c r="AA327" s="115">
        <v>0</v>
      </c>
      <c r="AB327" s="48">
        <v>0</v>
      </c>
      <c r="AC327" s="2">
        <v>0</v>
      </c>
      <c r="AD327" s="2">
        <v>0</v>
      </c>
      <c r="AE327" s="2">
        <v>0</v>
      </c>
      <c r="AF327" s="2">
        <v>0</v>
      </c>
      <c r="AG327" s="115">
        <v>0</v>
      </c>
      <c r="AH327" s="4"/>
    </row>
    <row r="328" spans="1:34" ht="15.75">
      <c r="A328" s="4"/>
      <c r="B328" s="41">
        <f>B327+1</f>
        <v>57</v>
      </c>
      <c r="C328" s="14" t="s">
        <v>99</v>
      </c>
      <c r="D328" s="41" t="s">
        <v>36</v>
      </c>
      <c r="E328" s="39">
        <f>SUM(F328:AG328)</f>
        <v>0</v>
      </c>
      <c r="F328" s="2">
        <v>0</v>
      </c>
      <c r="G328" s="2">
        <v>0</v>
      </c>
      <c r="H328" s="2">
        <v>0</v>
      </c>
      <c r="I328" s="2">
        <v>0</v>
      </c>
      <c r="J328" s="115">
        <v>0</v>
      </c>
      <c r="K328" s="48">
        <v>0</v>
      </c>
      <c r="L328" s="2">
        <v>0</v>
      </c>
      <c r="M328" s="2">
        <v>0</v>
      </c>
      <c r="N328" s="2"/>
      <c r="O328" s="2">
        <v>0</v>
      </c>
      <c r="P328" s="115">
        <v>0</v>
      </c>
      <c r="Q328" s="48">
        <v>0</v>
      </c>
      <c r="R328" s="2">
        <v>0</v>
      </c>
      <c r="S328" s="2">
        <v>0</v>
      </c>
      <c r="T328" s="2">
        <v>0</v>
      </c>
      <c r="U328" s="115">
        <v>0</v>
      </c>
      <c r="V328" s="48">
        <v>0</v>
      </c>
      <c r="W328" s="2">
        <v>0</v>
      </c>
      <c r="X328" s="2">
        <v>0</v>
      </c>
      <c r="Y328" s="2">
        <v>0</v>
      </c>
      <c r="Z328" s="2">
        <v>0</v>
      </c>
      <c r="AA328" s="115">
        <v>0</v>
      </c>
      <c r="AB328" s="48">
        <v>0</v>
      </c>
      <c r="AC328" s="2">
        <v>0</v>
      </c>
      <c r="AD328" s="2">
        <v>0</v>
      </c>
      <c r="AE328" s="2">
        <v>0</v>
      </c>
      <c r="AF328" s="2">
        <v>0</v>
      </c>
      <c r="AG328" s="115">
        <v>0</v>
      </c>
      <c r="AH328" s="4"/>
    </row>
    <row r="329" spans="1:34" ht="15">
      <c r="A329" s="4"/>
      <c r="B329" s="35"/>
      <c r="C329" s="40"/>
      <c r="D329" s="41"/>
      <c r="E329" s="39"/>
      <c r="F329" s="4"/>
      <c r="G329" s="4"/>
      <c r="H329" s="4"/>
      <c r="I329" s="4"/>
      <c r="J329" s="18"/>
      <c r="K329" s="40"/>
      <c r="L329" s="4"/>
      <c r="M329" s="4"/>
      <c r="N329" s="4"/>
      <c r="O329" s="4"/>
      <c r="P329" s="18"/>
      <c r="Q329" s="40"/>
      <c r="R329" s="4"/>
      <c r="S329" s="4"/>
      <c r="T329" s="4"/>
      <c r="U329" s="18"/>
      <c r="V329" s="40"/>
      <c r="W329" s="4"/>
      <c r="X329" s="4"/>
      <c r="Y329" s="4"/>
      <c r="Z329" s="4"/>
      <c r="AA329" s="18"/>
      <c r="AB329" s="40"/>
      <c r="AC329" s="4"/>
      <c r="AD329" s="4"/>
      <c r="AE329" s="4"/>
      <c r="AF329" s="4"/>
      <c r="AG329" s="18"/>
      <c r="AH329" s="4"/>
    </row>
    <row r="330" spans="1:34" ht="15.75">
      <c r="A330" s="4"/>
      <c r="B330" s="41">
        <f>B328+1</f>
        <v>58</v>
      </c>
      <c r="C330" s="14" t="s">
        <v>100</v>
      </c>
      <c r="D330" s="41" t="s">
        <v>36</v>
      </c>
      <c r="E330" s="39">
        <f>SUM(F330:AG330)</f>
        <v>231387</v>
      </c>
      <c r="F330" s="2">
        <v>0</v>
      </c>
      <c r="G330" s="2">
        <v>0</v>
      </c>
      <c r="H330" s="2">
        <v>0</v>
      </c>
      <c r="I330" s="2">
        <v>0</v>
      </c>
      <c r="J330" s="115">
        <v>0</v>
      </c>
      <c r="K330" s="48">
        <v>0</v>
      </c>
      <c r="L330" s="2">
        <v>0</v>
      </c>
      <c r="M330" s="2">
        <v>0</v>
      </c>
      <c r="N330" s="2">
        <v>0</v>
      </c>
      <c r="O330" s="2">
        <v>0</v>
      </c>
      <c r="P330" s="115">
        <v>231387</v>
      </c>
      <c r="Q330" s="48">
        <v>0</v>
      </c>
      <c r="R330" s="2">
        <v>0</v>
      </c>
      <c r="S330" s="2">
        <v>0</v>
      </c>
      <c r="T330" s="2">
        <v>0</v>
      </c>
      <c r="U330" s="115">
        <v>0</v>
      </c>
      <c r="V330" s="48">
        <v>0</v>
      </c>
      <c r="W330" s="2">
        <v>0</v>
      </c>
      <c r="X330" s="2">
        <v>0</v>
      </c>
      <c r="Y330" s="2">
        <v>0</v>
      </c>
      <c r="Z330" s="2">
        <v>0</v>
      </c>
      <c r="AA330" s="115">
        <v>0</v>
      </c>
      <c r="AB330" s="48">
        <v>0</v>
      </c>
      <c r="AC330" s="2">
        <v>0</v>
      </c>
      <c r="AD330" s="2">
        <v>0</v>
      </c>
      <c r="AE330" s="49">
        <v>0</v>
      </c>
      <c r="AF330" s="2">
        <v>0</v>
      </c>
      <c r="AG330" s="115">
        <v>0</v>
      </c>
      <c r="AH330" s="4"/>
    </row>
    <row r="331" spans="1:34" ht="15">
      <c r="A331" s="4"/>
      <c r="B331" s="41">
        <f>B330+1</f>
        <v>59</v>
      </c>
      <c r="C331" s="42"/>
      <c r="D331" s="41"/>
      <c r="E331" s="39">
        <f>SUM(F331:AG331)</f>
        <v>0</v>
      </c>
      <c r="F331" s="2">
        <v>0</v>
      </c>
      <c r="G331" s="2">
        <v>0</v>
      </c>
      <c r="H331" s="2">
        <v>0</v>
      </c>
      <c r="I331" s="2">
        <v>0</v>
      </c>
      <c r="J331" s="115">
        <v>0</v>
      </c>
      <c r="K331" s="48">
        <v>0</v>
      </c>
      <c r="L331" s="2">
        <v>0</v>
      </c>
      <c r="M331" s="2">
        <v>0</v>
      </c>
      <c r="N331" s="2">
        <v>0</v>
      </c>
      <c r="O331" s="2">
        <v>0</v>
      </c>
      <c r="P331" s="115">
        <v>0</v>
      </c>
      <c r="Q331" s="48">
        <v>0</v>
      </c>
      <c r="R331" s="2">
        <v>0</v>
      </c>
      <c r="S331" s="2">
        <v>0</v>
      </c>
      <c r="T331" s="2">
        <v>0</v>
      </c>
      <c r="U331" s="115">
        <v>0</v>
      </c>
      <c r="V331" s="48">
        <v>0</v>
      </c>
      <c r="W331" s="2">
        <v>0</v>
      </c>
      <c r="X331" s="2">
        <v>0</v>
      </c>
      <c r="Y331" s="2">
        <v>0</v>
      </c>
      <c r="Z331" s="2">
        <v>0</v>
      </c>
      <c r="AA331" s="115">
        <v>0</v>
      </c>
      <c r="AB331" s="48">
        <v>0</v>
      </c>
      <c r="AC331" s="2">
        <v>0</v>
      </c>
      <c r="AD331" s="2">
        <v>0</v>
      </c>
      <c r="AE331" s="2">
        <v>0</v>
      </c>
      <c r="AF331" s="2">
        <v>0</v>
      </c>
      <c r="AG331" s="115">
        <v>0</v>
      </c>
      <c r="AH331" s="4"/>
    </row>
    <row r="332" spans="1:34" ht="15">
      <c r="A332" s="4"/>
      <c r="B332" s="41">
        <f>B331+1</f>
        <v>60</v>
      </c>
      <c r="C332" s="42"/>
      <c r="D332" s="41"/>
      <c r="E332" s="39">
        <f>SUM(F332:AG332)</f>
        <v>0</v>
      </c>
      <c r="F332" s="2">
        <v>0</v>
      </c>
      <c r="G332" s="2">
        <v>0</v>
      </c>
      <c r="H332" s="2">
        <v>0</v>
      </c>
      <c r="I332" s="2">
        <v>0</v>
      </c>
      <c r="J332" s="115">
        <v>0</v>
      </c>
      <c r="K332" s="48">
        <v>0</v>
      </c>
      <c r="L332" s="2">
        <v>0</v>
      </c>
      <c r="M332" s="2">
        <v>0</v>
      </c>
      <c r="N332" s="2">
        <v>0</v>
      </c>
      <c r="O332" s="2">
        <v>0</v>
      </c>
      <c r="P332" s="115">
        <v>0</v>
      </c>
      <c r="Q332" s="48">
        <v>0</v>
      </c>
      <c r="R332" s="2">
        <v>0</v>
      </c>
      <c r="S332" s="2">
        <v>0</v>
      </c>
      <c r="T332" s="2">
        <v>0</v>
      </c>
      <c r="U332" s="115">
        <v>0</v>
      </c>
      <c r="V332" s="48">
        <v>0</v>
      </c>
      <c r="W332" s="2">
        <v>0</v>
      </c>
      <c r="X332" s="2">
        <v>0</v>
      </c>
      <c r="Y332" s="2">
        <v>0</v>
      </c>
      <c r="Z332" s="2">
        <v>0</v>
      </c>
      <c r="AA332" s="115">
        <v>0</v>
      </c>
      <c r="AB332" s="48">
        <v>0</v>
      </c>
      <c r="AC332" s="2">
        <v>0</v>
      </c>
      <c r="AD332" s="2">
        <v>0</v>
      </c>
      <c r="AE332" s="2">
        <v>0</v>
      </c>
      <c r="AF332" s="2">
        <v>0</v>
      </c>
      <c r="AG332" s="115">
        <v>0</v>
      </c>
      <c r="AH332" s="4"/>
    </row>
    <row r="333" spans="1:34" ht="15">
      <c r="A333" s="4"/>
      <c r="B333" s="41">
        <f>B332+1</f>
        <v>61</v>
      </c>
      <c r="C333" s="42"/>
      <c r="D333" s="41"/>
      <c r="E333" s="39">
        <f>SUM(F333:AG333)</f>
        <v>0</v>
      </c>
      <c r="F333" s="2">
        <v>0</v>
      </c>
      <c r="G333" s="2">
        <v>0</v>
      </c>
      <c r="H333" s="2">
        <v>0</v>
      </c>
      <c r="I333" s="2">
        <v>0</v>
      </c>
      <c r="J333" s="115">
        <v>0</v>
      </c>
      <c r="K333" s="48">
        <v>0</v>
      </c>
      <c r="L333" s="2">
        <v>0</v>
      </c>
      <c r="M333" s="2">
        <v>0</v>
      </c>
      <c r="N333" s="2">
        <v>0</v>
      </c>
      <c r="O333" s="2">
        <v>0</v>
      </c>
      <c r="P333" s="115">
        <v>0</v>
      </c>
      <c r="Q333" s="48">
        <v>0</v>
      </c>
      <c r="R333" s="2">
        <v>0</v>
      </c>
      <c r="S333" s="2">
        <v>0</v>
      </c>
      <c r="T333" s="2">
        <v>0</v>
      </c>
      <c r="U333" s="115">
        <v>0</v>
      </c>
      <c r="V333" s="48">
        <v>0</v>
      </c>
      <c r="W333" s="2">
        <v>0</v>
      </c>
      <c r="X333" s="2">
        <v>0</v>
      </c>
      <c r="Y333" s="2">
        <v>0</v>
      </c>
      <c r="Z333" s="2">
        <v>0</v>
      </c>
      <c r="AA333" s="115">
        <v>0</v>
      </c>
      <c r="AB333" s="48">
        <v>0</v>
      </c>
      <c r="AC333" s="2">
        <v>0</v>
      </c>
      <c r="AD333" s="2">
        <v>0</v>
      </c>
      <c r="AE333" s="2">
        <v>0</v>
      </c>
      <c r="AF333" s="2">
        <v>0</v>
      </c>
      <c r="AG333" s="115">
        <v>0</v>
      </c>
      <c r="AH333" s="4"/>
    </row>
    <row r="334" spans="1:34" ht="15">
      <c r="A334" s="4"/>
      <c r="B334" s="41">
        <f>B333+1</f>
        <v>62</v>
      </c>
      <c r="C334" s="40"/>
      <c r="D334" s="40"/>
      <c r="E334" s="143"/>
      <c r="F334" s="144"/>
      <c r="G334" s="144"/>
      <c r="H334" s="144"/>
      <c r="I334" s="144"/>
      <c r="J334" s="145"/>
      <c r="K334" s="101"/>
      <c r="L334" s="144"/>
      <c r="M334" s="144"/>
      <c r="N334" s="144"/>
      <c r="O334" s="144"/>
      <c r="P334" s="145"/>
      <c r="Q334" s="101"/>
      <c r="R334" s="144"/>
      <c r="S334" s="144"/>
      <c r="T334" s="144"/>
      <c r="U334" s="145"/>
      <c r="V334" s="101"/>
      <c r="W334" s="144"/>
      <c r="X334" s="144"/>
      <c r="Y334" s="144"/>
      <c r="Z334" s="144"/>
      <c r="AA334" s="145"/>
      <c r="AB334" s="101"/>
      <c r="AC334" s="144"/>
      <c r="AD334" s="144"/>
      <c r="AE334" s="144"/>
      <c r="AF334" s="144"/>
      <c r="AG334" s="145"/>
      <c r="AH334" s="4"/>
    </row>
    <row r="335" spans="1:34" ht="15.75">
      <c r="A335" s="4"/>
      <c r="B335" s="41">
        <f>B334+1</f>
        <v>63</v>
      </c>
      <c r="C335" s="14" t="s">
        <v>101</v>
      </c>
      <c r="D335" s="41" t="str">
        <f>"Ln "&amp;FIXED(+B322,0)&amp;"-"&amp;FIXED(+B326,0)&amp;"+"&amp;FIXED(+B327,0)&amp;"+"&amp;FIXED(+B328,0)&amp;"+"&amp;FIXED(+B330,0)</f>
        <v>Ln 52-55+56+57+58</v>
      </c>
      <c r="E335" s="68">
        <f aca="true" t="shared" si="66" ref="E335:AG335">E322-E326+E327+E328+SUM(E330:E334)</f>
        <v>298392</v>
      </c>
      <c r="F335" s="68">
        <f t="shared" si="66"/>
        <v>0</v>
      </c>
      <c r="G335" s="69">
        <f t="shared" si="66"/>
        <v>0</v>
      </c>
      <c r="H335" s="69">
        <f t="shared" si="66"/>
        <v>0</v>
      </c>
      <c r="I335" s="69">
        <f t="shared" si="66"/>
        <v>0</v>
      </c>
      <c r="J335" s="70">
        <f t="shared" si="66"/>
        <v>0</v>
      </c>
      <c r="K335" s="68">
        <f t="shared" si="66"/>
        <v>0</v>
      </c>
      <c r="L335" s="69">
        <f t="shared" si="66"/>
        <v>0</v>
      </c>
      <c r="M335" s="69">
        <f t="shared" si="66"/>
        <v>0</v>
      </c>
      <c r="N335" s="69">
        <f t="shared" si="66"/>
        <v>42506</v>
      </c>
      <c r="O335" s="69">
        <f t="shared" si="66"/>
        <v>0</v>
      </c>
      <c r="P335" s="70">
        <f t="shared" si="66"/>
        <v>231387</v>
      </c>
      <c r="Q335" s="68">
        <f t="shared" si="66"/>
        <v>0</v>
      </c>
      <c r="R335" s="69">
        <f t="shared" si="66"/>
        <v>24499</v>
      </c>
      <c r="S335" s="69">
        <f t="shared" si="66"/>
        <v>0</v>
      </c>
      <c r="T335" s="69">
        <f t="shared" si="66"/>
        <v>0</v>
      </c>
      <c r="U335" s="70">
        <f t="shared" si="66"/>
        <v>0</v>
      </c>
      <c r="V335" s="68">
        <f t="shared" si="66"/>
        <v>0</v>
      </c>
      <c r="W335" s="69">
        <f t="shared" si="66"/>
        <v>0</v>
      </c>
      <c r="X335" s="69">
        <f t="shared" si="66"/>
        <v>0</v>
      </c>
      <c r="Y335" s="69">
        <f t="shared" si="66"/>
        <v>0</v>
      </c>
      <c r="Z335" s="69">
        <f t="shared" si="66"/>
        <v>0</v>
      </c>
      <c r="AA335" s="70">
        <f t="shared" si="66"/>
        <v>0</v>
      </c>
      <c r="AB335" s="68">
        <f t="shared" si="66"/>
        <v>0</v>
      </c>
      <c r="AC335" s="69">
        <f t="shared" si="66"/>
        <v>0</v>
      </c>
      <c r="AD335" s="69">
        <f t="shared" si="66"/>
        <v>0</v>
      </c>
      <c r="AE335" s="69">
        <f t="shared" si="66"/>
        <v>0</v>
      </c>
      <c r="AF335" s="69">
        <f t="shared" si="66"/>
        <v>0</v>
      </c>
      <c r="AG335" s="70">
        <f t="shared" si="66"/>
        <v>0</v>
      </c>
      <c r="AH335" s="4"/>
    </row>
    <row r="336" spans="1:34" ht="15">
      <c r="A336" s="4"/>
      <c r="B336" s="82"/>
      <c r="C336" s="102"/>
      <c r="D336" s="102"/>
      <c r="E336" s="146"/>
      <c r="F336" s="88"/>
      <c r="G336" s="88"/>
      <c r="H336" s="88"/>
      <c r="I336" s="88"/>
      <c r="J336" s="103"/>
      <c r="K336" s="102"/>
      <c r="L336" s="88"/>
      <c r="M336" s="88"/>
      <c r="N336" s="88"/>
      <c r="O336" s="88"/>
      <c r="P336" s="103"/>
      <c r="Q336" s="102"/>
      <c r="R336" s="88"/>
      <c r="S336" s="88"/>
      <c r="T336" s="88"/>
      <c r="U336" s="103"/>
      <c r="V336" s="102"/>
      <c r="W336" s="88"/>
      <c r="X336" s="88"/>
      <c r="Y336" s="88"/>
      <c r="Z336" s="88"/>
      <c r="AA336" s="103"/>
      <c r="AB336" s="102"/>
      <c r="AC336" s="88"/>
      <c r="AD336" s="88"/>
      <c r="AE336" s="88"/>
      <c r="AF336" s="88"/>
      <c r="AG336" s="103"/>
      <c r="AH336" s="4"/>
    </row>
    <row r="337" spans="1:34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ht="15">
      <c r="A339" s="4"/>
      <c r="B339" s="1" t="s">
        <v>245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ht="15.75">
      <c r="A340" s="4"/>
      <c r="B340" s="151" t="s">
        <v>246</v>
      </c>
      <c r="C340" s="9"/>
      <c r="D340" s="9"/>
      <c r="E340" s="9"/>
      <c r="F340" s="9"/>
      <c r="G340" s="152" t="s">
        <v>247</v>
      </c>
      <c r="H340" s="13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ht="15.75">
      <c r="A341" s="1" t="s">
        <v>248</v>
      </c>
      <c r="B341" s="153" t="s">
        <v>249</v>
      </c>
      <c r="C341" s="1"/>
      <c r="D341" s="1"/>
      <c r="E341" s="15"/>
      <c r="F341" s="1"/>
      <c r="G341" s="3" t="s">
        <v>250</v>
      </c>
      <c r="H341" s="18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ht="15.75">
      <c r="A342" s="4"/>
      <c r="B342" s="153" t="s">
        <v>251</v>
      </c>
      <c r="C342" s="4"/>
      <c r="D342" s="4"/>
      <c r="E342" s="4"/>
      <c r="F342" s="4"/>
      <c r="G342" s="17" t="s">
        <v>252</v>
      </c>
      <c r="H342" s="18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ht="15.75">
      <c r="A343" s="4"/>
      <c r="B343" s="153" t="s">
        <v>245</v>
      </c>
      <c r="C343" s="4"/>
      <c r="D343" s="4"/>
      <c r="E343" s="4"/>
      <c r="F343" s="4"/>
      <c r="G343" s="17"/>
      <c r="H343" s="18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ht="15.75">
      <c r="A344" s="4"/>
      <c r="B344" s="14"/>
      <c r="C344" s="3"/>
      <c r="D344" s="3"/>
      <c r="E344" s="154" t="s">
        <v>253</v>
      </c>
      <c r="F344" s="3"/>
      <c r="G344" s="155"/>
      <c r="H344" s="18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ht="15.75">
      <c r="A345" s="4"/>
      <c r="B345" s="14" t="s">
        <v>254</v>
      </c>
      <c r="C345" s="22" t="s">
        <v>19</v>
      </c>
      <c r="D345" s="3"/>
      <c r="E345" s="154" t="s">
        <v>255</v>
      </c>
      <c r="F345" s="17" t="s">
        <v>256</v>
      </c>
      <c r="G345" s="37"/>
      <c r="H345" s="21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ht="15.75">
      <c r="A346" s="4"/>
      <c r="B346" s="156"/>
      <c r="C346" s="157" t="s">
        <v>25</v>
      </c>
      <c r="D346" s="158"/>
      <c r="E346" s="159" t="s">
        <v>26</v>
      </c>
      <c r="F346" s="160" t="s">
        <v>27</v>
      </c>
      <c r="G346" s="161"/>
      <c r="H346" s="162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ht="15">
      <c r="A347" s="4"/>
      <c r="B347" s="42"/>
      <c r="C347" s="163"/>
      <c r="D347" s="1"/>
      <c r="E347" s="164"/>
      <c r="F347" s="165"/>
      <c r="G347" s="163"/>
      <c r="H347" s="166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ht="15">
      <c r="A348" s="4"/>
      <c r="B348" s="42">
        <v>1</v>
      </c>
      <c r="C348" s="163" t="s">
        <v>257</v>
      </c>
      <c r="D348" s="1"/>
      <c r="E348" s="164">
        <v>2000</v>
      </c>
      <c r="F348" s="165" t="s">
        <v>258</v>
      </c>
      <c r="G348" s="163"/>
      <c r="H348" s="166"/>
      <c r="I348" s="16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ht="15">
      <c r="A349" s="4"/>
      <c r="B349" s="42"/>
      <c r="C349" s="163"/>
      <c r="D349" s="1"/>
      <c r="E349" s="164"/>
      <c r="F349" s="165"/>
      <c r="G349" s="163"/>
      <c r="H349" s="166"/>
      <c r="I349" s="16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ht="15">
      <c r="A350" s="4"/>
      <c r="B350" s="42">
        <f>B348+1</f>
        <v>2</v>
      </c>
      <c r="C350" s="163" t="s">
        <v>259</v>
      </c>
      <c r="D350" s="1"/>
      <c r="E350" s="168">
        <f>G396</f>
        <v>0.6188886</v>
      </c>
      <c r="F350" s="169">
        <f>E350</f>
        <v>0.6188886</v>
      </c>
      <c r="G350" s="170"/>
      <c r="H350" s="171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ht="15">
      <c r="A351" s="4"/>
      <c r="B351" s="42"/>
      <c r="C351" s="163"/>
      <c r="D351" s="1"/>
      <c r="E351" s="172"/>
      <c r="F351" s="169"/>
      <c r="G351" s="170"/>
      <c r="H351" s="171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ht="15">
      <c r="A352" s="4"/>
      <c r="B352" s="42">
        <f>B350+1</f>
        <v>3</v>
      </c>
      <c r="C352" s="163" t="s">
        <v>260</v>
      </c>
      <c r="D352" s="1"/>
      <c r="E352" s="172">
        <f>ROUND($H$418,4)</f>
        <v>0.0947</v>
      </c>
      <c r="F352" s="169">
        <f>ROUND($H$418,4)</f>
        <v>0.0947</v>
      </c>
      <c r="G352" s="163"/>
      <c r="H352" s="166"/>
      <c r="I352" s="47"/>
      <c r="J352" s="47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ht="15">
      <c r="A353" s="4"/>
      <c r="B353" s="42"/>
      <c r="C353" s="163"/>
      <c r="D353" s="1"/>
      <c r="E353" s="172"/>
      <c r="F353" s="169"/>
      <c r="G353" s="163"/>
      <c r="H353" s="166"/>
      <c r="I353" s="4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ht="15">
      <c r="A354" s="4"/>
      <c r="B354" s="42">
        <f>B352+1</f>
        <v>4</v>
      </c>
      <c r="C354" s="163" t="s">
        <v>261</v>
      </c>
      <c r="D354" s="1"/>
      <c r="E354" s="173">
        <v>0.01</v>
      </c>
      <c r="F354" s="169">
        <f>E354</f>
        <v>0.01</v>
      </c>
      <c r="G354" s="170"/>
      <c r="H354" s="171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ht="15">
      <c r="A355" s="4"/>
      <c r="B355" s="42"/>
      <c r="C355" s="163"/>
      <c r="D355" s="1"/>
      <c r="E355" s="173"/>
      <c r="F355" s="169"/>
      <c r="G355" s="170"/>
      <c r="H355" s="171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ht="15">
      <c r="A356" s="4"/>
      <c r="B356" s="42">
        <f>B354+1</f>
        <v>5</v>
      </c>
      <c r="C356" s="163" t="s">
        <v>262</v>
      </c>
      <c r="D356" s="1"/>
      <c r="E356" s="173">
        <v>0.050290000000000015</v>
      </c>
      <c r="F356" s="169">
        <f>E356</f>
        <v>0.050290000000000015</v>
      </c>
      <c r="G356" s="163"/>
      <c r="H356" s="166"/>
      <c r="I356" s="16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ht="15">
      <c r="A357" s="4"/>
      <c r="B357" s="42"/>
      <c r="C357" s="163"/>
      <c r="D357" s="1"/>
      <c r="E357" s="173"/>
      <c r="F357" s="169"/>
      <c r="G357" s="163"/>
      <c r="H357" s="166"/>
      <c r="I357" s="16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ht="15">
      <c r="A358" s="1"/>
      <c r="B358" s="42">
        <f>B356+1</f>
        <v>6</v>
      </c>
      <c r="C358" s="163" t="s">
        <v>263</v>
      </c>
      <c r="D358" s="1"/>
      <c r="E358" s="173">
        <v>0.0020000000000000005</v>
      </c>
      <c r="F358" s="169">
        <f>E358</f>
        <v>0.0020000000000000005</v>
      </c>
      <c r="G358" s="170"/>
      <c r="H358" s="171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ht="15">
      <c r="A359" s="4"/>
      <c r="B359" s="42"/>
      <c r="C359" s="163"/>
      <c r="D359" s="1"/>
      <c r="E359" s="173"/>
      <c r="F359" s="169"/>
      <c r="G359" s="170"/>
      <c r="H359" s="171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ht="15">
      <c r="A360" s="4"/>
      <c r="B360" s="42">
        <f>B358+1</f>
        <v>7</v>
      </c>
      <c r="C360" s="163" t="s">
        <v>264</v>
      </c>
      <c r="D360" s="1"/>
      <c r="E360" s="173">
        <v>0.34</v>
      </c>
      <c r="F360" s="169">
        <f>E360</f>
        <v>0.34</v>
      </c>
      <c r="G360" s="170"/>
      <c r="H360" s="171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ht="15">
      <c r="A361" s="4"/>
      <c r="B361" s="42"/>
      <c r="C361" s="163"/>
      <c r="D361" s="1"/>
      <c r="E361" s="173"/>
      <c r="F361" s="169"/>
      <c r="G361" s="170"/>
      <c r="H361" s="171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ht="15">
      <c r="A362" s="4"/>
      <c r="B362" s="42">
        <f>B360+1</f>
        <v>8</v>
      </c>
      <c r="C362" s="163"/>
      <c r="D362" s="1"/>
      <c r="E362" s="173">
        <v>0</v>
      </c>
      <c r="F362" s="169">
        <f>E362</f>
        <v>0</v>
      </c>
      <c r="G362" s="170"/>
      <c r="H362" s="171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ht="15">
      <c r="A363" s="4"/>
      <c r="B363" s="42"/>
      <c r="C363" s="163"/>
      <c r="D363" s="1"/>
      <c r="E363" s="173"/>
      <c r="F363" s="169"/>
      <c r="G363" s="170"/>
      <c r="H363" s="171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ht="15">
      <c r="A364" s="4"/>
      <c r="B364" s="42">
        <v>9</v>
      </c>
      <c r="C364" s="163"/>
      <c r="D364" s="1"/>
      <c r="E364" s="173">
        <v>0</v>
      </c>
      <c r="F364" s="169">
        <f>E364</f>
        <v>0</v>
      </c>
      <c r="G364" s="170"/>
      <c r="H364" s="171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ht="15">
      <c r="A365" s="4"/>
      <c r="B365" s="42"/>
      <c r="C365" s="163"/>
      <c r="D365" s="1"/>
      <c r="E365" s="173"/>
      <c r="F365" s="169"/>
      <c r="G365" s="170"/>
      <c r="H365" s="171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ht="15">
      <c r="A366" s="4"/>
      <c r="B366" s="42"/>
      <c r="C366" s="163"/>
      <c r="D366" s="1"/>
      <c r="E366" s="173"/>
      <c r="F366" s="169"/>
      <c r="G366" s="170"/>
      <c r="H366" s="171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ht="15">
      <c r="A367" s="4"/>
      <c r="B367" s="42"/>
      <c r="C367" s="163"/>
      <c r="D367" s="4"/>
      <c r="E367" s="173"/>
      <c r="F367" s="169"/>
      <c r="G367" s="170"/>
      <c r="H367" s="171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ht="15">
      <c r="A368" s="4"/>
      <c r="B368" s="42"/>
      <c r="C368" s="163"/>
      <c r="D368" s="1"/>
      <c r="E368" s="173"/>
      <c r="F368" s="169"/>
      <c r="G368" s="170"/>
      <c r="H368" s="171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ht="15">
      <c r="A369" s="4"/>
      <c r="B369" s="83"/>
      <c r="C369" s="174"/>
      <c r="D369" s="175"/>
      <c r="E369" s="176"/>
      <c r="F369" s="177"/>
      <c r="G369" s="178"/>
      <c r="H369" s="179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ht="15.75">
      <c r="A372" s="4"/>
      <c r="B372" s="180" t="str">
        <f>B340</f>
        <v>RAINIER VIEW WATER CO., INC.</v>
      </c>
      <c r="C372" s="11"/>
      <c r="D372" s="11"/>
      <c r="E372" s="11"/>
      <c r="F372" s="11"/>
      <c r="G372" s="12" t="str">
        <f>G340</f>
        <v>Company Rebuttal</v>
      </c>
      <c r="H372" s="13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ht="15.75">
      <c r="A373" s="1" t="s">
        <v>265</v>
      </c>
      <c r="B373" s="19" t="s">
        <v>266</v>
      </c>
      <c r="C373" s="4"/>
      <c r="D373" s="4"/>
      <c r="E373" s="20"/>
      <c r="F373" s="4"/>
      <c r="G373" s="17" t="str">
        <f>G341</f>
        <v>Docket No. UW-010877</v>
      </c>
      <c r="H373" s="18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ht="15.75">
      <c r="A374" s="4"/>
      <c r="B374" s="19" t="str">
        <f>B342</f>
        <v>FOR THE 12 MONTHS ENDED DECEMBER 31, 2000</v>
      </c>
      <c r="C374" s="4"/>
      <c r="D374" s="4"/>
      <c r="E374" s="4"/>
      <c r="F374" s="4"/>
      <c r="G374" s="17" t="s">
        <v>252</v>
      </c>
      <c r="H374" s="18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ht="15">
      <c r="A375" s="4"/>
      <c r="B375" s="40"/>
      <c r="C375" s="4"/>
      <c r="D375" s="4"/>
      <c r="E375" s="4"/>
      <c r="F375" s="4"/>
      <c r="G375" s="4"/>
      <c r="H375" s="18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ht="15.75">
      <c r="A376" s="4"/>
      <c r="B376" s="40"/>
      <c r="C376" s="4"/>
      <c r="D376" s="4"/>
      <c r="E376" s="4"/>
      <c r="F376" s="24" t="s">
        <v>267</v>
      </c>
      <c r="G376" s="17"/>
      <c r="H376" s="18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ht="15.75">
      <c r="A377" s="4"/>
      <c r="B377" s="40"/>
      <c r="C377" s="4"/>
      <c r="D377" s="4"/>
      <c r="E377" s="4"/>
      <c r="F377" s="24" t="s">
        <v>268</v>
      </c>
      <c r="G377" s="24" t="s">
        <v>269</v>
      </c>
      <c r="H377" s="18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ht="15.75">
      <c r="A378" s="4"/>
      <c r="B378" s="25" t="s">
        <v>254</v>
      </c>
      <c r="C378" s="24" t="s">
        <v>270</v>
      </c>
      <c r="D378" s="17"/>
      <c r="E378" s="22" t="s">
        <v>271</v>
      </c>
      <c r="F378" s="24" t="s">
        <v>272</v>
      </c>
      <c r="G378" s="24" t="s">
        <v>273</v>
      </c>
      <c r="H378" s="106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ht="15.75">
      <c r="A379" s="4"/>
      <c r="B379" s="180"/>
      <c r="C379" s="31" t="s">
        <v>25</v>
      </c>
      <c r="D379" s="12"/>
      <c r="E379" s="181" t="s">
        <v>26</v>
      </c>
      <c r="F379" s="182" t="s">
        <v>27</v>
      </c>
      <c r="G379" s="183" t="s">
        <v>28</v>
      </c>
      <c r="H379" s="18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ht="15">
      <c r="A380" s="4"/>
      <c r="B380" s="40"/>
      <c r="C380" s="35"/>
      <c r="D380" s="4"/>
      <c r="E380" s="170"/>
      <c r="F380" s="185"/>
      <c r="G380" s="186"/>
      <c r="H380" s="18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ht="15">
      <c r="A381" s="4"/>
      <c r="B381" s="40"/>
      <c r="C381" s="40"/>
      <c r="D381" s="4"/>
      <c r="E381" s="170"/>
      <c r="F381" s="170"/>
      <c r="G381" s="188"/>
      <c r="H381" s="171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ht="15.75">
      <c r="A382" s="4"/>
      <c r="B382" s="189">
        <v>1</v>
      </c>
      <c r="C382" s="14" t="s">
        <v>274</v>
      </c>
      <c r="D382" s="1"/>
      <c r="E382" s="190" t="s">
        <v>275</v>
      </c>
      <c r="F382" s="163"/>
      <c r="G382" s="191">
        <v>1</v>
      </c>
      <c r="H382" s="171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ht="15">
      <c r="A383" s="4"/>
      <c r="B383" s="189"/>
      <c r="C383" s="42"/>
      <c r="D383" s="1"/>
      <c r="E383" s="163"/>
      <c r="F383" s="163"/>
      <c r="G383" s="191"/>
      <c r="H383" s="171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ht="15.75">
      <c r="A384" s="4"/>
      <c r="B384" s="40"/>
      <c r="C384" s="14" t="s">
        <v>276</v>
      </c>
      <c r="D384" s="4"/>
      <c r="E384" s="170"/>
      <c r="F384" s="170"/>
      <c r="G384" s="191"/>
      <c r="H384" s="171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ht="15">
      <c r="A385" s="4"/>
      <c r="B385" s="189">
        <f>B382+1</f>
        <v>2</v>
      </c>
      <c r="C385" s="42" t="s">
        <v>277</v>
      </c>
      <c r="D385" s="1"/>
      <c r="E385" s="190" t="s">
        <v>36</v>
      </c>
      <c r="F385" s="168">
        <f>E354</f>
        <v>0.01</v>
      </c>
      <c r="G385" s="191">
        <f>F385*G382</f>
        <v>0.01</v>
      </c>
      <c r="H385" s="171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ht="15">
      <c r="A386" s="4"/>
      <c r="B386" s="189">
        <f>B385+1</f>
        <v>3</v>
      </c>
      <c r="C386" s="42" t="s">
        <v>278</v>
      </c>
      <c r="D386" s="1"/>
      <c r="E386" s="190" t="s">
        <v>36</v>
      </c>
      <c r="F386" s="168">
        <f>E358</f>
        <v>0.0020000000000000005</v>
      </c>
      <c r="G386" s="191">
        <f>F386*G382</f>
        <v>0.0020000000000000005</v>
      </c>
      <c r="H386" s="166"/>
      <c r="I386" s="4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ht="15">
      <c r="A387" s="4"/>
      <c r="B387" s="189">
        <f>B386+1</f>
        <v>4</v>
      </c>
      <c r="C387" s="42" t="s">
        <v>279</v>
      </c>
      <c r="D387" s="1"/>
      <c r="E387" s="190" t="s">
        <v>36</v>
      </c>
      <c r="F387" s="168">
        <f>E356</f>
        <v>0.050290000000000015</v>
      </c>
      <c r="G387" s="191">
        <f>F387*G382</f>
        <v>0.050290000000000015</v>
      </c>
      <c r="H387" s="166"/>
      <c r="I387" s="4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ht="15">
      <c r="A388" s="4"/>
      <c r="B388" s="189">
        <f>B387+1</f>
        <v>5</v>
      </c>
      <c r="C388" s="42"/>
      <c r="D388" s="1"/>
      <c r="E388" s="190" t="s">
        <v>36</v>
      </c>
      <c r="F388" s="168">
        <f>E362</f>
        <v>0</v>
      </c>
      <c r="G388" s="191">
        <f>F388*G382</f>
        <v>0</v>
      </c>
      <c r="H388" s="171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ht="15">
      <c r="A389" s="4"/>
      <c r="B389" s="189">
        <f>B388+1</f>
        <v>6</v>
      </c>
      <c r="C389" s="42"/>
      <c r="D389" s="1"/>
      <c r="E389" s="190" t="s">
        <v>36</v>
      </c>
      <c r="F389" s="168">
        <v>0</v>
      </c>
      <c r="G389" s="191">
        <f>F389*G382</f>
        <v>0</v>
      </c>
      <c r="H389" s="171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ht="15">
      <c r="A390" s="4"/>
      <c r="B390" s="189">
        <f>B389+1</f>
        <v>7</v>
      </c>
      <c r="C390" s="42" t="s">
        <v>280</v>
      </c>
      <c r="D390" s="1"/>
      <c r="E390" s="190" t="s">
        <v>281</v>
      </c>
      <c r="F390" s="168"/>
      <c r="G390" s="192">
        <f>SUM(G385:G389)</f>
        <v>0.06229000000000001</v>
      </c>
      <c r="H390" s="171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ht="15">
      <c r="A391" s="4"/>
      <c r="B391" s="189"/>
      <c r="C391" s="42"/>
      <c r="D391" s="1"/>
      <c r="E391" s="163"/>
      <c r="F391" s="168"/>
      <c r="G391" s="191"/>
      <c r="H391" s="171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ht="15">
      <c r="A392" s="4"/>
      <c r="B392" s="189">
        <f>B390+1</f>
        <v>8</v>
      </c>
      <c r="C392" s="42" t="s">
        <v>282</v>
      </c>
      <c r="D392" s="1"/>
      <c r="E392" s="190" t="s">
        <v>283</v>
      </c>
      <c r="F392" s="168"/>
      <c r="G392" s="192">
        <f>G382-G390</f>
        <v>0.93771</v>
      </c>
      <c r="H392" s="171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ht="15">
      <c r="A393" s="4"/>
      <c r="B393" s="40"/>
      <c r="C393" s="40"/>
      <c r="D393" s="4"/>
      <c r="E393" s="170"/>
      <c r="F393" s="168"/>
      <c r="G393" s="191"/>
      <c r="H393" s="171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ht="15">
      <c r="A394" s="4"/>
      <c r="B394" s="189">
        <f>B392+1</f>
        <v>9</v>
      </c>
      <c r="C394" s="42" t="s">
        <v>284</v>
      </c>
      <c r="D394" s="1"/>
      <c r="E394" s="190" t="s">
        <v>36</v>
      </c>
      <c r="F394" s="168">
        <f>E360</f>
        <v>0.34</v>
      </c>
      <c r="G394" s="191">
        <f>G392*F394</f>
        <v>0.31882140000000003</v>
      </c>
      <c r="H394" s="166"/>
      <c r="I394" s="56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ht="15">
      <c r="A395" s="4"/>
      <c r="B395" s="40"/>
      <c r="C395" s="40"/>
      <c r="D395" s="4"/>
      <c r="E395" s="170"/>
      <c r="F395" s="168"/>
      <c r="G395" s="193"/>
      <c r="H395" s="171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ht="15.75">
      <c r="A396" s="4"/>
      <c r="B396" s="189">
        <f>B394+1</f>
        <v>10</v>
      </c>
      <c r="C396" s="42" t="s">
        <v>285</v>
      </c>
      <c r="D396" s="1"/>
      <c r="E396" s="190" t="s">
        <v>286</v>
      </c>
      <c r="F396" s="168"/>
      <c r="G396" s="194">
        <f>G392-G394</f>
        <v>0.6188886</v>
      </c>
      <c r="H396" s="171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ht="15">
      <c r="A397" s="4"/>
      <c r="B397" s="40"/>
      <c r="C397" s="40"/>
      <c r="D397" s="4"/>
      <c r="E397" s="170"/>
      <c r="F397" s="168"/>
      <c r="G397" s="193"/>
      <c r="H397" s="171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ht="15.75">
      <c r="A398" s="4"/>
      <c r="B398" s="189">
        <f>B396+1</f>
        <v>11</v>
      </c>
      <c r="C398" s="42" t="s">
        <v>287</v>
      </c>
      <c r="D398" s="1"/>
      <c r="E398" s="190" t="s">
        <v>288</v>
      </c>
      <c r="F398" s="168"/>
      <c r="G398" s="194">
        <f>1/G396</f>
        <v>1.6157996770339604</v>
      </c>
      <c r="H398" s="18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ht="15">
      <c r="A399" s="4"/>
      <c r="B399" s="40"/>
      <c r="C399" s="40"/>
      <c r="D399" s="4"/>
      <c r="E399" s="170"/>
      <c r="F399" s="168"/>
      <c r="G399" s="195"/>
      <c r="H399" s="171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ht="15">
      <c r="A400" s="4"/>
      <c r="B400" s="196"/>
      <c r="C400" s="83"/>
      <c r="D400" s="175"/>
      <c r="E400" s="174"/>
      <c r="F400" s="197"/>
      <c r="G400" s="198"/>
      <c r="H400" s="179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ht="15.75">
      <c r="A402" s="4"/>
      <c r="B402" s="4"/>
      <c r="C402" s="4"/>
      <c r="D402" s="4"/>
      <c r="E402" s="4"/>
      <c r="F402" s="4"/>
      <c r="G402" s="4"/>
      <c r="H402" s="4"/>
      <c r="I402" s="3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ht="15.75">
      <c r="A403" s="4"/>
      <c r="B403" s="151" t="str">
        <f>B340</f>
        <v>RAINIER VIEW WATER CO., INC.</v>
      </c>
      <c r="C403" s="12"/>
      <c r="D403" s="12"/>
      <c r="E403" s="12"/>
      <c r="F403" s="12"/>
      <c r="G403" s="12" t="str">
        <f>G340</f>
        <v>Company Rebuttal</v>
      </c>
      <c r="H403" s="105"/>
      <c r="I403" s="5"/>
      <c r="J403" s="45"/>
      <c r="K403" s="1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ht="15.75">
      <c r="A404" s="1" t="s">
        <v>289</v>
      </c>
      <c r="B404" s="19" t="s">
        <v>290</v>
      </c>
      <c r="C404" s="17"/>
      <c r="D404" s="17"/>
      <c r="E404" s="20"/>
      <c r="F404" s="17"/>
      <c r="G404" s="17" t="str">
        <f>G341</f>
        <v>Docket No. UW-010877</v>
      </c>
      <c r="H404" s="106"/>
      <c r="I404" s="5"/>
      <c r="J404" s="47"/>
      <c r="K404" s="1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ht="15.75">
      <c r="A405" s="4"/>
      <c r="B405" s="19" t="str">
        <f>B342</f>
        <v>FOR THE 12 MONTHS ENDED DECEMBER 31, 2000</v>
      </c>
      <c r="C405" s="17"/>
      <c r="D405" s="17"/>
      <c r="E405" s="17"/>
      <c r="F405" s="17"/>
      <c r="G405" s="199"/>
      <c r="H405" s="106"/>
      <c r="I405" s="4"/>
      <c r="J405" s="4"/>
      <c r="K405" s="4"/>
      <c r="L405" s="4"/>
      <c r="M405" s="5" t="s">
        <v>291</v>
      </c>
      <c r="N405" s="5" t="s">
        <v>292</v>
      </c>
      <c r="O405" s="5" t="s">
        <v>291</v>
      </c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ht="15.75">
      <c r="A406" s="4"/>
      <c r="B406" s="19"/>
      <c r="C406" s="17"/>
      <c r="D406" s="17"/>
      <c r="E406" s="17"/>
      <c r="F406" s="17"/>
      <c r="G406" s="17"/>
      <c r="H406" s="106"/>
      <c r="I406" s="5"/>
      <c r="J406" s="45"/>
      <c r="K406" s="1"/>
      <c r="L406" s="4"/>
      <c r="M406" s="5" t="s">
        <v>293</v>
      </c>
      <c r="N406" s="5" t="s">
        <v>291</v>
      </c>
      <c r="O406" s="5" t="s">
        <v>194</v>
      </c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ht="15.75">
      <c r="A407" s="4"/>
      <c r="B407" s="19"/>
      <c r="C407" s="17"/>
      <c r="D407" s="17"/>
      <c r="E407" s="17"/>
      <c r="F407" s="17"/>
      <c r="G407" s="17"/>
      <c r="H407" s="23" t="s">
        <v>294</v>
      </c>
      <c r="I407" s="4"/>
      <c r="J407" s="47"/>
      <c r="K407" s="1"/>
      <c r="L407" s="4"/>
      <c r="M407" s="1">
        <v>144592</v>
      </c>
      <c r="N407" s="200">
        <f aca="true" t="shared" si="67" ref="N407:N421">ROUND(+M407/$M$423,20)</f>
        <v>0.0385841759300942</v>
      </c>
      <c r="O407" s="200">
        <v>0.07</v>
      </c>
      <c r="P407" s="200">
        <f aca="true" t="shared" si="68" ref="P407:P421">ROUND(+O407*N407,20)</f>
        <v>0.00270089231510659</v>
      </c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ht="15.75">
      <c r="A408" s="4"/>
      <c r="B408" s="19"/>
      <c r="C408" s="17"/>
      <c r="D408" s="17"/>
      <c r="E408" s="24" t="s">
        <v>295</v>
      </c>
      <c r="F408" s="24" t="s">
        <v>296</v>
      </c>
      <c r="G408" s="24" t="s">
        <v>297</v>
      </c>
      <c r="H408" s="23" t="s">
        <v>297</v>
      </c>
      <c r="I408" s="4"/>
      <c r="J408" s="4"/>
      <c r="K408" s="4"/>
      <c r="L408" s="4"/>
      <c r="M408" s="1">
        <v>388623</v>
      </c>
      <c r="N408" s="200">
        <f t="shared" si="67"/>
        <v>0.103703511968027</v>
      </c>
      <c r="O408" s="200">
        <v>0.07</v>
      </c>
      <c r="P408" s="200">
        <f t="shared" si="68"/>
        <v>0.00725924583776189</v>
      </c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ht="15.75">
      <c r="A409" s="4"/>
      <c r="B409" s="19"/>
      <c r="C409" s="17"/>
      <c r="D409" s="17"/>
      <c r="E409" s="24" t="s">
        <v>298</v>
      </c>
      <c r="F409" s="24" t="s">
        <v>299</v>
      </c>
      <c r="G409" s="24" t="s">
        <v>272</v>
      </c>
      <c r="H409" s="23" t="s">
        <v>272</v>
      </c>
      <c r="I409" s="5"/>
      <c r="J409" s="45"/>
      <c r="K409" s="1"/>
      <c r="L409" s="4"/>
      <c r="M409" s="1">
        <v>411880</v>
      </c>
      <c r="N409" s="200">
        <f t="shared" si="67"/>
        <v>0.109909610366322</v>
      </c>
      <c r="O409" s="200">
        <v>0.07</v>
      </c>
      <c r="P409" s="200">
        <f t="shared" si="68"/>
        <v>0.00769367272564254</v>
      </c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ht="15.75">
      <c r="A410" s="4"/>
      <c r="B410" s="25" t="s">
        <v>254</v>
      </c>
      <c r="C410" s="24" t="s">
        <v>270</v>
      </c>
      <c r="D410" s="17"/>
      <c r="E410" s="22" t="s">
        <v>300</v>
      </c>
      <c r="F410" s="24" t="s">
        <v>301</v>
      </c>
      <c r="G410" s="24" t="s">
        <v>301</v>
      </c>
      <c r="H410" s="23" t="s">
        <v>301</v>
      </c>
      <c r="I410" s="4"/>
      <c r="J410" s="47"/>
      <c r="K410" s="1"/>
      <c r="L410" s="4"/>
      <c r="M410" s="1">
        <v>887108</v>
      </c>
      <c r="N410" s="200">
        <f t="shared" si="67"/>
        <v>0.236723547229404</v>
      </c>
      <c r="O410" s="200">
        <v>0.07</v>
      </c>
      <c r="P410" s="200">
        <f t="shared" si="68"/>
        <v>0.0165706483060583</v>
      </c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ht="15.75">
      <c r="A411" s="4"/>
      <c r="B411" s="180"/>
      <c r="C411" s="31" t="s">
        <v>25</v>
      </c>
      <c r="D411" s="12"/>
      <c r="E411" s="181" t="s">
        <v>26</v>
      </c>
      <c r="F411" s="33" t="s">
        <v>27</v>
      </c>
      <c r="G411" s="33" t="s">
        <v>28</v>
      </c>
      <c r="H411" s="184" t="s">
        <v>29</v>
      </c>
      <c r="I411" s="4"/>
      <c r="J411" s="4"/>
      <c r="K411" s="4"/>
      <c r="L411" s="4"/>
      <c r="M411" s="1">
        <v>934447</v>
      </c>
      <c r="N411" s="200">
        <f t="shared" si="67"/>
        <v>0.249355894139017</v>
      </c>
      <c r="O411" s="200">
        <v>0.07</v>
      </c>
      <c r="P411" s="200">
        <f t="shared" si="68"/>
        <v>0.0174549125897312</v>
      </c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ht="15">
      <c r="A412" s="4"/>
      <c r="B412" s="40"/>
      <c r="C412" s="35"/>
      <c r="D412" s="4"/>
      <c r="E412" s="185"/>
      <c r="F412" s="37"/>
      <c r="G412" s="37"/>
      <c r="H412" s="187"/>
      <c r="I412" s="4"/>
      <c r="J412" s="4"/>
      <c r="K412" s="4"/>
      <c r="L412" s="4"/>
      <c r="M412" s="1">
        <v>56016</v>
      </c>
      <c r="N412" s="200">
        <f t="shared" si="67"/>
        <v>0.0149477924013788</v>
      </c>
      <c r="O412" s="200">
        <v>0.105</v>
      </c>
      <c r="P412" s="200">
        <f t="shared" si="68"/>
        <v>0.00156951820214477</v>
      </c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ht="15">
      <c r="A413" s="4"/>
      <c r="B413" s="40"/>
      <c r="C413" s="40"/>
      <c r="D413" s="4"/>
      <c r="E413" s="170"/>
      <c r="F413" s="4"/>
      <c r="G413" s="4"/>
      <c r="H413" s="171"/>
      <c r="I413" s="4"/>
      <c r="J413" s="201"/>
      <c r="K413" s="4"/>
      <c r="L413" s="4"/>
      <c r="M413" s="1">
        <v>731596</v>
      </c>
      <c r="N413" s="200">
        <f t="shared" si="67"/>
        <v>0.195225384348741</v>
      </c>
      <c r="O413" s="200">
        <v>0.06</v>
      </c>
      <c r="P413" s="200">
        <f t="shared" si="68"/>
        <v>0.0117135230609245</v>
      </c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ht="15.75">
      <c r="A414" s="4"/>
      <c r="B414" s="202">
        <v>1</v>
      </c>
      <c r="C414" s="42" t="s">
        <v>302</v>
      </c>
      <c r="D414" s="1"/>
      <c r="E414" s="203">
        <f>E418*0.5</f>
        <v>2927023</v>
      </c>
      <c r="F414" s="47">
        <f>E414/E418</f>
        <v>0.5</v>
      </c>
      <c r="G414" s="47">
        <v>0.06931220000000002</v>
      </c>
      <c r="H414" s="204">
        <f>ROUND(+G414*F414,20)</f>
        <v>0.0346561</v>
      </c>
      <c r="I414" s="59">
        <f>H414</f>
        <v>0.0346561</v>
      </c>
      <c r="J414" s="47"/>
      <c r="K414" s="47"/>
      <c r="L414" s="47"/>
      <c r="M414" s="49">
        <v>9170</v>
      </c>
      <c r="N414" s="200">
        <f t="shared" si="67"/>
        <v>0.00244700186233653</v>
      </c>
      <c r="O414" s="200">
        <v>0.05900000000000001</v>
      </c>
      <c r="P414" s="200">
        <f t="shared" si="68"/>
        <v>0.000144373109877855</v>
      </c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ht="15.75">
      <c r="A415" s="4"/>
      <c r="B415" s="41"/>
      <c r="C415" s="42"/>
      <c r="D415" s="1"/>
      <c r="E415" s="205"/>
      <c r="F415" s="4"/>
      <c r="G415" s="4"/>
      <c r="H415" s="206"/>
      <c r="I415" s="4"/>
      <c r="J415" s="4"/>
      <c r="K415" s="4"/>
      <c r="L415" s="4"/>
      <c r="M415" s="1">
        <v>13663</v>
      </c>
      <c r="N415" s="200">
        <f t="shared" si="67"/>
        <v>0.00364595272029488</v>
      </c>
      <c r="O415" s="200">
        <v>0.0875</v>
      </c>
      <c r="P415" s="200">
        <f t="shared" si="68"/>
        <v>0.000319020863025802</v>
      </c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ht="15.75">
      <c r="A416" s="1"/>
      <c r="B416" s="202">
        <f>B414+1</f>
        <v>2</v>
      </c>
      <c r="C416" s="42" t="s">
        <v>303</v>
      </c>
      <c r="D416" s="1"/>
      <c r="E416" s="170">
        <f>E418*0.5</f>
        <v>2927023</v>
      </c>
      <c r="F416" s="47">
        <f>E416/E418</f>
        <v>0.5</v>
      </c>
      <c r="G416" s="47">
        <v>0.12</v>
      </c>
      <c r="H416" s="204">
        <f>ROUND(+G416*F416,20)</f>
        <v>0.06</v>
      </c>
      <c r="I416" s="59">
        <f>H416</f>
        <v>0.06</v>
      </c>
      <c r="J416" s="4"/>
      <c r="K416" s="47"/>
      <c r="L416" s="47"/>
      <c r="M416" s="49">
        <v>20664</v>
      </c>
      <c r="N416" s="200">
        <f t="shared" si="67"/>
        <v>0.00551415992184538</v>
      </c>
      <c r="O416" s="200">
        <v>0.06400000000000002</v>
      </c>
      <c r="P416" s="200">
        <f t="shared" si="68"/>
        <v>0.000352906234998104</v>
      </c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ht="15">
      <c r="A417" s="4"/>
      <c r="B417" s="35"/>
      <c r="C417" s="40"/>
      <c r="D417" s="4"/>
      <c r="E417" s="207"/>
      <c r="F417" s="208"/>
      <c r="G417" s="104"/>
      <c r="H417" s="209"/>
      <c r="I417" s="4"/>
      <c r="J417" s="4"/>
      <c r="K417" s="4"/>
      <c r="L417" s="4"/>
      <c r="M417" s="1">
        <v>29067</v>
      </c>
      <c r="N417" s="200">
        <f t="shared" si="67"/>
        <v>0.0077564888912253</v>
      </c>
      <c r="O417" s="200">
        <v>0.09670000000000002</v>
      </c>
      <c r="P417" s="200">
        <f t="shared" si="68"/>
        <v>0.000750052475781487</v>
      </c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ht="15.75">
      <c r="A418" s="4"/>
      <c r="B418" s="202">
        <f>B416+1</f>
        <v>3</v>
      </c>
      <c r="C418" s="42" t="s">
        <v>304</v>
      </c>
      <c r="D418" s="1"/>
      <c r="E418" s="210">
        <v>5854046</v>
      </c>
      <c r="F418" s="211">
        <f>SUM(F414:F417)</f>
        <v>1</v>
      </c>
      <c r="G418" s="1"/>
      <c r="H418" s="212">
        <f>ROUND(SUM(H414:H416),20)</f>
        <v>0.0946561</v>
      </c>
      <c r="I418" s="59">
        <f>H418</f>
        <v>0.0946561</v>
      </c>
      <c r="J418" s="59">
        <f>ROUND(+I418,4)</f>
        <v>0.0947</v>
      </c>
      <c r="K418" s="47"/>
      <c r="L418" s="4"/>
      <c r="M418" s="1">
        <v>30030</v>
      </c>
      <c r="N418" s="200">
        <f t="shared" si="67"/>
        <v>0.00801346411406391</v>
      </c>
      <c r="O418" s="200">
        <v>0.085</v>
      </c>
      <c r="P418" s="200">
        <f t="shared" si="68"/>
        <v>0.000681144449695432</v>
      </c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ht="15">
      <c r="A419" s="4"/>
      <c r="B419" s="83"/>
      <c r="C419" s="83"/>
      <c r="D419" s="175"/>
      <c r="E419" s="174"/>
      <c r="F419" s="175"/>
      <c r="G419" s="175"/>
      <c r="H419" s="213"/>
      <c r="I419" s="47"/>
      <c r="J419" s="4"/>
      <c r="K419" s="4"/>
      <c r="L419" s="4"/>
      <c r="M419" s="1">
        <v>56017</v>
      </c>
      <c r="N419" s="200">
        <f t="shared" si="67"/>
        <v>0.0149480592500006</v>
      </c>
      <c r="O419" s="200">
        <v>0.08990000000000001</v>
      </c>
      <c r="P419" s="200">
        <f t="shared" si="68"/>
        <v>0.00134383052657505</v>
      </c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ht="15">
      <c r="A420" s="4"/>
      <c r="B420" s="214"/>
      <c r="C420" s="9"/>
      <c r="D420" s="9"/>
      <c r="E420" s="9"/>
      <c r="F420" s="9"/>
      <c r="G420" s="9"/>
      <c r="H420" s="215"/>
      <c r="I420" s="4"/>
      <c r="J420" s="4"/>
      <c r="K420" s="4"/>
      <c r="L420" s="4"/>
      <c r="M420" s="1">
        <v>19595</v>
      </c>
      <c r="N420" s="200">
        <f t="shared" si="67"/>
        <v>0.00522889874509099</v>
      </c>
      <c r="O420" s="200">
        <v>0.09920000000000002</v>
      </c>
      <c r="P420" s="200">
        <f t="shared" si="68"/>
        <v>0.000518706755513026</v>
      </c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ht="15">
      <c r="A421" s="4"/>
      <c r="B421" s="40"/>
      <c r="C421" s="1"/>
      <c r="D421" s="4"/>
      <c r="E421" s="1"/>
      <c r="F421" s="4"/>
      <c r="G421" s="4"/>
      <c r="H421" s="18"/>
      <c r="I421" s="4"/>
      <c r="J421" s="4"/>
      <c r="K421" s="4"/>
      <c r="L421" s="4"/>
      <c r="M421" s="1">
        <v>14975</v>
      </c>
      <c r="N421" s="200">
        <f t="shared" si="67"/>
        <v>0.00399605811215808</v>
      </c>
      <c r="O421" s="200">
        <v>0.06</v>
      </c>
      <c r="P421" s="200">
        <f t="shared" si="68"/>
        <v>0.000239763486729485</v>
      </c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ht="15">
      <c r="A422" s="4"/>
      <c r="B422" s="102"/>
      <c r="C422" s="88"/>
      <c r="D422" s="88"/>
      <c r="E422" s="88"/>
      <c r="F422" s="88"/>
      <c r="G422" s="88"/>
      <c r="H422" s="103"/>
      <c r="I422" s="4"/>
      <c r="J422" s="4"/>
      <c r="K422" s="4"/>
      <c r="L422" s="4"/>
      <c r="M422" s="4"/>
      <c r="N422" s="200"/>
      <c r="O422" s="200"/>
      <c r="P422" s="200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ht="15">
      <c r="A423" s="4"/>
      <c r="B423" s="216"/>
      <c r="C423" s="1"/>
      <c r="D423" s="1"/>
      <c r="E423" s="1" t="s">
        <v>305</v>
      </c>
      <c r="F423" s="47">
        <f>SUM(F414:F416)</f>
        <v>1</v>
      </c>
      <c r="G423" s="47"/>
      <c r="H423" s="47"/>
      <c r="I423" s="4"/>
      <c r="J423" s="4"/>
      <c r="K423" s="4"/>
      <c r="L423" s="4"/>
      <c r="M423" s="1">
        <f>SUM(M407:M421)</f>
        <v>3747443</v>
      </c>
      <c r="N423" s="200">
        <f>SUM(N407:N421)</f>
        <v>0.9999999999999997</v>
      </c>
      <c r="O423" s="200"/>
      <c r="P423" s="200">
        <f>SUM(P407:P421)</f>
        <v>0.06931221093956602</v>
      </c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ht="15">
      <c r="A424" s="4"/>
      <c r="B424" s="4"/>
      <c r="C424" s="1" t="str">
        <f>"Note:Amount of  $"&amp;FIXED(+E418,0)&amp;", at Line "&amp;FIXED(+B418,0)&amp;", Column "&amp;+E411&amp;", came from .... "</f>
        <v>Note:Amount of  $5,854,046, at Line 3, Column (B), came from .... </v>
      </c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200"/>
      <c r="O424" s="200"/>
      <c r="P424" s="200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200"/>
      <c r="O425" s="200"/>
      <c r="P425" s="200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ht="15.75">
      <c r="A426" s="4"/>
      <c r="B426" s="8" t="str">
        <f>B340</f>
        <v>RAINIER VIEW WATER CO., INC.</v>
      </c>
      <c r="C426" s="11"/>
      <c r="D426" s="11"/>
      <c r="E426" s="11"/>
      <c r="F426" s="11"/>
      <c r="G426" s="57" t="str">
        <f>G340</f>
        <v>Company Rebuttal</v>
      </c>
      <c r="H426" s="13"/>
      <c r="I426" s="4"/>
      <c r="J426" s="4"/>
      <c r="K426" s="4"/>
      <c r="L426" s="4"/>
      <c r="M426" s="4"/>
      <c r="N426" s="200"/>
      <c r="O426" s="200"/>
      <c r="P426" s="200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ht="15.75">
      <c r="A427" s="4"/>
      <c r="B427" s="14" t="str">
        <f>B341</f>
        <v>PRO FORMA INCOME STATEMENT</v>
      </c>
      <c r="C427" s="4"/>
      <c r="D427" s="4"/>
      <c r="E427" s="4"/>
      <c r="F427" s="4"/>
      <c r="G427" s="3" t="str">
        <f>G341</f>
        <v>Docket No. UW-010877</v>
      </c>
      <c r="H427" s="18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ht="15.75">
      <c r="A428" s="4"/>
      <c r="B428" s="19" t="s">
        <v>306</v>
      </c>
      <c r="C428" s="4"/>
      <c r="D428" s="4"/>
      <c r="E428" s="20"/>
      <c r="F428" s="4"/>
      <c r="G428" s="199"/>
      <c r="H428" s="18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ht="15.75">
      <c r="A429" s="1" t="s">
        <v>307</v>
      </c>
      <c r="B429" s="14" t="str">
        <f>B342</f>
        <v>FOR THE 12 MONTHS ENDED DECEMBER 31, 2000</v>
      </c>
      <c r="C429" s="4"/>
      <c r="D429" s="4"/>
      <c r="E429" s="4"/>
      <c r="F429" s="4"/>
      <c r="G429" s="4"/>
      <c r="H429" s="18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ht="15.75">
      <c r="A430" s="4"/>
      <c r="B430" s="19"/>
      <c r="C430" s="4"/>
      <c r="D430" s="4"/>
      <c r="E430" s="4"/>
      <c r="F430" s="4"/>
      <c r="G430" s="4"/>
      <c r="H430" s="18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ht="15.75">
      <c r="A431" s="4"/>
      <c r="B431" s="19"/>
      <c r="C431" s="4"/>
      <c r="D431" s="4"/>
      <c r="E431" s="4"/>
      <c r="F431" s="4"/>
      <c r="G431" s="4"/>
      <c r="H431" s="18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ht="15">
      <c r="A432" s="4"/>
      <c r="B432" s="40" t="s">
        <v>308</v>
      </c>
      <c r="C432" s="4"/>
      <c r="D432" s="4"/>
      <c r="E432" s="37" t="s">
        <v>309</v>
      </c>
      <c r="F432" s="37" t="s">
        <v>310</v>
      </c>
      <c r="G432" s="37" t="s">
        <v>311</v>
      </c>
      <c r="H432" s="18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ht="15">
      <c r="A433" s="1"/>
      <c r="B433" s="40" t="s">
        <v>312</v>
      </c>
      <c r="C433" s="37" t="s">
        <v>270</v>
      </c>
      <c r="D433" s="37" t="s">
        <v>271</v>
      </c>
      <c r="E433" s="37" t="s">
        <v>295</v>
      </c>
      <c r="F433" s="37" t="s">
        <v>295</v>
      </c>
      <c r="G433" s="37" t="s">
        <v>295</v>
      </c>
      <c r="H433" s="18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ht="15">
      <c r="A434" s="1"/>
      <c r="B434" s="217"/>
      <c r="C434" s="218" t="s">
        <v>25</v>
      </c>
      <c r="D434" s="218" t="s">
        <v>26</v>
      </c>
      <c r="E434" s="218" t="s">
        <v>27</v>
      </c>
      <c r="F434" s="219" t="s">
        <v>28</v>
      </c>
      <c r="G434" s="220" t="s">
        <v>29</v>
      </c>
      <c r="H434" s="13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ht="15">
      <c r="A435" s="4"/>
      <c r="B435" s="35"/>
      <c r="C435" s="170"/>
      <c r="D435" s="170"/>
      <c r="E435" s="170"/>
      <c r="F435" s="4"/>
      <c r="G435" s="188"/>
      <c r="H435" s="18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ht="15">
      <c r="A436" s="4"/>
      <c r="B436" s="41">
        <v>1</v>
      </c>
      <c r="C436" s="163" t="s">
        <v>313</v>
      </c>
      <c r="D436" s="190" t="s">
        <v>314</v>
      </c>
      <c r="E436" s="221">
        <f>K63</f>
        <v>5265700</v>
      </c>
      <c r="F436" s="45">
        <v>1.0000000000000005E-07</v>
      </c>
      <c r="G436" s="222"/>
      <c r="H436" s="67"/>
      <c r="I436" s="4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ht="15">
      <c r="A437" s="4"/>
      <c r="B437" s="41">
        <v>2</v>
      </c>
      <c r="C437" s="205" t="s">
        <v>315</v>
      </c>
      <c r="D437" s="190" t="s">
        <v>316</v>
      </c>
      <c r="E437" s="205">
        <v>0</v>
      </c>
      <c r="F437" s="223">
        <v>0</v>
      </c>
      <c r="G437" s="188"/>
      <c r="H437" s="18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ht="15">
      <c r="A438" s="4"/>
      <c r="B438" s="41">
        <v>3</v>
      </c>
      <c r="C438" s="205" t="s">
        <v>317</v>
      </c>
      <c r="D438" s="190" t="s">
        <v>318</v>
      </c>
      <c r="E438" s="224">
        <f>E436+E437</f>
        <v>5265700</v>
      </c>
      <c r="F438" s="225">
        <f>F436+F437</f>
        <v>1.0000000000000005E-07</v>
      </c>
      <c r="G438" s="226"/>
      <c r="H438" s="18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ht="15">
      <c r="A439" s="4"/>
      <c r="B439" s="41"/>
      <c r="C439" s="205"/>
      <c r="D439" s="163"/>
      <c r="E439" s="205"/>
      <c r="F439" s="223"/>
      <c r="G439" s="188"/>
      <c r="H439" s="18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ht="15">
      <c r="A440" s="4"/>
      <c r="B440" s="35"/>
      <c r="C440" s="170"/>
      <c r="D440" s="170"/>
      <c r="E440" s="170"/>
      <c r="F440" s="4"/>
      <c r="G440" s="188"/>
      <c r="H440" s="18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ht="15">
      <c r="A441" s="4"/>
      <c r="B441" s="41">
        <v>4</v>
      </c>
      <c r="C441" s="163" t="s">
        <v>319</v>
      </c>
      <c r="D441" s="190" t="s">
        <v>320</v>
      </c>
      <c r="E441" s="172">
        <f>H414</f>
        <v>0.0346561</v>
      </c>
      <c r="F441" s="47">
        <f>E441</f>
        <v>0.0346561</v>
      </c>
      <c r="G441" s="227"/>
      <c r="H441" s="18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ht="15">
      <c r="A442" s="4"/>
      <c r="B442" s="35"/>
      <c r="C442" s="170"/>
      <c r="D442" s="170"/>
      <c r="E442" s="170"/>
      <c r="F442" s="4"/>
      <c r="G442" s="188"/>
      <c r="H442" s="18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ht="15">
      <c r="A443" s="4"/>
      <c r="B443" s="41">
        <v>5</v>
      </c>
      <c r="C443" s="163" t="s">
        <v>321</v>
      </c>
      <c r="D443" s="190" t="s">
        <v>322</v>
      </c>
      <c r="E443" s="221">
        <f>E438*E441</f>
        <v>182488.62577</v>
      </c>
      <c r="F443" s="45">
        <f>F438*F441</f>
        <v>3.465610000000002E-09</v>
      </c>
      <c r="G443" s="228"/>
      <c r="H443" s="18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ht="15">
      <c r="A444" s="4"/>
      <c r="B444" s="35"/>
      <c r="C444" s="170"/>
      <c r="D444" s="170"/>
      <c r="E444" s="170"/>
      <c r="F444" s="4"/>
      <c r="G444" s="188"/>
      <c r="H444" s="18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ht="15">
      <c r="A445" s="4"/>
      <c r="B445" s="41">
        <v>6</v>
      </c>
      <c r="C445" s="163" t="s">
        <v>323</v>
      </c>
      <c r="D445" s="190" t="s">
        <v>324</v>
      </c>
      <c r="E445" s="229">
        <f>-E84</f>
        <v>344648</v>
      </c>
      <c r="F445" s="49">
        <v>1.0000000000000005E-08</v>
      </c>
      <c r="G445" s="188"/>
      <c r="H445" s="18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ht="15">
      <c r="A446" s="4"/>
      <c r="B446" s="35"/>
      <c r="C446" s="170"/>
      <c r="D446" s="170"/>
      <c r="E446" s="170"/>
      <c r="F446" s="4"/>
      <c r="G446" s="188"/>
      <c r="H446" s="18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ht="15">
      <c r="A447" s="4"/>
      <c r="B447" s="41">
        <v>7</v>
      </c>
      <c r="C447" s="163" t="s">
        <v>325</v>
      </c>
      <c r="D447" s="190" t="s">
        <v>326</v>
      </c>
      <c r="E447" s="230">
        <f>IF(+E443-E445&lt;&gt;1,+E443-E445,0)</f>
        <v>-162159.37423</v>
      </c>
      <c r="F447" s="231">
        <f>IF(+F443-F445&lt;&gt;1,+F443-F445,0)</f>
        <v>-6.534390000000003E-09</v>
      </c>
      <c r="G447" s="228"/>
      <c r="H447" s="18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ht="15">
      <c r="A448" s="4"/>
      <c r="B448" s="41"/>
      <c r="C448" s="163"/>
      <c r="D448" s="163"/>
      <c r="E448" s="163"/>
      <c r="F448" s="1"/>
      <c r="G448" s="226"/>
      <c r="H448" s="6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ht="15">
      <c r="A449" s="4"/>
      <c r="B449" s="41">
        <v>8</v>
      </c>
      <c r="C449" s="163" t="s">
        <v>327</v>
      </c>
      <c r="D449" s="190" t="s">
        <v>328</v>
      </c>
      <c r="E449" s="172">
        <f>E360</f>
        <v>0.34</v>
      </c>
      <c r="F449" s="47">
        <v>0</v>
      </c>
      <c r="G449" s="227"/>
      <c r="H449" s="67"/>
      <c r="I449" s="4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ht="15">
      <c r="A450" s="4"/>
      <c r="B450" s="35"/>
      <c r="C450" s="170"/>
      <c r="D450" s="170"/>
      <c r="E450" s="170"/>
      <c r="F450" s="4"/>
      <c r="G450" s="188"/>
      <c r="H450" s="18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ht="15">
      <c r="A451" s="4"/>
      <c r="B451" s="41">
        <v>9</v>
      </c>
      <c r="C451" s="163" t="s">
        <v>329</v>
      </c>
      <c r="D451" s="190" t="s">
        <v>330</v>
      </c>
      <c r="E451" s="232">
        <f>E447*E449*-1</f>
        <v>55134.1872382</v>
      </c>
      <c r="F451" s="233">
        <f>F447*F449*-1</f>
        <v>0</v>
      </c>
      <c r="G451" s="234">
        <f>E451+F451</f>
        <v>55134.1872382</v>
      </c>
      <c r="H451" s="18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ht="15">
      <c r="A452" s="4"/>
      <c r="B452" s="35"/>
      <c r="C452" s="170"/>
      <c r="D452" s="170"/>
      <c r="E452" s="170"/>
      <c r="F452" s="4"/>
      <c r="G452" s="188"/>
      <c r="H452" s="18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ht="15">
      <c r="A453" s="4"/>
      <c r="B453" s="41">
        <v>10</v>
      </c>
      <c r="C453" s="163" t="s">
        <v>331</v>
      </c>
      <c r="D453" s="185" t="s">
        <v>332</v>
      </c>
      <c r="E453" s="163">
        <v>0</v>
      </c>
      <c r="F453" s="1">
        <v>0</v>
      </c>
      <c r="G453" s="226">
        <f>E453+F453</f>
        <v>0</v>
      </c>
      <c r="H453" s="18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ht="15">
      <c r="A454" s="4"/>
      <c r="B454" s="35"/>
      <c r="C454" s="170"/>
      <c r="D454" s="170"/>
      <c r="E454" s="170"/>
      <c r="F454" s="4"/>
      <c r="G454" s="188"/>
      <c r="H454" s="18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ht="15.75">
      <c r="A455" s="4"/>
      <c r="B455" s="41">
        <v>11</v>
      </c>
      <c r="C455" s="163" t="s">
        <v>333</v>
      </c>
      <c r="D455" s="190" t="s">
        <v>334</v>
      </c>
      <c r="E455" s="210">
        <f>-E451+E453</f>
        <v>-55134.1872382</v>
      </c>
      <c r="F455" s="235">
        <f>-F451+F71</f>
        <v>0</v>
      </c>
      <c r="G455" s="236">
        <f>E455+F455</f>
        <v>-55134.1872382</v>
      </c>
      <c r="H455" s="18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ht="15">
      <c r="A456" s="4"/>
      <c r="B456" s="35"/>
      <c r="C456" s="170"/>
      <c r="D456" s="170"/>
      <c r="E456" s="170"/>
      <c r="F456" s="4"/>
      <c r="G456" s="188"/>
      <c r="H456" s="18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ht="15">
      <c r="A457" s="4"/>
      <c r="B457" s="102"/>
      <c r="C457" s="178"/>
      <c r="D457" s="178"/>
      <c r="E457" s="178"/>
      <c r="F457" s="88"/>
      <c r="G457" s="237"/>
      <c r="H457" s="103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ht="15">
      <c r="A459" s="4"/>
      <c r="B459" s="4"/>
      <c r="C459" s="4"/>
      <c r="D459" s="4"/>
      <c r="E459" s="1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ht="15.75">
      <c r="A461" s="4"/>
      <c r="B461" s="8" t="str">
        <f>B340</f>
        <v>RAINIER VIEW WATER CO., INC.</v>
      </c>
      <c r="C461" s="11"/>
      <c r="D461" s="11"/>
      <c r="E461" s="57" t="str">
        <f>G340</f>
        <v>Company Rebuttal</v>
      </c>
      <c r="F461" s="13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ht="15.75">
      <c r="A462" s="1" t="s">
        <v>335</v>
      </c>
      <c r="B462" s="14" t="s">
        <v>336</v>
      </c>
      <c r="C462" s="4"/>
      <c r="D462" s="4"/>
      <c r="E462" s="3" t="str">
        <f>G341</f>
        <v>Docket No. UW-010877</v>
      </c>
      <c r="F462" s="238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ht="15.75">
      <c r="A463" s="4"/>
      <c r="B463" s="14" t="str">
        <f>B342</f>
        <v>FOR THE 12 MONTHS ENDED DECEMBER 31, 2000</v>
      </c>
      <c r="C463" s="4"/>
      <c r="D463" s="4"/>
      <c r="E463" s="199" t="s">
        <v>252</v>
      </c>
      <c r="F463" s="18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ht="15.75">
      <c r="A464" s="4"/>
      <c r="B464" s="19"/>
      <c r="C464" s="4"/>
      <c r="D464" s="4"/>
      <c r="E464" s="4"/>
      <c r="F464" s="18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ht="15">
      <c r="A465" s="4"/>
      <c r="B465" s="40"/>
      <c r="C465" s="4"/>
      <c r="D465" s="4"/>
      <c r="E465" s="4"/>
      <c r="F465" s="38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:34" ht="15">
      <c r="A466" s="4"/>
      <c r="B466" s="40"/>
      <c r="C466" s="4"/>
      <c r="D466" s="4"/>
      <c r="E466" s="4"/>
      <c r="F466" s="38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ht="15">
      <c r="A467" s="4"/>
      <c r="B467" s="40" t="s">
        <v>337</v>
      </c>
      <c r="C467" s="37" t="s">
        <v>270</v>
      </c>
      <c r="D467" s="5" t="s">
        <v>271</v>
      </c>
      <c r="E467" s="5"/>
      <c r="F467" s="21" t="s">
        <v>295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ht="15">
      <c r="A468" s="4"/>
      <c r="B468" s="217"/>
      <c r="C468" s="239" t="s">
        <v>25</v>
      </c>
      <c r="D468" s="240" t="s">
        <v>26</v>
      </c>
      <c r="E468" s="240"/>
      <c r="F468" s="241" t="s">
        <v>27</v>
      </c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ht="15">
      <c r="A469" s="4"/>
      <c r="B469" s="35"/>
      <c r="C469" s="242"/>
      <c r="D469" s="4"/>
      <c r="E469" s="4"/>
      <c r="F469" s="187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ht="15">
      <c r="A470" s="4"/>
      <c r="B470" s="202">
        <v>1</v>
      </c>
      <c r="C470" s="243" t="s">
        <v>338</v>
      </c>
      <c r="D470" s="5" t="s">
        <v>36</v>
      </c>
      <c r="E470" s="5"/>
      <c r="F470" s="244">
        <f>I63</f>
        <v>5265700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34" ht="15">
      <c r="A471" s="4"/>
      <c r="B471" s="35"/>
      <c r="C471" s="243"/>
      <c r="D471" s="4"/>
      <c r="E471" s="4"/>
      <c r="F471" s="171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:34" ht="15">
      <c r="A472" s="4"/>
      <c r="B472" s="202">
        <v>2</v>
      </c>
      <c r="C472" s="243" t="s">
        <v>339</v>
      </c>
      <c r="D472" s="5" t="s">
        <v>36</v>
      </c>
      <c r="E472" s="1"/>
      <c r="F472" s="245">
        <f>ROUND(+H418,20)</f>
        <v>0.0946561</v>
      </c>
      <c r="G472" s="59">
        <f>F472</f>
        <v>0.0946561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ht="15">
      <c r="A473" s="4"/>
      <c r="B473" s="202"/>
      <c r="C473" s="243"/>
      <c r="D473" s="1"/>
      <c r="E473" s="1"/>
      <c r="F473" s="24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ht="15">
      <c r="A474" s="4"/>
      <c r="B474" s="202">
        <v>3</v>
      </c>
      <c r="C474" s="243" t="s">
        <v>340</v>
      </c>
      <c r="D474" s="5" t="s">
        <v>341</v>
      </c>
      <c r="E474" s="5"/>
      <c r="F474" s="247">
        <f>F470*F472</f>
        <v>498430.62577000004</v>
      </c>
      <c r="G474" s="4"/>
      <c r="H474" s="5" t="s">
        <v>342</v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ht="15">
      <c r="A475" s="4"/>
      <c r="B475" s="202"/>
      <c r="C475" s="243"/>
      <c r="D475" s="5"/>
      <c r="E475" s="5"/>
      <c r="F475" s="244"/>
      <c r="G475" s="4"/>
      <c r="H475" s="1">
        <v>0</v>
      </c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:34" ht="15">
      <c r="A476" s="4"/>
      <c r="B476" s="202">
        <v>4</v>
      </c>
      <c r="C476" s="243" t="s">
        <v>343</v>
      </c>
      <c r="D476" s="5" t="s">
        <v>36</v>
      </c>
      <c r="E476" s="1"/>
      <c r="F476" s="244">
        <f>IF(H475=1,+I53+H476,+I53)</f>
        <v>226584.49513300043</v>
      </c>
      <c r="G476" s="4"/>
      <c r="H476" s="1">
        <f>215633-213619</f>
        <v>2014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ht="15">
      <c r="A477" s="4"/>
      <c r="B477" s="202"/>
      <c r="C477" s="243"/>
      <c r="D477" s="1"/>
      <c r="E477" s="1"/>
      <c r="F477" s="24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ht="15">
      <c r="A478" s="4"/>
      <c r="B478" s="202">
        <v>5</v>
      </c>
      <c r="C478" s="243" t="s">
        <v>344</v>
      </c>
      <c r="D478" s="5" t="s">
        <v>345</v>
      </c>
      <c r="E478" s="1"/>
      <c r="F478" s="248">
        <f>F474-F476</f>
        <v>271846.1306369996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:34" ht="15">
      <c r="A479" s="4"/>
      <c r="B479" s="202"/>
      <c r="C479" s="243"/>
      <c r="D479" s="1"/>
      <c r="E479" s="1"/>
      <c r="F479" s="24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34" ht="15">
      <c r="A480" s="4"/>
      <c r="B480" s="202">
        <v>4</v>
      </c>
      <c r="C480" s="243" t="s">
        <v>346</v>
      </c>
      <c r="D480" s="5" t="s">
        <v>36</v>
      </c>
      <c r="E480" s="1"/>
      <c r="F480" s="249">
        <f>G396</f>
        <v>0.6188886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:34" ht="15">
      <c r="A481" s="4"/>
      <c r="B481" s="202"/>
      <c r="C481" s="243"/>
      <c r="D481" s="1"/>
      <c r="E481" s="1"/>
      <c r="F481" s="24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ht="15.75">
      <c r="A482" s="4"/>
      <c r="B482" s="202">
        <v>5</v>
      </c>
      <c r="C482" s="243" t="s">
        <v>347</v>
      </c>
      <c r="D482" s="5" t="s">
        <v>348</v>
      </c>
      <c r="E482" s="1"/>
      <c r="F482" s="250">
        <f>F478/F480</f>
        <v>439248.89008619584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34" ht="15">
      <c r="A483" s="4"/>
      <c r="B483" s="202"/>
      <c r="C483" s="243"/>
      <c r="D483" s="1"/>
      <c r="E483" s="1"/>
      <c r="F483" s="24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34" ht="15">
      <c r="A484" s="4"/>
      <c r="B484" s="202">
        <v>6</v>
      </c>
      <c r="C484" s="243" t="s">
        <v>349</v>
      </c>
      <c r="D484" s="5" t="s">
        <v>348</v>
      </c>
      <c r="E484" s="1"/>
      <c r="F484" s="245">
        <f>F482/(I15+I16)</f>
        <v>0.16132332474391886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ht="15">
      <c r="A485" s="4"/>
      <c r="B485" s="202"/>
      <c r="C485" s="243"/>
      <c r="D485" s="1"/>
      <c r="E485" s="1"/>
      <c r="F485" s="24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ht="15.75">
      <c r="A486" s="4"/>
      <c r="B486" s="202">
        <v>7</v>
      </c>
      <c r="C486" s="243" t="s">
        <v>350</v>
      </c>
      <c r="D486" s="5" t="s">
        <v>351</v>
      </c>
      <c r="E486" s="1"/>
      <c r="F486" s="250">
        <v>445895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ht="15">
      <c r="A487" s="4"/>
      <c r="B487" s="202"/>
      <c r="C487" s="243"/>
      <c r="D487" s="1"/>
      <c r="E487" s="1"/>
      <c r="F487" s="24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ht="15">
      <c r="A488" s="4"/>
      <c r="B488" s="202">
        <v>8</v>
      </c>
      <c r="C488" s="243" t="s">
        <v>352</v>
      </c>
      <c r="D488" s="5" t="s">
        <v>351</v>
      </c>
      <c r="E488" s="1"/>
      <c r="F488" s="245">
        <v>0.13680000000000003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ht="15">
      <c r="A489" s="4"/>
      <c r="B489" s="82"/>
      <c r="C489" s="251"/>
      <c r="D489" s="88"/>
      <c r="E489" s="88"/>
      <c r="F489" s="252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1" t="s">
        <v>353</v>
      </c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ht="21.75" customHeight="1">
      <c r="A491" s="49"/>
      <c r="B491" s="253"/>
      <c r="C491" s="254" t="str">
        <f>B340</f>
        <v>RAINIER VIEW WATER CO., INC.</v>
      </c>
      <c r="D491" s="255"/>
      <c r="E491" s="255"/>
      <c r="F491" s="256"/>
      <c r="G491" s="254" t="str">
        <f>G340</f>
        <v>Company Rebuttal</v>
      </c>
      <c r="H491" s="257"/>
      <c r="I491" s="76"/>
      <c r="J491" s="49"/>
      <c r="K491" s="49"/>
      <c r="L491" s="258" t="s">
        <v>354</v>
      </c>
      <c r="M491" s="259"/>
      <c r="N491" s="259"/>
      <c r="O491" s="259" t="s">
        <v>355</v>
      </c>
      <c r="P491" s="260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ht="15.75">
      <c r="A492" s="49" t="s">
        <v>356</v>
      </c>
      <c r="B492" s="76"/>
      <c r="C492" s="199" t="s">
        <v>357</v>
      </c>
      <c r="D492" s="49"/>
      <c r="E492" s="49"/>
      <c r="F492" s="49"/>
      <c r="G492" s="199" t="str">
        <f>G341</f>
        <v>Docket No. UW-010877</v>
      </c>
      <c r="H492" s="50"/>
      <c r="I492" s="76"/>
      <c r="J492" s="49"/>
      <c r="K492" s="49"/>
      <c r="L492" s="229"/>
      <c r="M492" s="4"/>
      <c r="N492" s="49"/>
      <c r="O492" s="49"/>
      <c r="P492" s="261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ht="15.75">
      <c r="A493" s="49"/>
      <c r="B493" s="76"/>
      <c r="C493" s="199" t="str">
        <f>B342</f>
        <v>FOR THE 12 MONTHS ENDED DECEMBER 31, 2000</v>
      </c>
      <c r="D493" s="49"/>
      <c r="E493" s="49"/>
      <c r="F493" s="49"/>
      <c r="G493" s="199" t="s">
        <v>252</v>
      </c>
      <c r="H493" s="50"/>
      <c r="I493" s="76"/>
      <c r="J493" s="49"/>
      <c r="K493" s="49"/>
      <c r="L493" s="229" t="s">
        <v>358</v>
      </c>
      <c r="M493" s="4"/>
      <c r="N493" s="60">
        <f>G396</f>
        <v>0.6188886</v>
      </c>
      <c r="O493" s="49"/>
      <c r="P493" s="261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ht="15.75">
      <c r="A494" s="49"/>
      <c r="B494" s="76"/>
      <c r="C494" s="262"/>
      <c r="D494" s="49"/>
      <c r="E494" s="49"/>
      <c r="F494" s="49"/>
      <c r="G494" s="49"/>
      <c r="H494" s="50"/>
      <c r="I494" s="76"/>
      <c r="J494" s="49"/>
      <c r="K494" s="49"/>
      <c r="L494" s="229"/>
      <c r="M494" s="4"/>
      <c r="N494" s="60"/>
      <c r="O494" s="49"/>
      <c r="P494" s="261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ht="15.75">
      <c r="A495" s="49"/>
      <c r="B495" s="76"/>
      <c r="C495" s="262"/>
      <c r="D495" s="49"/>
      <c r="E495" s="49"/>
      <c r="F495" s="263" t="s">
        <v>12</v>
      </c>
      <c r="G495" s="49"/>
      <c r="H495" s="264" t="s">
        <v>359</v>
      </c>
      <c r="I495" s="76"/>
      <c r="J495" s="49"/>
      <c r="K495" s="49"/>
      <c r="L495" s="229"/>
      <c r="M495" s="4"/>
      <c r="N495" s="49"/>
      <c r="O495" s="49"/>
      <c r="P495" s="261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ht="15.75">
      <c r="A496" s="49"/>
      <c r="B496" s="265"/>
      <c r="C496" s="199"/>
      <c r="D496" s="263" t="s">
        <v>360</v>
      </c>
      <c r="E496" s="199"/>
      <c r="F496" s="263" t="s">
        <v>361</v>
      </c>
      <c r="G496" s="263" t="s">
        <v>194</v>
      </c>
      <c r="H496" s="264" t="s">
        <v>194</v>
      </c>
      <c r="I496" s="76"/>
      <c r="J496" s="49"/>
      <c r="K496" s="49"/>
      <c r="L496" s="266" t="s">
        <v>362</v>
      </c>
      <c r="M496" s="4"/>
      <c r="N496" s="47">
        <f>H418</f>
        <v>0.0946561</v>
      </c>
      <c r="O496" s="47">
        <f>K65</f>
        <v>0.09465609999999997</v>
      </c>
      <c r="P496" s="261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34" ht="15.75">
      <c r="A497" s="49"/>
      <c r="B497" s="265" t="s">
        <v>14</v>
      </c>
      <c r="C497" s="199"/>
      <c r="D497" s="263" t="s">
        <v>363</v>
      </c>
      <c r="E497" s="263" t="s">
        <v>194</v>
      </c>
      <c r="F497" s="263" t="s">
        <v>24</v>
      </c>
      <c r="G497" s="263" t="s">
        <v>364</v>
      </c>
      <c r="H497" s="264" t="s">
        <v>364</v>
      </c>
      <c r="I497" s="76"/>
      <c r="J497" s="49"/>
      <c r="K497" s="49"/>
      <c r="L497" s="229"/>
      <c r="M497" s="4"/>
      <c r="N497" s="49"/>
      <c r="O497" s="49"/>
      <c r="P497" s="261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ht="15.75">
      <c r="A498" s="49"/>
      <c r="B498" s="265" t="s">
        <v>18</v>
      </c>
      <c r="C498" s="263" t="s">
        <v>19</v>
      </c>
      <c r="D498" s="263" t="s">
        <v>365</v>
      </c>
      <c r="E498" s="263" t="s">
        <v>366</v>
      </c>
      <c r="F498" s="131" t="str">
        <f>"      At  "&amp;FIXED(+N496*100,2)&amp;"%"</f>
        <v>      At  9.47%</v>
      </c>
      <c r="G498" s="263" t="s">
        <v>367</v>
      </c>
      <c r="H498" s="264" t="s">
        <v>367</v>
      </c>
      <c r="I498" s="76"/>
      <c r="J498" s="49"/>
      <c r="K498" s="49"/>
      <c r="L498" s="229"/>
      <c r="M498" s="4"/>
      <c r="N498" s="49"/>
      <c r="O498" s="49"/>
      <c r="P498" s="261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ht="15.75">
      <c r="A499" s="49"/>
      <c r="B499" s="267"/>
      <c r="C499" s="268" t="s">
        <v>25</v>
      </c>
      <c r="D499" s="269" t="s">
        <v>26</v>
      </c>
      <c r="E499" s="270" t="s">
        <v>27</v>
      </c>
      <c r="F499" s="271" t="s">
        <v>28</v>
      </c>
      <c r="G499" s="270" t="s">
        <v>29</v>
      </c>
      <c r="H499" s="272" t="s">
        <v>30</v>
      </c>
      <c r="I499" s="76"/>
      <c r="J499" s="49"/>
      <c r="K499" s="49"/>
      <c r="L499" s="229"/>
      <c r="M499" s="4"/>
      <c r="N499" s="49"/>
      <c r="O499" s="49"/>
      <c r="P499" s="261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ht="15">
      <c r="A500" s="49"/>
      <c r="B500" s="273"/>
      <c r="C500" s="49"/>
      <c r="D500" s="76"/>
      <c r="E500" s="222"/>
      <c r="F500" s="229"/>
      <c r="G500" s="229"/>
      <c r="H500" s="274"/>
      <c r="I500" s="76"/>
      <c r="J500" s="49"/>
      <c r="K500" s="49"/>
      <c r="L500" s="258"/>
      <c r="M500" s="259"/>
      <c r="N500" s="275" t="s">
        <v>368</v>
      </c>
      <c r="O500" s="275"/>
      <c r="P500" s="260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ht="15.75">
      <c r="A501" s="276" t="s">
        <v>369</v>
      </c>
      <c r="B501" s="273">
        <v>1</v>
      </c>
      <c r="C501" s="199" t="s">
        <v>370</v>
      </c>
      <c r="D501" s="277">
        <f>E53</f>
        <v>597970.96</v>
      </c>
      <c r="E501" s="278">
        <f>E63</f>
        <v>5069911</v>
      </c>
      <c r="F501" s="279"/>
      <c r="G501" s="280">
        <f>D501/+E501</f>
        <v>0.11794506057404162</v>
      </c>
      <c r="H501" s="281"/>
      <c r="I501" s="76"/>
      <c r="J501" s="49"/>
      <c r="K501" s="49"/>
      <c r="L501" s="229"/>
      <c r="M501" s="4"/>
      <c r="N501" s="128" t="s">
        <v>371</v>
      </c>
      <c r="O501" s="128" t="s">
        <v>372</v>
      </c>
      <c r="P501" s="261"/>
      <c r="Q501" s="4"/>
      <c r="R501" s="4"/>
      <c r="S501" s="15" t="s">
        <v>373</v>
      </c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34" ht="15">
      <c r="A502" s="49" t="s">
        <v>374</v>
      </c>
      <c r="B502" s="273"/>
      <c r="C502" s="49"/>
      <c r="D502" s="282"/>
      <c r="E502" s="283"/>
      <c r="F502" s="258"/>
      <c r="G502" s="258"/>
      <c r="H502" s="284"/>
      <c r="I502" s="76"/>
      <c r="J502" s="49"/>
      <c r="K502" s="49"/>
      <c r="L502" s="266" t="s">
        <v>375</v>
      </c>
      <c r="M502" s="4"/>
      <c r="N502" s="128" t="s">
        <v>376</v>
      </c>
      <c r="O502" s="128" t="s">
        <v>377</v>
      </c>
      <c r="P502" s="261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ht="15.75">
      <c r="A503" s="49"/>
      <c r="B503" s="273"/>
      <c r="C503" s="285" t="s">
        <v>378</v>
      </c>
      <c r="D503" s="76"/>
      <c r="E503" s="222"/>
      <c r="F503" s="229"/>
      <c r="G503" s="229"/>
      <c r="H503" s="274"/>
      <c r="I503" s="76"/>
      <c r="J503" s="49"/>
      <c r="K503" s="49"/>
      <c r="L503" s="258"/>
      <c r="M503" s="286"/>
      <c r="N503" s="287"/>
      <c r="O503" s="259"/>
      <c r="P503" s="260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ht="15">
      <c r="A504" s="288" t="s">
        <v>379</v>
      </c>
      <c r="B504" s="273">
        <f>B501+1</f>
        <v>2</v>
      </c>
      <c r="C504" s="49" t="str">
        <f aca="true" t="shared" si="69" ref="C504:C512">" "&amp;TRIM(+A504)&amp;+" "&amp;TRIM(S504)</f>
        <v> C-RA-01 Restate Surcharge Revenues</v>
      </c>
      <c r="D504" s="76">
        <f>F164</f>
        <v>-119219.6225286</v>
      </c>
      <c r="E504" s="222">
        <f>F174</f>
        <v>0</v>
      </c>
      <c r="F504" s="229"/>
      <c r="G504" s="229"/>
      <c r="H504" s="245" t="e">
        <f aca="true" t="shared" si="70" ref="H504:H512">O504</f>
        <v>#VALUE!</v>
      </c>
      <c r="I504" s="76"/>
      <c r="J504" s="49"/>
      <c r="K504" s="49"/>
      <c r="L504" s="172">
        <f aca="true" t="shared" si="71" ref="L504:L512">(+D504+$D$501)/(E504+$E$501)-$G$501</f>
        <v>-0.023515131237727832</v>
      </c>
      <c r="M504" s="4"/>
      <c r="N504" s="47" t="e">
        <f aca="true" t="shared" si="72" ref="N504:N512">L504/$L$533</f>
        <v>#VALUE!</v>
      </c>
      <c r="O504" s="47" t="e">
        <f aca="true" t="shared" si="73" ref="O504:O512">$O$533*N504</f>
        <v>#VALUE!</v>
      </c>
      <c r="P504" s="261"/>
      <c r="Q504" s="4"/>
      <c r="R504" s="4"/>
      <c r="S504" s="49" t="s">
        <v>380</v>
      </c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:34" ht="15">
      <c r="A505" s="288" t="s">
        <v>381</v>
      </c>
      <c r="B505" s="273">
        <f aca="true" t="shared" si="74" ref="B505:B512">B504+1</f>
        <v>3</v>
      </c>
      <c r="C505" s="49" t="str">
        <f t="shared" si="69"/>
        <v> C-RA-02 Bad Debt For 2000</v>
      </c>
      <c r="D505" s="76">
        <f>G164</f>
        <v>-33674.038417799995</v>
      </c>
      <c r="E505" s="222">
        <f>G174</f>
        <v>0</v>
      </c>
      <c r="F505" s="229"/>
      <c r="G505" s="229"/>
      <c r="H505" s="245" t="e">
        <f t="shared" si="70"/>
        <v>#VALUE!</v>
      </c>
      <c r="I505" s="76"/>
      <c r="J505" s="49"/>
      <c r="K505" s="49"/>
      <c r="L505" s="172">
        <f t="shared" si="71"/>
        <v>-0.0066419387673274655</v>
      </c>
      <c r="M505" s="4"/>
      <c r="N505" s="47" t="e">
        <f t="shared" si="72"/>
        <v>#VALUE!</v>
      </c>
      <c r="O505" s="47" t="e">
        <f t="shared" si="73"/>
        <v>#VALUE!</v>
      </c>
      <c r="P505" s="261"/>
      <c r="Q505" s="4"/>
      <c r="R505" s="4"/>
      <c r="S505" s="49" t="s">
        <v>382</v>
      </c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34" ht="15">
      <c r="A506" s="288" t="s">
        <v>383</v>
      </c>
      <c r="B506" s="273">
        <f t="shared" si="74"/>
        <v>4</v>
      </c>
      <c r="C506" s="49" t="str">
        <f t="shared" si="69"/>
        <v> C-RA-03 Adj. to Average Rate Base</v>
      </c>
      <c r="D506" s="76">
        <f>H164</f>
        <v>49982.46</v>
      </c>
      <c r="E506" s="222">
        <f>H174</f>
        <v>-102603</v>
      </c>
      <c r="F506" s="229"/>
      <c r="G506" s="229"/>
      <c r="H506" s="245" t="e">
        <f t="shared" si="70"/>
        <v>#VALUE!</v>
      </c>
      <c r="I506" s="76"/>
      <c r="J506" s="49"/>
      <c r="K506" s="49"/>
      <c r="L506" s="172">
        <f t="shared" si="71"/>
        <v>0.012498515705101923</v>
      </c>
      <c r="M506" s="4"/>
      <c r="N506" s="47" t="e">
        <f t="shared" si="72"/>
        <v>#VALUE!</v>
      </c>
      <c r="O506" s="47" t="e">
        <f t="shared" si="73"/>
        <v>#VALUE!</v>
      </c>
      <c r="P506" s="261"/>
      <c r="Q506" s="4"/>
      <c r="R506" s="4"/>
      <c r="S506" s="49" t="s">
        <v>384</v>
      </c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:34" ht="15">
      <c r="A507" s="288" t="s">
        <v>385</v>
      </c>
      <c r="B507" s="273">
        <f t="shared" si="74"/>
        <v>5</v>
      </c>
      <c r="C507" s="49" t="str">
        <f t="shared" si="69"/>
        <v> RA-## "</v>
      </c>
      <c r="D507" s="76">
        <f>I164</f>
        <v>0</v>
      </c>
      <c r="E507" s="222">
        <f>I174</f>
        <v>0</v>
      </c>
      <c r="F507" s="229"/>
      <c r="G507" s="229"/>
      <c r="H507" s="245" t="e">
        <f t="shared" si="70"/>
        <v>#VALUE!</v>
      </c>
      <c r="I507" s="76"/>
      <c r="J507" s="49"/>
      <c r="K507" s="49"/>
      <c r="L507" s="172">
        <f t="shared" si="71"/>
        <v>0</v>
      </c>
      <c r="M507" s="4"/>
      <c r="N507" s="47" t="e">
        <f t="shared" si="72"/>
        <v>#VALUE!</v>
      </c>
      <c r="O507" s="47" t="e">
        <f t="shared" si="73"/>
        <v>#VALUE!</v>
      </c>
      <c r="P507" s="261"/>
      <c r="Q507" s="4"/>
      <c r="R507" s="4"/>
      <c r="S507" s="289" t="s">
        <v>386</v>
      </c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ht="15">
      <c r="A508" s="288" t="s">
        <v>385</v>
      </c>
      <c r="B508" s="273">
        <f t="shared" si="74"/>
        <v>6</v>
      </c>
      <c r="C508" s="49" t="str">
        <f t="shared" si="69"/>
        <v> RA-## "</v>
      </c>
      <c r="D508" s="76">
        <f>J164</f>
        <v>0</v>
      </c>
      <c r="E508" s="222">
        <f>J174</f>
        <v>0</v>
      </c>
      <c r="F508" s="229"/>
      <c r="G508" s="229"/>
      <c r="H508" s="245" t="e">
        <f t="shared" si="70"/>
        <v>#VALUE!</v>
      </c>
      <c r="I508" s="76"/>
      <c r="J508" s="49"/>
      <c r="K508" s="49"/>
      <c r="L508" s="172">
        <f t="shared" si="71"/>
        <v>0</v>
      </c>
      <c r="M508" s="4"/>
      <c r="N508" s="47" t="e">
        <f t="shared" si="72"/>
        <v>#VALUE!</v>
      </c>
      <c r="O508" s="47" t="e">
        <f t="shared" si="73"/>
        <v>#VALUE!</v>
      </c>
      <c r="P508" s="261"/>
      <c r="Q508" s="4"/>
      <c r="R508" s="4"/>
      <c r="S508" s="289" t="s">
        <v>386</v>
      </c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:34" ht="15">
      <c r="A509" s="288" t="s">
        <v>385</v>
      </c>
      <c r="B509" s="273">
        <f t="shared" si="74"/>
        <v>7</v>
      </c>
      <c r="C509" s="49" t="str">
        <f t="shared" si="69"/>
        <v> RA-## "</v>
      </c>
      <c r="D509" s="76">
        <f>K164</f>
        <v>0</v>
      </c>
      <c r="E509" s="222">
        <f>K174</f>
        <v>0</v>
      </c>
      <c r="F509" s="229"/>
      <c r="G509" s="229"/>
      <c r="H509" s="245" t="e">
        <f t="shared" si="70"/>
        <v>#VALUE!</v>
      </c>
      <c r="I509" s="76"/>
      <c r="J509" s="49"/>
      <c r="K509" s="49"/>
      <c r="L509" s="172">
        <f t="shared" si="71"/>
        <v>0</v>
      </c>
      <c r="M509" s="4"/>
      <c r="N509" s="47" t="e">
        <f t="shared" si="72"/>
        <v>#VALUE!</v>
      </c>
      <c r="O509" s="47" t="e">
        <f t="shared" si="73"/>
        <v>#VALUE!</v>
      </c>
      <c r="P509" s="261"/>
      <c r="Q509" s="4"/>
      <c r="R509" s="4"/>
      <c r="S509" s="289" t="s">
        <v>386</v>
      </c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ht="15">
      <c r="A510" s="288" t="s">
        <v>385</v>
      </c>
      <c r="B510" s="273">
        <f t="shared" si="74"/>
        <v>8</v>
      </c>
      <c r="C510" s="49" t="str">
        <f t="shared" si="69"/>
        <v> RA-## "</v>
      </c>
      <c r="D510" s="76">
        <f>L164</f>
        <v>0</v>
      </c>
      <c r="E510" s="222">
        <f>L174</f>
        <v>0</v>
      </c>
      <c r="F510" s="229"/>
      <c r="G510" s="229"/>
      <c r="H510" s="245" t="e">
        <f t="shared" si="70"/>
        <v>#VALUE!</v>
      </c>
      <c r="I510" s="76"/>
      <c r="J510" s="49"/>
      <c r="K510" s="49"/>
      <c r="L510" s="172">
        <f t="shared" si="71"/>
        <v>0</v>
      </c>
      <c r="M510" s="4"/>
      <c r="N510" s="47" t="e">
        <f t="shared" si="72"/>
        <v>#VALUE!</v>
      </c>
      <c r="O510" s="47" t="e">
        <f t="shared" si="73"/>
        <v>#VALUE!</v>
      </c>
      <c r="P510" s="261"/>
      <c r="Q510" s="4"/>
      <c r="R510" s="4"/>
      <c r="S510" s="289" t="s">
        <v>386</v>
      </c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:34" ht="15">
      <c r="A511" s="288" t="s">
        <v>385</v>
      </c>
      <c r="B511" s="273">
        <f t="shared" si="74"/>
        <v>9</v>
      </c>
      <c r="C511" s="49" t="str">
        <f t="shared" si="69"/>
        <v> RA-## "</v>
      </c>
      <c r="D511" s="76">
        <f>M164</f>
        <v>0</v>
      </c>
      <c r="E511" s="222">
        <f>M174</f>
        <v>0</v>
      </c>
      <c r="F511" s="229"/>
      <c r="G511" s="229"/>
      <c r="H511" s="245" t="e">
        <f t="shared" si="70"/>
        <v>#VALUE!</v>
      </c>
      <c r="I511" s="76"/>
      <c r="J511" s="49"/>
      <c r="K511" s="49"/>
      <c r="L511" s="172">
        <f t="shared" si="71"/>
        <v>0</v>
      </c>
      <c r="M511" s="4"/>
      <c r="N511" s="47" t="e">
        <f t="shared" si="72"/>
        <v>#VALUE!</v>
      </c>
      <c r="O511" s="47" t="e">
        <f t="shared" si="73"/>
        <v>#VALUE!</v>
      </c>
      <c r="P511" s="261"/>
      <c r="Q511" s="4"/>
      <c r="R511" s="4"/>
      <c r="S511" s="289" t="s">
        <v>386</v>
      </c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ht="15">
      <c r="A512" s="288" t="s">
        <v>385</v>
      </c>
      <c r="B512" s="273">
        <f t="shared" si="74"/>
        <v>10</v>
      </c>
      <c r="C512" s="49" t="str">
        <f t="shared" si="69"/>
        <v> RA-## "</v>
      </c>
      <c r="D512" s="76">
        <f>X164</f>
        <v>0</v>
      </c>
      <c r="E512" s="222">
        <f>X174</f>
        <v>0</v>
      </c>
      <c r="F512" s="229"/>
      <c r="G512" s="229"/>
      <c r="H512" s="245" t="e">
        <f t="shared" si="70"/>
        <v>#VALUE!</v>
      </c>
      <c r="I512" s="76"/>
      <c r="J512" s="49"/>
      <c r="K512" s="49"/>
      <c r="L512" s="172">
        <f t="shared" si="71"/>
        <v>0</v>
      </c>
      <c r="M512" s="4"/>
      <c r="N512" s="47" t="e">
        <f t="shared" si="72"/>
        <v>#VALUE!</v>
      </c>
      <c r="O512" s="47" t="e">
        <f t="shared" si="73"/>
        <v>#VALUE!</v>
      </c>
      <c r="P512" s="261"/>
      <c r="Q512" s="4"/>
      <c r="R512" s="4"/>
      <c r="S512" s="289" t="s">
        <v>386</v>
      </c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ht="15">
      <c r="A513" s="49"/>
      <c r="B513" s="273"/>
      <c r="C513" s="49"/>
      <c r="D513" s="76"/>
      <c r="E513" s="222"/>
      <c r="F513" s="229"/>
      <c r="G513" s="229"/>
      <c r="H513" s="274"/>
      <c r="I513" s="76"/>
      <c r="J513" s="49"/>
      <c r="K513" s="49"/>
      <c r="L513" s="172"/>
      <c r="M513" s="4"/>
      <c r="N513" s="47"/>
      <c r="O513" s="47"/>
      <c r="P513" s="261"/>
      <c r="Q513" s="4"/>
      <c r="R513" s="4"/>
      <c r="S513" s="49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ht="15.75">
      <c r="A514" s="49"/>
      <c r="B514" s="273">
        <f>B512+1</f>
        <v>11</v>
      </c>
      <c r="C514" s="199" t="s">
        <v>387</v>
      </c>
      <c r="D514" s="277">
        <f>SUM(D504:D513)</f>
        <v>-102911.2009464</v>
      </c>
      <c r="E514" s="278">
        <f>SUM(E504:E513)</f>
        <v>-102603</v>
      </c>
      <c r="F514" s="279"/>
      <c r="G514" s="280"/>
      <c r="H514" s="281" t="e">
        <f>SUM(H504:H512)</f>
        <v>#VALUE!</v>
      </c>
      <c r="I514" s="76"/>
      <c r="J514" s="289" t="s">
        <v>388</v>
      </c>
      <c r="K514" s="290" t="e">
        <f>SUM(H504:H512)</f>
        <v>#VALUE!</v>
      </c>
      <c r="L514" s="172"/>
      <c r="M514" s="4"/>
      <c r="N514" s="47"/>
      <c r="O514" s="47"/>
      <c r="P514" s="261"/>
      <c r="Q514" s="4"/>
      <c r="R514" s="4"/>
      <c r="S514" s="49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34" ht="15.75">
      <c r="A515" s="49"/>
      <c r="B515" s="273"/>
      <c r="C515" s="199"/>
      <c r="D515" s="277"/>
      <c r="E515" s="278"/>
      <c r="F515" s="279"/>
      <c r="G515" s="291"/>
      <c r="H515" s="284"/>
      <c r="I515" s="76"/>
      <c r="J515" s="49"/>
      <c r="K515" s="259"/>
      <c r="L515" s="172"/>
      <c r="M515" s="4"/>
      <c r="N515" s="47"/>
      <c r="O515" s="47"/>
      <c r="P515" s="261"/>
      <c r="Q515" s="4"/>
      <c r="R515" s="4"/>
      <c r="S515" s="199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ht="15.75">
      <c r="A516" s="49"/>
      <c r="B516" s="273">
        <f>B514+1</f>
        <v>12</v>
      </c>
      <c r="C516" s="199" t="s">
        <v>389</v>
      </c>
      <c r="D516" s="277">
        <f>D501+D514</f>
        <v>495059.75905359996</v>
      </c>
      <c r="E516" s="278">
        <f>E501+E514</f>
        <v>4967308</v>
      </c>
      <c r="F516" s="279"/>
      <c r="G516" s="291">
        <f>D516/+E516</f>
        <v>0.09966359224223663</v>
      </c>
      <c r="H516" s="281"/>
      <c r="I516" s="76"/>
      <c r="J516" s="49"/>
      <c r="K516" s="49"/>
      <c r="L516" s="172"/>
      <c r="M516" s="4"/>
      <c r="N516" s="47"/>
      <c r="O516" s="47"/>
      <c r="P516" s="261"/>
      <c r="Q516" s="4"/>
      <c r="R516" s="4"/>
      <c r="S516" s="199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ht="15.75">
      <c r="A517" s="49"/>
      <c r="B517" s="273"/>
      <c r="C517" s="199"/>
      <c r="D517" s="292"/>
      <c r="E517" s="293"/>
      <c r="F517" s="279"/>
      <c r="G517" s="291"/>
      <c r="H517" s="284"/>
      <c r="I517" s="76"/>
      <c r="J517" s="49"/>
      <c r="K517" s="49"/>
      <c r="L517" s="172"/>
      <c r="M517" s="4"/>
      <c r="N517" s="47"/>
      <c r="O517" s="47"/>
      <c r="P517" s="261"/>
      <c r="Q517" s="4"/>
      <c r="R517" s="4"/>
      <c r="S517" s="199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34" ht="15.75">
      <c r="A518" s="49"/>
      <c r="B518" s="273"/>
      <c r="C518" s="285" t="s">
        <v>390</v>
      </c>
      <c r="D518" s="292"/>
      <c r="E518" s="293"/>
      <c r="F518" s="279"/>
      <c r="G518" s="291"/>
      <c r="H518" s="284"/>
      <c r="I518" s="76"/>
      <c r="J518" s="49"/>
      <c r="K518" s="49"/>
      <c r="L518" s="172"/>
      <c r="M518" s="4"/>
      <c r="N518" s="47"/>
      <c r="O518" s="47"/>
      <c r="P518" s="261"/>
      <c r="Q518" s="4"/>
      <c r="R518" s="4"/>
      <c r="S518" s="199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1:34" ht="15">
      <c r="A519" s="288" t="s">
        <v>391</v>
      </c>
      <c r="B519" s="273">
        <f>B516+1</f>
        <v>13</v>
      </c>
      <c r="C519" s="49" t="str">
        <f aca="true" t="shared" si="75" ref="C519:C531">" "&amp;TRIM(+A519)&amp;+" "&amp;TRIM(S519)</f>
        <v> C-PA-1A Salaries - Employees</v>
      </c>
      <c r="D519" s="76">
        <f>F277</f>
        <v>-99459.7325568</v>
      </c>
      <c r="E519" s="222">
        <f>F287</f>
        <v>0</v>
      </c>
      <c r="F519" s="229"/>
      <c r="G519" s="229"/>
      <c r="H519" s="245" t="e">
        <f aca="true" t="shared" si="76" ref="H519:H531">O519</f>
        <v>#VALUE!</v>
      </c>
      <c r="I519" s="76"/>
      <c r="J519" s="49"/>
      <c r="K519" s="49"/>
      <c r="L519" s="172">
        <f aca="true" t="shared" si="77" ref="L519:L531">(+D519+$D$501)/(E519+$E$501)-$G$501</f>
        <v>-0.0196176486247589</v>
      </c>
      <c r="M519" s="4"/>
      <c r="N519" s="47" t="e">
        <f aca="true" t="shared" si="78" ref="N519:N531">L519/$L$533</f>
        <v>#VALUE!</v>
      </c>
      <c r="O519" s="47" t="e">
        <f aca="true" t="shared" si="79" ref="O519:O531">$O$533*N519</f>
        <v>#VALUE!</v>
      </c>
      <c r="P519" s="261"/>
      <c r="Q519" s="4"/>
      <c r="R519" s="4"/>
      <c r="S519" s="49" t="s">
        <v>392</v>
      </c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:34" ht="15">
      <c r="A520" s="288" t="s">
        <v>393</v>
      </c>
      <c r="B520" s="273">
        <f aca="true" t="shared" si="80" ref="B520:B531">B519+1</f>
        <v>14</v>
      </c>
      <c r="C520" s="49" t="str">
        <f t="shared" si="75"/>
        <v> C-PA-02 Reduce Indian Springs Rates</v>
      </c>
      <c r="D520" s="76">
        <f>G277</f>
        <v>-28477.7951238</v>
      </c>
      <c r="E520" s="222">
        <f>G287</f>
        <v>0</v>
      </c>
      <c r="F520" s="229"/>
      <c r="G520" s="229"/>
      <c r="H520" s="245" t="e">
        <f t="shared" si="76"/>
        <v>#VALUE!</v>
      </c>
      <c r="I520" s="76"/>
      <c r="J520" s="49"/>
      <c r="K520" s="49"/>
      <c r="L520" s="172">
        <f t="shared" si="77"/>
        <v>-0.005617020717681248</v>
      </c>
      <c r="M520" s="4"/>
      <c r="N520" s="47" t="e">
        <f t="shared" si="78"/>
        <v>#VALUE!</v>
      </c>
      <c r="O520" s="47" t="e">
        <f t="shared" si="79"/>
        <v>#VALUE!</v>
      </c>
      <c r="P520" s="261"/>
      <c r="Q520" s="4"/>
      <c r="R520" s="4"/>
      <c r="S520" s="49" t="s">
        <v>394</v>
      </c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ht="15">
      <c r="A521" s="288" t="s">
        <v>395</v>
      </c>
      <c r="B521" s="273">
        <f t="shared" si="80"/>
        <v>15</v>
      </c>
      <c r="C521" s="49" t="str">
        <f t="shared" si="75"/>
        <v> C-PA-03 Medical/Dental Increase Adj.</v>
      </c>
      <c r="D521" s="76">
        <f>H277</f>
        <v>-32866.68</v>
      </c>
      <c r="E521" s="222">
        <f>H287</f>
        <v>0</v>
      </c>
      <c r="F521" s="229"/>
      <c r="G521" s="229"/>
      <c r="H521" s="245" t="e">
        <f t="shared" si="76"/>
        <v>#VALUE!</v>
      </c>
      <c r="I521" s="76"/>
      <c r="J521" s="49"/>
      <c r="K521" s="49"/>
      <c r="L521" s="172">
        <f t="shared" si="77"/>
        <v>-0.0064826936804216195</v>
      </c>
      <c r="M521" s="4"/>
      <c r="N521" s="47" t="e">
        <f t="shared" si="78"/>
        <v>#VALUE!</v>
      </c>
      <c r="O521" s="47" t="e">
        <f t="shared" si="79"/>
        <v>#VALUE!</v>
      </c>
      <c r="P521" s="261"/>
      <c r="Q521" s="4"/>
      <c r="R521" s="4"/>
      <c r="S521" s="49" t="s">
        <v>396</v>
      </c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ht="15">
      <c r="A522" s="288" t="s">
        <v>397</v>
      </c>
      <c r="B522" s="273">
        <f t="shared" si="80"/>
        <v>16</v>
      </c>
      <c r="C522" s="49" t="str">
        <f t="shared" si="75"/>
        <v> C-PA-04 Rate Case Expense</v>
      </c>
      <c r="D522" s="76">
        <f>I277</f>
        <v>-14894.22</v>
      </c>
      <c r="E522" s="222">
        <f>I287</f>
        <v>0</v>
      </c>
      <c r="F522" s="229"/>
      <c r="G522" s="229"/>
      <c r="H522" s="245" t="e">
        <f t="shared" si="76"/>
        <v>#VALUE!</v>
      </c>
      <c r="I522" s="76"/>
      <c r="J522" s="49"/>
      <c r="K522" s="49"/>
      <c r="L522" s="172">
        <f t="shared" si="77"/>
        <v>-0.002937767546609779</v>
      </c>
      <c r="M522" s="4"/>
      <c r="N522" s="47" t="e">
        <f t="shared" si="78"/>
        <v>#VALUE!</v>
      </c>
      <c r="O522" s="47" t="e">
        <f t="shared" si="79"/>
        <v>#VALUE!</v>
      </c>
      <c r="P522" s="261"/>
      <c r="Q522" s="4"/>
      <c r="R522" s="4"/>
      <c r="S522" s="49" t="s">
        <v>398</v>
      </c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:34" ht="15">
      <c r="A523" s="288" t="s">
        <v>399</v>
      </c>
      <c r="B523" s="273">
        <f t="shared" si="80"/>
        <v>17</v>
      </c>
      <c r="C523" s="49" t="str">
        <f t="shared" si="75"/>
        <v> C-PA-05 Insurance Increase Adj.</v>
      </c>
      <c r="D523" s="76">
        <f>J277</f>
        <v>-31784.28</v>
      </c>
      <c r="E523" s="222">
        <f>J287</f>
        <v>0</v>
      </c>
      <c r="F523" s="229"/>
      <c r="G523" s="229"/>
      <c r="H523" s="245" t="e">
        <f t="shared" si="76"/>
        <v>#VALUE!</v>
      </c>
      <c r="I523" s="76"/>
      <c r="J523" s="49"/>
      <c r="K523" s="49"/>
      <c r="L523" s="172">
        <f t="shared" si="77"/>
        <v>-0.006269198808420903</v>
      </c>
      <c r="M523" s="4"/>
      <c r="N523" s="47" t="e">
        <f t="shared" si="78"/>
        <v>#VALUE!</v>
      </c>
      <c r="O523" s="47" t="e">
        <f t="shared" si="79"/>
        <v>#VALUE!</v>
      </c>
      <c r="P523" s="261"/>
      <c r="Q523" s="4"/>
      <c r="R523" s="4"/>
      <c r="S523" s="49" t="s">
        <v>400</v>
      </c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ht="15">
      <c r="A524" s="288" t="s">
        <v>401</v>
      </c>
      <c r="B524" s="273">
        <f t="shared" si="80"/>
        <v>18</v>
      </c>
      <c r="C524" s="49" t="str">
        <f t="shared" si="75"/>
        <v> C-PA-06 Generator O&amp;M</v>
      </c>
      <c r="D524" s="76">
        <f>K277</f>
        <v>-15785.88</v>
      </c>
      <c r="E524" s="222">
        <f>K287</f>
        <v>0</v>
      </c>
      <c r="F524" s="229"/>
      <c r="G524" s="229"/>
      <c r="H524" s="245" t="e">
        <f t="shared" si="76"/>
        <v>#VALUE!</v>
      </c>
      <c r="I524" s="76"/>
      <c r="J524" s="49"/>
      <c r="K524" s="49"/>
      <c r="L524" s="172">
        <f t="shared" si="77"/>
        <v>-0.0031136404564103826</v>
      </c>
      <c r="M524" s="4"/>
      <c r="N524" s="47" t="e">
        <f t="shared" si="78"/>
        <v>#VALUE!</v>
      </c>
      <c r="O524" s="47" t="e">
        <f t="shared" si="79"/>
        <v>#VALUE!</v>
      </c>
      <c r="P524" s="261"/>
      <c r="Q524" s="4"/>
      <c r="R524" s="4"/>
      <c r="S524" s="49" t="s">
        <v>402</v>
      </c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ht="15">
      <c r="A525" s="288" t="s">
        <v>403</v>
      </c>
      <c r="B525" s="273">
        <f t="shared" si="80"/>
        <v>19</v>
      </c>
      <c r="C525" s="49" t="str">
        <f t="shared" si="75"/>
        <v> C-PA-07 Power Increase</v>
      </c>
      <c r="D525" s="76">
        <f>L277</f>
        <v>-30587.699999999997</v>
      </c>
      <c r="E525" s="222">
        <f>L287</f>
        <v>0</v>
      </c>
      <c r="F525" s="229"/>
      <c r="G525" s="229"/>
      <c r="H525" s="245" t="e">
        <f t="shared" si="76"/>
        <v>#VALUE!</v>
      </c>
      <c r="I525" s="76"/>
      <c r="J525" s="49"/>
      <c r="K525" s="49"/>
      <c r="L525" s="172">
        <f t="shared" si="77"/>
        <v>-0.006033182831020098</v>
      </c>
      <c r="M525" s="4"/>
      <c r="N525" s="47" t="e">
        <f t="shared" si="78"/>
        <v>#VALUE!</v>
      </c>
      <c r="O525" s="47" t="e">
        <f t="shared" si="79"/>
        <v>#VALUE!</v>
      </c>
      <c r="P525" s="261"/>
      <c r="Q525" s="4"/>
      <c r="R525" s="4"/>
      <c r="S525" s="49" t="s">
        <v>404</v>
      </c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34" ht="15">
      <c r="A526" s="288" t="s">
        <v>405</v>
      </c>
      <c r="B526" s="273">
        <f t="shared" si="80"/>
        <v>20</v>
      </c>
      <c r="C526" s="49" t="str">
        <f t="shared" si="75"/>
        <v> C-PA-08 Purchase New Billing Software</v>
      </c>
      <c r="D526" s="76">
        <f>M277</f>
        <v>0</v>
      </c>
      <c r="E526" s="222" t="e">
        <f>M287</f>
        <v>#VALUE!</v>
      </c>
      <c r="F526" s="229"/>
      <c r="G526" s="229"/>
      <c r="H526" s="245" t="e">
        <f t="shared" si="76"/>
        <v>#VALUE!</v>
      </c>
      <c r="I526" s="76"/>
      <c r="J526" s="49"/>
      <c r="K526" s="49"/>
      <c r="L526" s="172" t="e">
        <f t="shared" si="77"/>
        <v>#VALUE!</v>
      </c>
      <c r="M526" s="4"/>
      <c r="N526" s="47" t="e">
        <f t="shared" si="78"/>
        <v>#VALUE!</v>
      </c>
      <c r="O526" s="47" t="e">
        <f t="shared" si="79"/>
        <v>#VALUE!</v>
      </c>
      <c r="P526" s="261"/>
      <c r="Q526" s="4"/>
      <c r="R526" s="4"/>
      <c r="S526" s="49" t="s">
        <v>406</v>
      </c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ht="15">
      <c r="A527" s="288" t="s">
        <v>181</v>
      </c>
      <c r="B527" s="273">
        <f t="shared" si="80"/>
        <v>21</v>
      </c>
      <c r="C527" s="49" t="str">
        <f t="shared" si="75"/>
        <v> C-PA-9A Depr. Adj. Jeeps &amp; Software</v>
      </c>
      <c r="D527" s="76">
        <f>N277</f>
        <v>-6097.74</v>
      </c>
      <c r="E527" s="222">
        <f>N287</f>
        <v>42506</v>
      </c>
      <c r="F527" s="229"/>
      <c r="G527" s="229"/>
      <c r="H527" s="245" t="e">
        <f t="shared" si="76"/>
        <v>#VALUE!</v>
      </c>
      <c r="I527" s="76"/>
      <c r="J527" s="49"/>
      <c r="K527" s="49"/>
      <c r="L527" s="172">
        <f t="shared" si="77"/>
        <v>-0.002173358070118342</v>
      </c>
      <c r="M527" s="4"/>
      <c r="N527" s="47" t="e">
        <f t="shared" si="78"/>
        <v>#VALUE!</v>
      </c>
      <c r="O527" s="47" t="e">
        <f t="shared" si="79"/>
        <v>#VALUE!</v>
      </c>
      <c r="P527" s="261"/>
      <c r="Q527" s="4"/>
      <c r="R527" s="4"/>
      <c r="S527" s="49" t="s">
        <v>407</v>
      </c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ht="15">
      <c r="A528" s="288" t="s">
        <v>185</v>
      </c>
      <c r="B528" s="273">
        <f t="shared" si="80"/>
        <v>22</v>
      </c>
      <c r="C528" s="49" t="str">
        <f t="shared" si="75"/>
        <v> C-PA-9B Depr. Adj. Owner's Vehicle</v>
      </c>
      <c r="D528" s="76">
        <f>R277</f>
        <v>0</v>
      </c>
      <c r="E528" s="222">
        <f>R287</f>
        <v>24499</v>
      </c>
      <c r="F528" s="229"/>
      <c r="G528" s="229"/>
      <c r="H528" s="245" t="e">
        <f t="shared" si="76"/>
        <v>#VALUE!</v>
      </c>
      <c r="I528" s="76"/>
      <c r="J528" s="49"/>
      <c r="K528" s="49"/>
      <c r="L528" s="172">
        <f t="shared" si="77"/>
        <v>-0.0005671973867441837</v>
      </c>
      <c r="M528" s="4"/>
      <c r="N528" s="47" t="e">
        <f t="shared" si="78"/>
        <v>#VALUE!</v>
      </c>
      <c r="O528" s="47" t="e">
        <f t="shared" si="79"/>
        <v>#VALUE!</v>
      </c>
      <c r="P528" s="261"/>
      <c r="Q528" s="4"/>
      <c r="R528" s="4"/>
      <c r="S528" s="49" t="s">
        <v>408</v>
      </c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ht="15">
      <c r="A529" s="288" t="s">
        <v>182</v>
      </c>
      <c r="B529" s="273">
        <f t="shared" si="80"/>
        <v>23</v>
      </c>
      <c r="C529" s="49" t="str">
        <f t="shared" si="75"/>
        <v> C-PA-10 Developer Lawsuit</v>
      </c>
      <c r="D529" s="76">
        <f>O277</f>
        <v>-4185.719999999999</v>
      </c>
      <c r="E529" s="222">
        <f>O287</f>
        <v>0</v>
      </c>
      <c r="F529" s="229"/>
      <c r="G529" s="229"/>
      <c r="H529" s="245" t="e">
        <f t="shared" si="76"/>
        <v>#VALUE!</v>
      </c>
      <c r="I529" s="76"/>
      <c r="J529" s="49"/>
      <c r="K529" s="49"/>
      <c r="L529" s="172">
        <f t="shared" si="77"/>
        <v>-0.0008256002916027377</v>
      </c>
      <c r="M529" s="4"/>
      <c r="N529" s="47" t="e">
        <f t="shared" si="78"/>
        <v>#VALUE!</v>
      </c>
      <c r="O529" s="47" t="e">
        <f t="shared" si="79"/>
        <v>#VALUE!</v>
      </c>
      <c r="P529" s="261"/>
      <c r="Q529" s="4"/>
      <c r="R529" s="4"/>
      <c r="S529" s="49" t="s">
        <v>409</v>
      </c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:34" ht="15">
      <c r="A530" s="288" t="s">
        <v>183</v>
      </c>
      <c r="B530" s="273">
        <f t="shared" si="80"/>
        <v>24</v>
      </c>
      <c r="C530" s="49" t="str">
        <f t="shared" si="75"/>
        <v> S-RA-16 Working Capital Allowance</v>
      </c>
      <c r="D530" s="76">
        <f>P277</f>
        <v>0</v>
      </c>
      <c r="E530" s="222">
        <f>P287</f>
        <v>231387</v>
      </c>
      <c r="F530" s="229"/>
      <c r="G530" s="229"/>
      <c r="H530" s="245" t="e">
        <f t="shared" si="76"/>
        <v>#VALUE!</v>
      </c>
      <c r="I530" s="76"/>
      <c r="J530" s="49"/>
      <c r="K530" s="49"/>
      <c r="L530" s="172">
        <f t="shared" si="77"/>
        <v>-0.0051479757846183555</v>
      </c>
      <c r="M530" s="4"/>
      <c r="N530" s="47" t="e">
        <f t="shared" si="78"/>
        <v>#VALUE!</v>
      </c>
      <c r="O530" s="47" t="e">
        <f t="shared" si="79"/>
        <v>#VALUE!</v>
      </c>
      <c r="P530" s="261"/>
      <c r="Q530" s="4"/>
      <c r="R530" s="4"/>
      <c r="S530" s="49" t="s">
        <v>410</v>
      </c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34" ht="15">
      <c r="A531" s="288" t="s">
        <v>411</v>
      </c>
      <c r="B531" s="273">
        <f t="shared" si="80"/>
        <v>25</v>
      </c>
      <c r="C531" s="49" t="str">
        <f t="shared" si="75"/>
        <v> C-PA-1B Salaries - Owner/Operator</v>
      </c>
      <c r="D531" s="76">
        <f>Q277</f>
        <v>-4335.51624</v>
      </c>
      <c r="E531" s="222">
        <f>Q287</f>
        <v>0</v>
      </c>
      <c r="F531" s="229"/>
      <c r="G531" s="229"/>
      <c r="H531" s="245" t="e">
        <f t="shared" si="76"/>
        <v>#VALUE!</v>
      </c>
      <c r="I531" s="76"/>
      <c r="J531" s="49"/>
      <c r="K531" s="49"/>
      <c r="L531" s="172">
        <f t="shared" si="77"/>
        <v>-0.0008551464197300573</v>
      </c>
      <c r="M531" s="4"/>
      <c r="N531" s="47" t="e">
        <f t="shared" si="78"/>
        <v>#VALUE!</v>
      </c>
      <c r="O531" s="47" t="e">
        <f t="shared" si="79"/>
        <v>#VALUE!</v>
      </c>
      <c r="P531" s="261"/>
      <c r="Q531" s="4"/>
      <c r="R531" s="4"/>
      <c r="S531" s="49" t="s">
        <v>412</v>
      </c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1:34" ht="15">
      <c r="A532" s="49"/>
      <c r="B532" s="273"/>
      <c r="C532" s="49"/>
      <c r="D532" s="76"/>
      <c r="E532" s="222"/>
      <c r="F532" s="229"/>
      <c r="G532" s="229"/>
      <c r="H532" s="245"/>
      <c r="I532" s="76"/>
      <c r="J532" s="49"/>
      <c r="K532" s="49"/>
      <c r="L532" s="172"/>
      <c r="M532" s="4"/>
      <c r="N532" s="47"/>
      <c r="O532" s="47"/>
      <c r="P532" s="261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ht="15.75">
      <c r="A533" s="49"/>
      <c r="B533" s="273">
        <f>B531+1</f>
        <v>26</v>
      </c>
      <c r="C533" s="199" t="s">
        <v>413</v>
      </c>
      <c r="D533" s="277">
        <f>SUM(D519:D531)</f>
        <v>-268475.2639206</v>
      </c>
      <c r="E533" s="278" t="e">
        <f>SUM(E519:E531)</f>
        <v>#VALUE!</v>
      </c>
      <c r="F533" s="294"/>
      <c r="G533" s="280"/>
      <c r="H533" s="281" t="e">
        <f>SUM(H519:H529)</f>
        <v>#VALUE!</v>
      </c>
      <c r="I533" s="76"/>
      <c r="J533" s="289" t="s">
        <v>388</v>
      </c>
      <c r="K533" s="290" t="e">
        <f>SUM(H519:H529)</f>
        <v>#VALUE!</v>
      </c>
      <c r="L533" s="290" t="e">
        <f>SUM(L504:L529)</f>
        <v>#VALUE!</v>
      </c>
      <c r="M533" s="295"/>
      <c r="N533" s="295" t="e">
        <f>SUM(N504:N529)</f>
        <v>#VALUE!</v>
      </c>
      <c r="O533" s="290" t="e">
        <f>H544</f>
        <v>#VALUE!</v>
      </c>
      <c r="P533" s="261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34" ht="15">
      <c r="A534" s="49"/>
      <c r="B534" s="273"/>
      <c r="C534" s="49"/>
      <c r="D534" s="296"/>
      <c r="E534" s="297"/>
      <c r="F534" s="230"/>
      <c r="G534" s="290"/>
      <c r="H534" s="284"/>
      <c r="I534" s="76"/>
      <c r="J534" s="49"/>
      <c r="K534" s="259"/>
      <c r="L534" s="258"/>
      <c r="M534" s="259"/>
      <c r="N534" s="259"/>
      <c r="O534" s="259"/>
      <c r="P534" s="261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ht="15.75">
      <c r="A535" s="49"/>
      <c r="B535" s="273">
        <f>B533+1</f>
        <v>27</v>
      </c>
      <c r="C535" s="199" t="s">
        <v>414</v>
      </c>
      <c r="D535" s="277">
        <f>D516+D533</f>
        <v>226584.49513299996</v>
      </c>
      <c r="E535" s="278" t="e">
        <f>E516+E533</f>
        <v>#VALUE!</v>
      </c>
      <c r="F535" s="294"/>
      <c r="G535" s="291" t="e">
        <f>D535/+E535</f>
        <v>#VALUE!</v>
      </c>
      <c r="H535" s="281" t="e">
        <f>SUM(H504:H512)+SUM(H519:H529)</f>
        <v>#VALUE!</v>
      </c>
      <c r="I535" s="76"/>
      <c r="J535" s="49"/>
      <c r="K535" s="49"/>
      <c r="L535" s="229"/>
      <c r="M535" s="4"/>
      <c r="N535" s="49"/>
      <c r="O535" s="49"/>
      <c r="P535" s="261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:34" ht="15">
      <c r="A536" s="49"/>
      <c r="B536" s="273"/>
      <c r="C536" s="49"/>
      <c r="D536" s="296"/>
      <c r="E536" s="297"/>
      <c r="F536" s="230"/>
      <c r="G536" s="290"/>
      <c r="H536" s="284"/>
      <c r="I536" s="76"/>
      <c r="J536" s="49"/>
      <c r="K536" s="49"/>
      <c r="L536" s="298"/>
      <c r="M536" s="299"/>
      <c r="N536" s="300"/>
      <c r="O536" s="300"/>
      <c r="P536" s="301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:34" ht="15.75">
      <c r="A537" s="49"/>
      <c r="B537" s="273">
        <f>B535+1</f>
        <v>28</v>
      </c>
      <c r="C537" s="199" t="s">
        <v>415</v>
      </c>
      <c r="D537" s="302">
        <f>F537*G396</f>
        <v>271846.1306369996</v>
      </c>
      <c r="E537" s="303">
        <v>0</v>
      </c>
      <c r="F537" s="304">
        <f>F482</f>
        <v>439248.89008619584</v>
      </c>
      <c r="G537" s="172"/>
      <c r="H537" s="274"/>
      <c r="I537" s="76"/>
      <c r="J537" s="49"/>
      <c r="K537" s="49"/>
      <c r="L537" s="49"/>
      <c r="M537" s="4"/>
      <c r="N537" s="49"/>
      <c r="O537" s="49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34" ht="15.75">
      <c r="A538" s="49"/>
      <c r="B538" s="273"/>
      <c r="C538" s="199"/>
      <c r="D538" s="75"/>
      <c r="E538" s="228"/>
      <c r="F538" s="221"/>
      <c r="G538" s="229"/>
      <c r="H538" s="274"/>
      <c r="I538" s="76"/>
      <c r="J538" s="49"/>
      <c r="K538" s="49"/>
      <c r="L538" s="49"/>
      <c r="M538" s="4"/>
      <c r="N538" s="49"/>
      <c r="O538" s="49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:34" ht="15.75">
      <c r="A539" s="49"/>
      <c r="B539" s="273">
        <f>B537+1</f>
        <v>29</v>
      </c>
      <c r="C539" s="199" t="s">
        <v>416</v>
      </c>
      <c r="D539" s="277">
        <f>D535+D537</f>
        <v>498430.6257699996</v>
      </c>
      <c r="E539" s="278" t="e">
        <f>E535+E537</f>
        <v>#VALUE!</v>
      </c>
      <c r="F539" s="294"/>
      <c r="G539" s="291" t="e">
        <f>D539/+E539</f>
        <v>#VALUE!</v>
      </c>
      <c r="H539" s="281"/>
      <c r="I539" s="76"/>
      <c r="J539" s="49"/>
      <c r="K539" s="49"/>
      <c r="L539" s="49"/>
      <c r="M539" s="4"/>
      <c r="N539" s="49"/>
      <c r="O539" s="49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:34" ht="15">
      <c r="A540" s="49"/>
      <c r="B540" s="305"/>
      <c r="C540" s="306"/>
      <c r="D540" s="307"/>
      <c r="E540" s="308"/>
      <c r="F540" s="309"/>
      <c r="G540" s="309"/>
      <c r="H540" s="310"/>
      <c r="I540" s="76"/>
      <c r="J540" s="49"/>
      <c r="K540" s="49"/>
      <c r="L540" s="49"/>
      <c r="M540" s="4"/>
      <c r="N540" s="49"/>
      <c r="O540" s="49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 ht="15">
      <c r="A541" s="49"/>
      <c r="B541" s="255"/>
      <c r="C541" s="255"/>
      <c r="D541" s="255"/>
      <c r="E541" s="11"/>
      <c r="F541" s="11"/>
      <c r="G541" s="11"/>
      <c r="H541" s="11"/>
      <c r="I541" s="49"/>
      <c r="J541" s="49"/>
      <c r="K541" s="49"/>
      <c r="L541" s="49"/>
      <c r="M541" s="4"/>
      <c r="N541" s="49"/>
      <c r="O541" s="49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ht="15">
      <c r="A542" s="49"/>
      <c r="B542" s="49"/>
      <c r="C542" s="49"/>
      <c r="D542" s="49"/>
      <c r="E542" s="4"/>
      <c r="F542" s="4"/>
      <c r="G542" s="4"/>
      <c r="H542" s="4"/>
      <c r="I542" s="49"/>
      <c r="J542" s="49"/>
      <c r="K542" s="49"/>
      <c r="L542" s="49"/>
      <c r="M542" s="49"/>
      <c r="N542" s="49"/>
      <c r="O542" s="49"/>
      <c r="P542" s="49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ht="15.75">
      <c r="A543" s="49"/>
      <c r="B543" s="49"/>
      <c r="C543" s="49"/>
      <c r="D543" s="49"/>
      <c r="E543" s="3" t="s">
        <v>417</v>
      </c>
      <c r="F543" s="4"/>
      <c r="G543" s="4"/>
      <c r="H543" s="4"/>
      <c r="I543" s="49"/>
      <c r="J543" s="49"/>
      <c r="K543" s="49"/>
      <c r="L543" s="49"/>
      <c r="M543" s="49"/>
      <c r="N543" s="49"/>
      <c r="O543" s="49"/>
      <c r="P543" s="49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ht="15.75">
      <c r="A544" s="49"/>
      <c r="B544" s="49"/>
      <c r="C544" s="199" t="s">
        <v>418</v>
      </c>
      <c r="D544" s="199"/>
      <c r="E544" s="311">
        <f>D514+D533</f>
        <v>-371386.464867</v>
      </c>
      <c r="F544" s="292" t="e">
        <f>E514+E533</f>
        <v>#VALUE!</v>
      </c>
      <c r="G544" s="279"/>
      <c r="H544" s="280" t="e">
        <f>(+E544+$D$501)/(F544+$E$501)-$G$501</f>
        <v>#VALUE!</v>
      </c>
      <c r="I544" s="49"/>
      <c r="J544" s="49"/>
      <c r="K544" s="295" t="e">
        <f>SUM(H504:H512)+SUM(H519:H529)</f>
        <v>#VALUE!</v>
      </c>
      <c r="L544" s="4"/>
      <c r="M544" s="4"/>
      <c r="N544" s="49"/>
      <c r="O544" s="49"/>
      <c r="P544" s="49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ht="15">
      <c r="A545" s="49"/>
      <c r="B545" s="49"/>
      <c r="C545" s="49"/>
      <c r="D545" s="49"/>
      <c r="E545" s="259"/>
      <c r="F545" s="259"/>
      <c r="G545" s="259"/>
      <c r="H545" s="259"/>
      <c r="I545" s="49"/>
      <c r="J545" s="49" t="s">
        <v>419</v>
      </c>
      <c r="K545" s="312" t="e">
        <f>K514+K533</f>
        <v>#VALUE!</v>
      </c>
      <c r="L545" s="4"/>
      <c r="M545" s="4"/>
      <c r="N545" s="49"/>
      <c r="O545" s="49"/>
      <c r="P545" s="49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ht="1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"/>
      <c r="M546" s="49"/>
      <c r="N546" s="49"/>
      <c r="O546" s="49"/>
      <c r="P546" s="49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ht="15.75">
      <c r="A547" s="4"/>
      <c r="B547" s="8"/>
      <c r="C547" s="11"/>
      <c r="D547" s="11"/>
      <c r="E547" s="11"/>
      <c r="F547" s="11"/>
      <c r="G547" s="57" t="str">
        <f>G341</f>
        <v>Docket No. UW-010877</v>
      </c>
      <c r="H547" s="13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34" ht="15.75">
      <c r="A548" s="4"/>
      <c r="B548" s="19"/>
      <c r="C548" s="3" t="str">
        <f>B340</f>
        <v>RAINIER VIEW WATER CO., INC.</v>
      </c>
      <c r="D548" s="4"/>
      <c r="E548" s="4"/>
      <c r="F548" s="4"/>
      <c r="G548" s="3" t="s">
        <v>252</v>
      </c>
      <c r="H548" s="18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ht="15.75">
      <c r="A549" s="4"/>
      <c r="B549" s="19"/>
      <c r="C549" s="3" t="s">
        <v>420</v>
      </c>
      <c r="D549" s="4"/>
      <c r="E549" s="20"/>
      <c r="F549" s="4"/>
      <c r="G549" s="199"/>
      <c r="H549" s="18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ht="15.75">
      <c r="A550" s="4"/>
      <c r="B550" s="19"/>
      <c r="C550" s="3" t="str">
        <f>B342</f>
        <v>FOR THE 12 MONTHS ENDED DECEMBER 31, 2000</v>
      </c>
      <c r="D550" s="4"/>
      <c r="E550" s="4"/>
      <c r="F550" s="4"/>
      <c r="G550" s="4"/>
      <c r="H550" s="18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ht="15.75">
      <c r="A551" s="4"/>
      <c r="B551" s="19"/>
      <c r="C551" s="4"/>
      <c r="D551" s="4"/>
      <c r="E551" s="4"/>
      <c r="F551" s="4"/>
      <c r="G551" s="4"/>
      <c r="H551" s="18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ht="15.75">
      <c r="A552" s="4"/>
      <c r="B552" s="19"/>
      <c r="C552" s="4"/>
      <c r="D552" s="4"/>
      <c r="E552" s="5" t="s">
        <v>421</v>
      </c>
      <c r="F552" s="5" t="s">
        <v>267</v>
      </c>
      <c r="G552" s="5" t="s">
        <v>421</v>
      </c>
      <c r="H552" s="18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:34" ht="15">
      <c r="A553" s="4"/>
      <c r="B553" s="40" t="s">
        <v>308</v>
      </c>
      <c r="C553" s="4"/>
      <c r="D553" s="4"/>
      <c r="E553" s="5" t="s">
        <v>422</v>
      </c>
      <c r="F553" s="5" t="s">
        <v>423</v>
      </c>
      <c r="G553" s="5" t="s">
        <v>424</v>
      </c>
      <c r="H553" s="21" t="s">
        <v>425</v>
      </c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ht="15">
      <c r="A554" s="4"/>
      <c r="B554" s="40" t="s">
        <v>312</v>
      </c>
      <c r="C554" s="37" t="s">
        <v>270</v>
      </c>
      <c r="D554" s="37" t="s">
        <v>271</v>
      </c>
      <c r="E554" s="5" t="s">
        <v>272</v>
      </c>
      <c r="F554" s="5" t="s">
        <v>426</v>
      </c>
      <c r="G554" s="5" t="s">
        <v>272</v>
      </c>
      <c r="H554" s="21" t="s">
        <v>423</v>
      </c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:34" ht="15">
      <c r="A555" s="4"/>
      <c r="B555" s="217"/>
      <c r="C555" s="218" t="s">
        <v>25</v>
      </c>
      <c r="D555" s="218" t="s">
        <v>26</v>
      </c>
      <c r="E555" s="220" t="s">
        <v>27</v>
      </c>
      <c r="F555" s="220" t="s">
        <v>28</v>
      </c>
      <c r="G555" s="220" t="s">
        <v>29</v>
      </c>
      <c r="H555" s="241" t="s">
        <v>30</v>
      </c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ht="15">
      <c r="A556" s="4"/>
      <c r="B556" s="35"/>
      <c r="C556" s="170"/>
      <c r="D556" s="170"/>
      <c r="E556" s="188"/>
      <c r="F556" s="188"/>
      <c r="G556" s="188"/>
      <c r="H556" s="171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34" ht="15">
      <c r="A557" s="4"/>
      <c r="B557" s="35"/>
      <c r="C557" s="163" t="s">
        <v>427</v>
      </c>
      <c r="D557" s="170"/>
      <c r="E557" s="188"/>
      <c r="F557" s="188"/>
      <c r="G557" s="188"/>
      <c r="H557" s="171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34" ht="15">
      <c r="A558" s="4"/>
      <c r="B558" s="41">
        <v>1</v>
      </c>
      <c r="C558" s="163" t="s">
        <v>428</v>
      </c>
      <c r="D558" s="190" t="s">
        <v>314</v>
      </c>
      <c r="E558" s="228">
        <f>I15</f>
        <v>61772</v>
      </c>
      <c r="F558" s="228">
        <v>8492</v>
      </c>
      <c r="G558" s="228">
        <f>E558+F558</f>
        <v>70264</v>
      </c>
      <c r="H558" s="245">
        <f>F558/E558</f>
        <v>0.13747328886874313</v>
      </c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:34" ht="15">
      <c r="A559" s="4"/>
      <c r="B559" s="41">
        <f>B558+1</f>
        <v>2</v>
      </c>
      <c r="C559" s="205" t="s">
        <v>429</v>
      </c>
      <c r="D559" s="190" t="s">
        <v>316</v>
      </c>
      <c r="E559" s="226">
        <f>I16</f>
        <v>2661014</v>
      </c>
      <c r="F559" s="226">
        <v>479559</v>
      </c>
      <c r="G559" s="228">
        <f>E559+F559</f>
        <v>3140573</v>
      </c>
      <c r="H559" s="245">
        <f>F559/E559</f>
        <v>0.18021663922098868</v>
      </c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ht="15">
      <c r="A560" s="4"/>
      <c r="B560" s="41">
        <f>B559+1</f>
        <v>3</v>
      </c>
      <c r="C560" s="205" t="s">
        <v>430</v>
      </c>
      <c r="D560" s="190" t="s">
        <v>318</v>
      </c>
      <c r="E560" s="313">
        <f>E558+E559</f>
        <v>2722786</v>
      </c>
      <c r="F560" s="313">
        <f>F558+F559</f>
        <v>488051</v>
      </c>
      <c r="G560" s="313">
        <f>G558+G559</f>
        <v>3210837</v>
      </c>
      <c r="H560" s="314">
        <f>F560/E560</f>
        <v>0.179246918413713</v>
      </c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ht="15">
      <c r="A561" s="4"/>
      <c r="B561" s="41"/>
      <c r="C561" s="205"/>
      <c r="D561" s="163"/>
      <c r="E561" s="188"/>
      <c r="F561" s="188"/>
      <c r="G561" s="188"/>
      <c r="H561" s="171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34" ht="15">
      <c r="A562" s="4"/>
      <c r="B562" s="41"/>
      <c r="C562" s="205"/>
      <c r="D562" s="163"/>
      <c r="E562" s="188"/>
      <c r="F562" s="188"/>
      <c r="G562" s="188"/>
      <c r="H562" s="171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:34" ht="15">
      <c r="A563" s="4"/>
      <c r="B563" s="41">
        <f>B560+1</f>
        <v>4</v>
      </c>
      <c r="C563" s="205" t="s">
        <v>431</v>
      </c>
      <c r="D563" s="190" t="s">
        <v>432</v>
      </c>
      <c r="E563" s="226">
        <v>313</v>
      </c>
      <c r="F563" s="188"/>
      <c r="G563" s="222">
        <f>E563+F563</f>
        <v>313</v>
      </c>
      <c r="H563" s="171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:34" ht="15">
      <c r="A564" s="4"/>
      <c r="B564" s="41">
        <f>B563+1</f>
        <v>5</v>
      </c>
      <c r="C564" s="205" t="s">
        <v>433</v>
      </c>
      <c r="D564" s="190" t="s">
        <v>432</v>
      </c>
      <c r="E564" s="226">
        <v>10856</v>
      </c>
      <c r="F564" s="188"/>
      <c r="G564" s="222">
        <f>E564+F564</f>
        <v>10856</v>
      </c>
      <c r="H564" s="171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ht="15">
      <c r="A565" s="4"/>
      <c r="B565" s="41">
        <f>B564+1</f>
        <v>6</v>
      </c>
      <c r="C565" s="205" t="s">
        <v>434</v>
      </c>
      <c r="D565" s="190" t="s">
        <v>432</v>
      </c>
      <c r="E565" s="226">
        <v>15</v>
      </c>
      <c r="F565" s="188"/>
      <c r="G565" s="222">
        <f>E565+F565</f>
        <v>15</v>
      </c>
      <c r="H565" s="171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ht="15">
      <c r="A566" s="4"/>
      <c r="B566" s="41"/>
      <c r="C566" s="205"/>
      <c r="D566" s="163"/>
      <c r="E566" s="188"/>
      <c r="F566" s="188"/>
      <c r="G566" s="226"/>
      <c r="H566" s="171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ht="15">
      <c r="A567" s="4"/>
      <c r="B567" s="41"/>
      <c r="C567" s="205"/>
      <c r="D567" s="163"/>
      <c r="E567" s="188"/>
      <c r="F567" s="188"/>
      <c r="G567" s="226"/>
      <c r="H567" s="171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34" ht="15">
      <c r="A568" s="4"/>
      <c r="B568" s="41"/>
      <c r="C568" s="205"/>
      <c r="D568" s="163"/>
      <c r="E568" s="188"/>
      <c r="F568" s="188"/>
      <c r="G568" s="226"/>
      <c r="H568" s="171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:34" ht="15">
      <c r="A569" s="4"/>
      <c r="B569" s="41"/>
      <c r="C569" s="205"/>
      <c r="D569" s="163"/>
      <c r="E569" s="188"/>
      <c r="F569" s="188"/>
      <c r="G569" s="226"/>
      <c r="H569" s="171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:34" ht="15">
      <c r="A570" s="4"/>
      <c r="B570" s="41"/>
      <c r="C570" s="205"/>
      <c r="D570" s="163"/>
      <c r="E570" s="315" t="s">
        <v>435</v>
      </c>
      <c r="F570" s="315" t="s">
        <v>424</v>
      </c>
      <c r="G570" s="315" t="s">
        <v>423</v>
      </c>
      <c r="H570" s="316" t="s">
        <v>436</v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ht="15">
      <c r="A571" s="4"/>
      <c r="B571" s="41">
        <f>B565+1</f>
        <v>7</v>
      </c>
      <c r="C571" s="205" t="s">
        <v>437</v>
      </c>
      <c r="D571" s="190" t="s">
        <v>438</v>
      </c>
      <c r="E571" s="317">
        <v>19.17</v>
      </c>
      <c r="F571" s="317">
        <v>22</v>
      </c>
      <c r="G571" s="317">
        <f>F571-E571</f>
        <v>2.8299999999999983</v>
      </c>
      <c r="H571" s="245">
        <f>G571/E571</f>
        <v>0.1476264997391757</v>
      </c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:34" ht="15">
      <c r="A572" s="4"/>
      <c r="B572" s="41"/>
      <c r="C572" s="205"/>
      <c r="D572" s="163"/>
      <c r="E572" s="318"/>
      <c r="F572" s="318"/>
      <c r="G572" s="318"/>
      <c r="H572" s="171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ht="15">
      <c r="A573" s="4"/>
      <c r="B573" s="41"/>
      <c r="C573" s="205"/>
      <c r="D573" s="163"/>
      <c r="E573" s="318"/>
      <c r="F573" s="318"/>
      <c r="G573" s="318"/>
      <c r="H573" s="171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:34" ht="15">
      <c r="A574" s="4"/>
      <c r="B574" s="41"/>
      <c r="C574" s="205"/>
      <c r="D574" s="163"/>
      <c r="E574" s="318"/>
      <c r="F574" s="318"/>
      <c r="G574" s="318"/>
      <c r="H574" s="171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ht="15">
      <c r="A575" s="4"/>
      <c r="B575" s="41">
        <f>B571+1</f>
        <v>8</v>
      </c>
      <c r="C575" s="205" t="s">
        <v>439</v>
      </c>
      <c r="D575" s="190" t="s">
        <v>438</v>
      </c>
      <c r="E575" s="318">
        <v>14.45</v>
      </c>
      <c r="F575" s="318">
        <v>16.45</v>
      </c>
      <c r="G575" s="317">
        <f>F575-E575</f>
        <v>2</v>
      </c>
      <c r="H575" s="245">
        <f>G575/E575</f>
        <v>0.1384083044982699</v>
      </c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ht="15">
      <c r="A576" s="4"/>
      <c r="B576" s="41">
        <f>B575+1</f>
        <v>9</v>
      </c>
      <c r="C576" s="205" t="s">
        <v>440</v>
      </c>
      <c r="D576" s="190" t="s">
        <v>438</v>
      </c>
      <c r="E576" s="318">
        <v>0.78</v>
      </c>
      <c r="F576" s="318">
        <v>0.95</v>
      </c>
      <c r="G576" s="317">
        <f>F576-E576</f>
        <v>0.16999999999999993</v>
      </c>
      <c r="H576" s="245">
        <f>G576/E576</f>
        <v>0.21794871794871784</v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34" ht="15">
      <c r="A577" s="4"/>
      <c r="B577" s="41"/>
      <c r="C577" s="205"/>
      <c r="D577" s="163"/>
      <c r="E577" s="318"/>
      <c r="F577" s="318"/>
      <c r="G577" s="317"/>
      <c r="H577" s="24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:34" ht="15">
      <c r="A578" s="4"/>
      <c r="B578" s="41"/>
      <c r="C578" s="205"/>
      <c r="D578" s="163"/>
      <c r="E578" s="318"/>
      <c r="F578" s="318"/>
      <c r="G578" s="317"/>
      <c r="H578" s="24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:34" ht="15">
      <c r="A579" s="4"/>
      <c r="B579" s="41"/>
      <c r="C579" s="205"/>
      <c r="D579" s="163"/>
      <c r="E579" s="319" t="s">
        <v>441</v>
      </c>
      <c r="F579" s="319" t="s">
        <v>442</v>
      </c>
      <c r="G579" s="320" t="s">
        <v>443</v>
      </c>
      <c r="H579" s="321" t="s">
        <v>311</v>
      </c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ht="15">
      <c r="A580" s="4"/>
      <c r="B580" s="41">
        <f>B576+1</f>
        <v>10</v>
      </c>
      <c r="C580" s="205" t="s">
        <v>444</v>
      </c>
      <c r="D580" s="190" t="s">
        <v>445</v>
      </c>
      <c r="E580" s="317">
        <f>G571</f>
        <v>2.8299999999999983</v>
      </c>
      <c r="F580" s="317">
        <f>G575</f>
        <v>2</v>
      </c>
      <c r="G580" s="317">
        <f>G576</f>
        <v>0.16999999999999993</v>
      </c>
      <c r="H580" s="24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ht="15">
      <c r="A581" s="4"/>
      <c r="B581" s="41">
        <f>B580+1</f>
        <v>11</v>
      </c>
      <c r="C581" s="205"/>
      <c r="D581" s="163"/>
      <c r="E581" s="188"/>
      <c r="F581" s="188"/>
      <c r="G581" s="322" t="s">
        <v>446</v>
      </c>
      <c r="H581" s="171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ht="15">
      <c r="A582" s="4"/>
      <c r="B582" s="41">
        <f>B581+1</f>
        <v>12</v>
      </c>
      <c r="C582" s="205"/>
      <c r="D582" s="163"/>
      <c r="E582" s="188"/>
      <c r="F582" s="188"/>
      <c r="G582" s="317">
        <f>G580*10</f>
        <v>1.6999999999999993</v>
      </c>
      <c r="H582" s="171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ht="15">
      <c r="A583" s="4"/>
      <c r="B583" s="41"/>
      <c r="C583" s="205"/>
      <c r="D583" s="163"/>
      <c r="E583" s="188"/>
      <c r="F583" s="188"/>
      <c r="G583" s="317"/>
      <c r="H583" s="171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ht="15">
      <c r="A584" s="4"/>
      <c r="B584" s="41">
        <f>B582+1</f>
        <v>13</v>
      </c>
      <c r="C584" s="205" t="s">
        <v>447</v>
      </c>
      <c r="D584" s="163"/>
      <c r="E584" s="323">
        <v>313</v>
      </c>
      <c r="F584" s="323">
        <v>10856</v>
      </c>
      <c r="G584" s="323">
        <v>10856</v>
      </c>
      <c r="H584" s="171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:34" ht="15">
      <c r="A585" s="4"/>
      <c r="B585" s="41">
        <f aca="true" t="shared" si="81" ref="B585:B591">B584+1</f>
        <v>14</v>
      </c>
      <c r="C585" s="205" t="s">
        <v>448</v>
      </c>
      <c r="D585" s="163"/>
      <c r="E585" s="228">
        <f>E580*E584</f>
        <v>885.7899999999995</v>
      </c>
      <c r="F585" s="221">
        <f>F580*F584</f>
        <v>21712</v>
      </c>
      <c r="G585" s="228">
        <f>G582*G584</f>
        <v>18455.199999999993</v>
      </c>
      <c r="H585" s="247">
        <f>SUM(E585:G585)</f>
        <v>41052.98999999999</v>
      </c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:34" ht="15">
      <c r="A586" s="4"/>
      <c r="B586" s="41">
        <f t="shared" si="81"/>
        <v>15</v>
      </c>
      <c r="C586" s="205" t="s">
        <v>449</v>
      </c>
      <c r="D586" s="163"/>
      <c r="E586" s="322" t="s">
        <v>450</v>
      </c>
      <c r="F586" s="324" t="s">
        <v>450</v>
      </c>
      <c r="G586" s="322" t="s">
        <v>450</v>
      </c>
      <c r="H586" s="171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:34" ht="15">
      <c r="A587" s="4"/>
      <c r="B587" s="41">
        <f t="shared" si="81"/>
        <v>16</v>
      </c>
      <c r="C587" s="205" t="s">
        <v>451</v>
      </c>
      <c r="D587" s="163"/>
      <c r="E587" s="325">
        <f>E585*12</f>
        <v>10629.479999999994</v>
      </c>
      <c r="F587" s="326">
        <f>F585*12</f>
        <v>260544</v>
      </c>
      <c r="G587" s="325">
        <f>G585*12</f>
        <v>221462.3999999999</v>
      </c>
      <c r="H587" s="248">
        <f>SUM(E587:G587)</f>
        <v>492635.8799999999</v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ht="15">
      <c r="A588" s="4"/>
      <c r="B588" s="41">
        <f t="shared" si="81"/>
        <v>17</v>
      </c>
      <c r="C588" s="205"/>
      <c r="D588" s="163"/>
      <c r="E588" s="188"/>
      <c r="F588" s="188"/>
      <c r="G588" s="188"/>
      <c r="H588" s="171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ht="15">
      <c r="A589" s="4"/>
      <c r="B589" s="41">
        <f t="shared" si="81"/>
        <v>18</v>
      </c>
      <c r="C589" s="205"/>
      <c r="D589" s="163"/>
      <c r="E589" s="188"/>
      <c r="F589" s="188"/>
      <c r="G589" s="188"/>
      <c r="H589" s="171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:34" ht="15">
      <c r="A590" s="4"/>
      <c r="B590" s="41">
        <f t="shared" si="81"/>
        <v>19</v>
      </c>
      <c r="C590" s="205"/>
      <c r="D590" s="163"/>
      <c r="E590" s="188"/>
      <c r="F590" s="188"/>
      <c r="G590" s="188"/>
      <c r="H590" s="171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:34" ht="15">
      <c r="A591" s="4"/>
      <c r="B591" s="41">
        <f t="shared" si="81"/>
        <v>20</v>
      </c>
      <c r="C591" s="170"/>
      <c r="D591" s="170"/>
      <c r="E591" s="188"/>
      <c r="F591" s="188"/>
      <c r="G591" s="188"/>
      <c r="H591" s="171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ht="15">
      <c r="A592" s="4"/>
      <c r="B592" s="102"/>
      <c r="C592" s="178"/>
      <c r="D592" s="178"/>
      <c r="E592" s="237"/>
      <c r="F592" s="237"/>
      <c r="G592" s="237"/>
      <c r="H592" s="179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ht="21.75" customHeight="1">
      <c r="A595" s="4"/>
      <c r="B595" s="8" t="str">
        <f>B340</f>
        <v>RAINIER VIEW WATER CO., INC.</v>
      </c>
      <c r="C595" s="57"/>
      <c r="D595" s="255"/>
      <c r="E595" s="255"/>
      <c r="F595" s="256"/>
      <c r="G595" s="57" t="str">
        <f>G341</f>
        <v>Docket No. UW-010877</v>
      </c>
      <c r="H595" s="257"/>
      <c r="I595" s="327"/>
      <c r="J595" s="13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ht="15.75">
      <c r="A596" s="4"/>
      <c r="B596" s="265" t="s">
        <v>452</v>
      </c>
      <c r="C596" s="199"/>
      <c r="D596" s="49"/>
      <c r="E596" s="49"/>
      <c r="F596" s="49"/>
      <c r="G596" s="199" t="s">
        <v>252</v>
      </c>
      <c r="H596" s="50"/>
      <c r="I596" s="40"/>
      <c r="J596" s="18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34" ht="15.75">
      <c r="A597" s="4"/>
      <c r="B597" s="265" t="str">
        <f>B342</f>
        <v>FOR THE 12 MONTHS ENDED DECEMBER 31, 2000</v>
      </c>
      <c r="C597" s="199"/>
      <c r="D597" s="49"/>
      <c r="E597" s="49"/>
      <c r="F597" s="49"/>
      <c r="G597" s="199"/>
      <c r="H597" s="50"/>
      <c r="I597" s="40"/>
      <c r="J597" s="18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:34" ht="15.75">
      <c r="A598" s="22" t="s">
        <v>453</v>
      </c>
      <c r="B598" s="265" t="str">
        <f>IF(B!E372&lt;&gt;0,+" (WITH FEDERAL INCOME TAXES IMPUTED)",+" (WITHOUT FEDERAL INCOME TAXES IMPUTED)")</f>
        <v> (WITH FEDERAL INCOME TAXES IMPUTED)</v>
      </c>
      <c r="C598" s="262"/>
      <c r="D598" s="262" t="s">
        <v>454</v>
      </c>
      <c r="E598" s="49"/>
      <c r="F598" s="262" t="s">
        <v>455</v>
      </c>
      <c r="G598" s="49"/>
      <c r="H598" s="50"/>
      <c r="I598" s="40"/>
      <c r="J598" s="18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ht="15.75">
      <c r="A599" s="22"/>
      <c r="B599" s="265"/>
      <c r="C599" s="262"/>
      <c r="D599" s="262" t="str">
        <f>IF(B!E372&lt;&gt;0,+"                     (WITH FIT)",+"                  (WITHOUT FIT)")</f>
        <v>                     (WITH FIT)</v>
      </c>
      <c r="E599" s="199"/>
      <c r="F599" s="262" t="s">
        <v>456</v>
      </c>
      <c r="G599" s="49"/>
      <c r="H599" s="264"/>
      <c r="I599" s="14"/>
      <c r="J599" s="18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ht="15.75">
      <c r="A600" s="4"/>
      <c r="B600" s="265"/>
      <c r="C600" s="199"/>
      <c r="D600" s="269" t="s">
        <v>9</v>
      </c>
      <c r="E600" s="272" t="s">
        <v>9</v>
      </c>
      <c r="F600" s="269" t="s">
        <v>9</v>
      </c>
      <c r="G600" s="272" t="s">
        <v>9</v>
      </c>
      <c r="H600" s="264"/>
      <c r="I600" s="40"/>
      <c r="J600" s="18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34" ht="15.75">
      <c r="A601" s="4"/>
      <c r="B601" s="265" t="s">
        <v>14</v>
      </c>
      <c r="C601" s="199"/>
      <c r="D601" s="328" t="s">
        <v>457</v>
      </c>
      <c r="E601" s="329" t="s">
        <v>194</v>
      </c>
      <c r="F601" s="328" t="s">
        <v>457</v>
      </c>
      <c r="G601" s="329" t="s">
        <v>194</v>
      </c>
      <c r="H601" s="264" t="s">
        <v>458</v>
      </c>
      <c r="I601" s="14" t="s">
        <v>459</v>
      </c>
      <c r="J601" s="18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:34" ht="15.75">
      <c r="A602" s="4"/>
      <c r="B602" s="265" t="s">
        <v>18</v>
      </c>
      <c r="C602" s="263" t="s">
        <v>19</v>
      </c>
      <c r="D602" s="328" t="s">
        <v>365</v>
      </c>
      <c r="E602" s="329" t="s">
        <v>366</v>
      </c>
      <c r="F602" s="328" t="s">
        <v>365</v>
      </c>
      <c r="G602" s="329" t="s">
        <v>366</v>
      </c>
      <c r="H602" s="264" t="s">
        <v>460</v>
      </c>
      <c r="I602" s="330" t="s">
        <v>461</v>
      </c>
      <c r="J602" s="331" t="s">
        <v>70</v>
      </c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ht="15.75">
      <c r="A603" s="4"/>
      <c r="B603" s="267"/>
      <c r="C603" s="268" t="s">
        <v>25</v>
      </c>
      <c r="D603" s="269" t="s">
        <v>26</v>
      </c>
      <c r="E603" s="272" t="s">
        <v>27</v>
      </c>
      <c r="F603" s="269" t="s">
        <v>28</v>
      </c>
      <c r="G603" s="272" t="s">
        <v>29</v>
      </c>
      <c r="H603" s="267" t="s">
        <v>30</v>
      </c>
      <c r="I603" s="332" t="s">
        <v>31</v>
      </c>
      <c r="J603" s="272" t="s">
        <v>32</v>
      </c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ht="15">
      <c r="A604" s="4"/>
      <c r="B604" s="273"/>
      <c r="C604" s="49"/>
      <c r="D604" s="76"/>
      <c r="E604" s="274"/>
      <c r="F604" s="76"/>
      <c r="G604" s="274"/>
      <c r="H604" s="333"/>
      <c r="I604" s="334"/>
      <c r="J604" s="27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34" ht="15.75">
      <c r="A605" s="4"/>
      <c r="B605" s="273"/>
      <c r="C605" s="199"/>
      <c r="D605" s="76"/>
      <c r="E605" s="274"/>
      <c r="F605" s="76"/>
      <c r="G605" s="274"/>
      <c r="H605" s="333"/>
      <c r="I605" s="334"/>
      <c r="J605" s="27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:34" ht="15.75">
      <c r="A606" s="4"/>
      <c r="B606" s="273">
        <v>1</v>
      </c>
      <c r="C606" s="199" t="s">
        <v>462</v>
      </c>
      <c r="D606" s="277">
        <f>B!D508</f>
        <v>597970.96</v>
      </c>
      <c r="E606" s="335">
        <f>B!E508</f>
        <v>5064468</v>
      </c>
      <c r="F606" s="277">
        <f>D501</f>
        <v>597970.96</v>
      </c>
      <c r="G606" s="335">
        <f>E501</f>
        <v>5069911</v>
      </c>
      <c r="H606" s="311"/>
      <c r="I606" s="336"/>
      <c r="J606" s="337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:34" ht="15.75">
      <c r="A607" s="4"/>
      <c r="B607" s="273">
        <f>B606+1</f>
        <v>2</v>
      </c>
      <c r="C607" s="199" t="s">
        <v>463</v>
      </c>
      <c r="D607" s="282"/>
      <c r="E607" s="281">
        <f>D606/+E606</f>
        <v>0.11807182116660624</v>
      </c>
      <c r="F607" s="296"/>
      <c r="G607" s="281">
        <f>F606/+G606</f>
        <v>0.11794506057404162</v>
      </c>
      <c r="H607" s="338"/>
      <c r="I607" s="339"/>
      <c r="J607" s="28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ht="15.75">
      <c r="A608" s="4"/>
      <c r="B608" s="273"/>
      <c r="C608" s="199"/>
      <c r="D608" s="282"/>
      <c r="E608" s="281"/>
      <c r="F608" s="296"/>
      <c r="G608" s="281"/>
      <c r="H608" s="338"/>
      <c r="I608" s="339"/>
      <c r="J608" s="28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ht="15.75">
      <c r="A609" s="4"/>
      <c r="B609" s="273"/>
      <c r="C609" s="285" t="s">
        <v>378</v>
      </c>
      <c r="D609" s="76"/>
      <c r="E609" s="274"/>
      <c r="F609" s="75"/>
      <c r="G609" s="244"/>
      <c r="H609" s="333"/>
      <c r="I609" s="334"/>
      <c r="J609" s="27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:34" ht="15">
      <c r="A610" s="4"/>
      <c r="B610" s="273">
        <f>B607+1</f>
        <v>3</v>
      </c>
      <c r="C610" s="49" t="s">
        <v>464</v>
      </c>
      <c r="D610" s="76">
        <f>B!D511</f>
        <v>-119219.75999999998</v>
      </c>
      <c r="E610" s="274">
        <f>B!E511</f>
        <v>0</v>
      </c>
      <c r="F610" s="76">
        <f>D504</f>
        <v>-119219.6225286</v>
      </c>
      <c r="G610" s="274">
        <f>E504</f>
        <v>0</v>
      </c>
      <c r="H610" s="333" t="str">
        <f aca="true" t="shared" si="82" ref="H610:H621">IF(I610+J610&lt;&gt;0,+"  Contested",+"  Uncontested")</f>
        <v>  Uncontested</v>
      </c>
      <c r="I610" s="334">
        <f aca="true" t="shared" si="83" ref="I610:I624">ROUND(+D610-F610,0)</f>
        <v>0</v>
      </c>
      <c r="J610" s="274">
        <f aca="true" t="shared" si="84" ref="J610:J624">ROUND(+E610-G610,0)</f>
        <v>0</v>
      </c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ht="15">
      <c r="A611" s="4"/>
      <c r="B611" s="273">
        <f aca="true" t="shared" si="85" ref="B611:B624">B610+1</f>
        <v>4</v>
      </c>
      <c r="C611" s="49" t="s">
        <v>465</v>
      </c>
      <c r="D611" s="76">
        <f>B!D540</f>
        <v>-12005.399999999998</v>
      </c>
      <c r="E611" s="274">
        <f>B!E540</f>
        <v>0</v>
      </c>
      <c r="F611" s="76">
        <f>D505</f>
        <v>-33674.038417799995</v>
      </c>
      <c r="G611" s="274">
        <f>E505</f>
        <v>0</v>
      </c>
      <c r="H611" s="333" t="str">
        <f t="shared" si="82"/>
        <v>  Contested</v>
      </c>
      <c r="I611" s="334">
        <f t="shared" si="83"/>
        <v>21669</v>
      </c>
      <c r="J611" s="274">
        <f t="shared" si="84"/>
        <v>0</v>
      </c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:34" ht="15">
      <c r="A612" s="4"/>
      <c r="B612" s="273">
        <f t="shared" si="85"/>
        <v>5</v>
      </c>
      <c r="C612" s="49" t="s">
        <v>466</v>
      </c>
      <c r="D612" s="76">
        <v>0</v>
      </c>
      <c r="E612" s="274">
        <f>B!E524+B!E525</f>
        <v>-99882</v>
      </c>
      <c r="F612" s="76">
        <v>0</v>
      </c>
      <c r="G612" s="274">
        <f>E506</f>
        <v>-102603</v>
      </c>
      <c r="H612" s="333" t="str">
        <f t="shared" si="82"/>
        <v>  Contested</v>
      </c>
      <c r="I612" s="334">
        <f t="shared" si="83"/>
        <v>0</v>
      </c>
      <c r="J612" s="274">
        <f t="shared" si="84"/>
        <v>2721</v>
      </c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:34" ht="15">
      <c r="A613" s="4"/>
      <c r="B613" s="273">
        <f t="shared" si="85"/>
        <v>6</v>
      </c>
      <c r="C613" s="49" t="s">
        <v>467</v>
      </c>
      <c r="D613" s="76">
        <f>B!D512</f>
        <v>98095.13999999998</v>
      </c>
      <c r="E613" s="274">
        <f>B!E512</f>
        <v>0</v>
      </c>
      <c r="F613" s="76">
        <v>0</v>
      </c>
      <c r="G613" s="274">
        <v>0</v>
      </c>
      <c r="H613" s="333" t="str">
        <f t="shared" si="82"/>
        <v>  Contested</v>
      </c>
      <c r="I613" s="334">
        <f t="shared" si="83"/>
        <v>98095</v>
      </c>
      <c r="J613" s="274">
        <f t="shared" si="84"/>
        <v>0</v>
      </c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34" ht="15">
      <c r="A614" s="4"/>
      <c r="B614" s="273">
        <f t="shared" si="85"/>
        <v>7</v>
      </c>
      <c r="C614" s="49" t="s">
        <v>468</v>
      </c>
      <c r="D614" s="76">
        <f>B!D513</f>
        <v>4427.279999999999</v>
      </c>
      <c r="E614" s="274">
        <f>B!E513</f>
        <v>0</v>
      </c>
      <c r="F614" s="76">
        <v>0</v>
      </c>
      <c r="G614" s="274">
        <v>0</v>
      </c>
      <c r="H614" s="333" t="str">
        <f t="shared" si="82"/>
        <v>  Contested</v>
      </c>
      <c r="I614" s="334">
        <f t="shared" si="83"/>
        <v>4427</v>
      </c>
      <c r="J614" s="274">
        <f t="shared" si="84"/>
        <v>0</v>
      </c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ht="15">
      <c r="A615" s="4"/>
      <c r="B615" s="273">
        <f t="shared" si="85"/>
        <v>8</v>
      </c>
      <c r="C615" s="49" t="s">
        <v>469</v>
      </c>
      <c r="D615" s="76">
        <f>B!D514</f>
        <v>21166.199999999997</v>
      </c>
      <c r="E615" s="274">
        <f>B!E514</f>
        <v>0</v>
      </c>
      <c r="F615" s="76">
        <f>D531</f>
        <v>-4335.51624</v>
      </c>
      <c r="G615" s="274">
        <f>E507</f>
        <v>0</v>
      </c>
      <c r="H615" s="333" t="str">
        <f t="shared" si="82"/>
        <v>  Contested</v>
      </c>
      <c r="I615" s="334">
        <f t="shared" si="83"/>
        <v>25502</v>
      </c>
      <c r="J615" s="274">
        <f t="shared" si="84"/>
        <v>0</v>
      </c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34" ht="15">
      <c r="A616" s="4"/>
      <c r="B616" s="273">
        <f t="shared" si="85"/>
        <v>9</v>
      </c>
      <c r="C616" s="49" t="s">
        <v>470</v>
      </c>
      <c r="D616" s="76">
        <f>B!D515</f>
        <v>1028.2799999999997</v>
      </c>
      <c r="E616" s="274">
        <f>B!E515</f>
        <v>0</v>
      </c>
      <c r="F616" s="76">
        <f>D508</f>
        <v>0</v>
      </c>
      <c r="G616" s="274">
        <f>E508</f>
        <v>0</v>
      </c>
      <c r="H616" s="333" t="str">
        <f t="shared" si="82"/>
        <v>  Contested</v>
      </c>
      <c r="I616" s="334">
        <f t="shared" si="83"/>
        <v>1028</v>
      </c>
      <c r="J616" s="274">
        <f t="shared" si="84"/>
        <v>0</v>
      </c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ht="15">
      <c r="A617" s="4"/>
      <c r="B617" s="273">
        <f t="shared" si="85"/>
        <v>10</v>
      </c>
      <c r="C617" s="49" t="s">
        <v>471</v>
      </c>
      <c r="D617" s="76">
        <f>B!D516</f>
        <v>0</v>
      </c>
      <c r="E617" s="274">
        <f>B!E516</f>
        <v>0</v>
      </c>
      <c r="F617" s="76">
        <f>D509</f>
        <v>0</v>
      </c>
      <c r="G617" s="274">
        <f>E509</f>
        <v>0</v>
      </c>
      <c r="H617" s="333" t="str">
        <f t="shared" si="82"/>
        <v>  Uncontested</v>
      </c>
      <c r="I617" s="334">
        <f t="shared" si="83"/>
        <v>0</v>
      </c>
      <c r="J617" s="274">
        <f t="shared" si="84"/>
        <v>0</v>
      </c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ht="15">
      <c r="A618" s="4"/>
      <c r="B618" s="273">
        <f t="shared" si="85"/>
        <v>11</v>
      </c>
      <c r="C618" s="49" t="s">
        <v>472</v>
      </c>
      <c r="D618" s="76">
        <f>B!D517</f>
        <v>375.53999999999996</v>
      </c>
      <c r="E618" s="274">
        <f>B!E517</f>
        <v>0</v>
      </c>
      <c r="F618" s="76">
        <f>D510</f>
        <v>0</v>
      </c>
      <c r="G618" s="274">
        <f>E510</f>
        <v>0</v>
      </c>
      <c r="H618" s="333" t="str">
        <f t="shared" si="82"/>
        <v>  Contested</v>
      </c>
      <c r="I618" s="334">
        <f t="shared" si="83"/>
        <v>376</v>
      </c>
      <c r="J618" s="274">
        <f t="shared" si="84"/>
        <v>0</v>
      </c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34" ht="15">
      <c r="A619" s="4"/>
      <c r="B619" s="273">
        <f t="shared" si="85"/>
        <v>12</v>
      </c>
      <c r="C619" s="49" t="s">
        <v>473</v>
      </c>
      <c r="D619" s="76">
        <f>B!D518</f>
        <v>-605.8799999999999</v>
      </c>
      <c r="E619" s="274">
        <f>B!E518</f>
        <v>0</v>
      </c>
      <c r="F619" s="76">
        <v>0</v>
      </c>
      <c r="G619" s="274">
        <v>0</v>
      </c>
      <c r="H619" s="333" t="str">
        <f t="shared" si="82"/>
        <v>  Contested</v>
      </c>
      <c r="I619" s="334">
        <f t="shared" si="83"/>
        <v>-606</v>
      </c>
      <c r="J619" s="274">
        <f t="shared" si="84"/>
        <v>0</v>
      </c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ht="15">
      <c r="A620" s="4"/>
      <c r="B620" s="273">
        <f t="shared" si="85"/>
        <v>13</v>
      </c>
      <c r="C620" s="49" t="s">
        <v>474</v>
      </c>
      <c r="D620" s="76">
        <f>B!D520</f>
        <v>0</v>
      </c>
      <c r="E620" s="274">
        <f>B!E520</f>
        <v>0</v>
      </c>
      <c r="F620" s="76">
        <v>0</v>
      </c>
      <c r="G620" s="274">
        <v>0</v>
      </c>
      <c r="H620" s="333" t="str">
        <f t="shared" si="82"/>
        <v>  Uncontested</v>
      </c>
      <c r="I620" s="334">
        <f t="shared" si="83"/>
        <v>0</v>
      </c>
      <c r="J620" s="274">
        <f t="shared" si="84"/>
        <v>0</v>
      </c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ht="15">
      <c r="A621" s="4"/>
      <c r="B621" s="273">
        <f t="shared" si="85"/>
        <v>14</v>
      </c>
      <c r="C621" s="49" t="s">
        <v>475</v>
      </c>
      <c r="D621" s="76">
        <f>B!D522</f>
        <v>24511.960000000006</v>
      </c>
      <c r="E621" s="274">
        <f>B!E522</f>
        <v>0</v>
      </c>
      <c r="F621" s="76">
        <v>0</v>
      </c>
      <c r="G621" s="274">
        <v>0</v>
      </c>
      <c r="H621" s="333" t="str">
        <f t="shared" si="82"/>
        <v>  Contested</v>
      </c>
      <c r="I621" s="334">
        <f t="shared" si="83"/>
        <v>24512</v>
      </c>
      <c r="J621" s="274">
        <f t="shared" si="84"/>
        <v>0</v>
      </c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:34" ht="15">
      <c r="A622" s="4"/>
      <c r="B622" s="273">
        <f t="shared" si="85"/>
        <v>15</v>
      </c>
      <c r="C622" s="49" t="s">
        <v>476</v>
      </c>
      <c r="D622" s="76">
        <f>B!D523</f>
        <v>0</v>
      </c>
      <c r="E622" s="274">
        <f>B!E523</f>
        <v>0</v>
      </c>
      <c r="F622" s="76">
        <v>0</v>
      </c>
      <c r="G622" s="274">
        <v>0</v>
      </c>
      <c r="H622" s="333" t="str">
        <f>IF(I622+J622&lt;&gt;0,+"  Contested",+"  Contested")</f>
        <v>  Contested</v>
      </c>
      <c r="I622" s="334">
        <f t="shared" si="83"/>
        <v>0</v>
      </c>
      <c r="J622" s="274">
        <f t="shared" si="84"/>
        <v>0</v>
      </c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ht="15">
      <c r="A623" s="4"/>
      <c r="B623" s="273">
        <f t="shared" si="85"/>
        <v>16</v>
      </c>
      <c r="C623" s="49" t="s">
        <v>477</v>
      </c>
      <c r="D623" s="76">
        <f>B!D526</f>
        <v>0</v>
      </c>
      <c r="E623" s="274">
        <f>B!E526</f>
        <v>240945</v>
      </c>
      <c r="F623" s="76">
        <f>D530</f>
        <v>0</v>
      </c>
      <c r="G623" s="274">
        <f>E530</f>
        <v>231387</v>
      </c>
      <c r="H623" s="333" t="str">
        <f>IF(I623+J623&lt;&gt;0,+"  Uncontested",+"  Uncontested")</f>
        <v>  Uncontested</v>
      </c>
      <c r="I623" s="334">
        <f t="shared" si="83"/>
        <v>0</v>
      </c>
      <c r="J623" s="274">
        <f t="shared" si="84"/>
        <v>9558</v>
      </c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:34" ht="15">
      <c r="A624" s="4"/>
      <c r="B624" s="273">
        <f t="shared" si="85"/>
        <v>17</v>
      </c>
      <c r="C624" s="49" t="s">
        <v>478</v>
      </c>
      <c r="D624" s="76">
        <f>B!D519</f>
        <v>76075.56</v>
      </c>
      <c r="E624" s="274">
        <v>0</v>
      </c>
      <c r="F624" s="76">
        <f>D506</f>
        <v>49982.46</v>
      </c>
      <c r="G624" s="274">
        <v>0</v>
      </c>
      <c r="H624" s="333" t="str">
        <f>IF(I624+J624&lt;&gt;0,+"  Contested",+"  Uncontested")</f>
        <v>  Contested</v>
      </c>
      <c r="I624" s="334">
        <f t="shared" si="83"/>
        <v>26093</v>
      </c>
      <c r="J624" s="274">
        <f t="shared" si="84"/>
        <v>0</v>
      </c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ht="15">
      <c r="A625" s="4"/>
      <c r="B625" s="273"/>
      <c r="C625" s="49"/>
      <c r="D625" s="76"/>
      <c r="E625" s="274"/>
      <c r="F625" s="76"/>
      <c r="G625" s="274"/>
      <c r="H625" s="333"/>
      <c r="I625" s="334"/>
      <c r="J625" s="27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34" ht="15.75">
      <c r="A626" s="4"/>
      <c r="B626" s="273">
        <f>B624+1</f>
        <v>18</v>
      </c>
      <c r="C626" s="199" t="s">
        <v>387</v>
      </c>
      <c r="D626" s="277">
        <f>SUM(D610:D624)</f>
        <v>93848.92000000001</v>
      </c>
      <c r="E626" s="335">
        <f>SUM(E610:E624)</f>
        <v>141063</v>
      </c>
      <c r="F626" s="277">
        <f>SUM(F610:F624)</f>
        <v>-107246.7171864</v>
      </c>
      <c r="G626" s="335">
        <f>SUM(G610:G624)</f>
        <v>128784</v>
      </c>
      <c r="H626" s="311"/>
      <c r="I626" s="336"/>
      <c r="J626" s="337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:34" ht="15.75">
      <c r="A627" s="4"/>
      <c r="B627" s="273"/>
      <c r="C627" s="199"/>
      <c r="D627" s="277"/>
      <c r="E627" s="335"/>
      <c r="F627" s="277"/>
      <c r="G627" s="335"/>
      <c r="H627" s="338"/>
      <c r="I627" s="339"/>
      <c r="J627" s="28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:34" ht="15.75">
      <c r="A628" s="4"/>
      <c r="B628" s="273">
        <f>B626+1</f>
        <v>19</v>
      </c>
      <c r="C628" s="199" t="s">
        <v>389</v>
      </c>
      <c r="D628" s="277">
        <f>D606+D626</f>
        <v>691819.88</v>
      </c>
      <c r="E628" s="335">
        <f>E606+E626</f>
        <v>5205531</v>
      </c>
      <c r="F628" s="277">
        <f>F606+F626</f>
        <v>490724.2428136</v>
      </c>
      <c r="G628" s="335">
        <f>G606+G626</f>
        <v>5198695</v>
      </c>
      <c r="H628" s="311"/>
      <c r="I628" s="336"/>
      <c r="J628" s="337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ht="15.75">
      <c r="A629" s="4"/>
      <c r="B629" s="273">
        <f>B628+1</f>
        <v>20</v>
      </c>
      <c r="C629" s="199" t="s">
        <v>479</v>
      </c>
      <c r="D629" s="292"/>
      <c r="E629" s="281">
        <f>D628/+E628</f>
        <v>0.13290092403637593</v>
      </c>
      <c r="F629" s="296"/>
      <c r="G629" s="281">
        <f>F628/+G628</f>
        <v>0.09439373589210369</v>
      </c>
      <c r="H629" s="338"/>
      <c r="I629" s="339"/>
      <c r="J629" s="28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:34" ht="15.75">
      <c r="A630" s="4"/>
      <c r="B630" s="273"/>
      <c r="C630" s="199"/>
      <c r="D630" s="292"/>
      <c r="E630" s="337"/>
      <c r="F630" s="292"/>
      <c r="G630" s="281"/>
      <c r="H630" s="338"/>
      <c r="I630" s="339"/>
      <c r="J630" s="28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ht="15.75">
      <c r="A631" s="4"/>
      <c r="B631" s="273"/>
      <c r="C631" s="285" t="s">
        <v>390</v>
      </c>
      <c r="D631" s="265"/>
      <c r="E631" s="340"/>
      <c r="F631" s="265"/>
      <c r="G631" s="204"/>
      <c r="H631" s="333"/>
      <c r="I631" s="334"/>
      <c r="J631" s="27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:34" ht="15">
      <c r="A632" s="4"/>
      <c r="B632" s="273">
        <f>B629+1</f>
        <v>21</v>
      </c>
      <c r="C632" s="49" t="s">
        <v>480</v>
      </c>
      <c r="D632" s="76">
        <f>B!D533</f>
        <v>-94050.65999999999</v>
      </c>
      <c r="E632" s="274">
        <f>B!E533</f>
        <v>0</v>
      </c>
      <c r="F632" s="76">
        <f aca="true" t="shared" si="86" ref="F632:F642">D519</f>
        <v>-99459.7325568</v>
      </c>
      <c r="G632" s="274">
        <f aca="true" t="shared" si="87" ref="G632:G642">E519</f>
        <v>0</v>
      </c>
      <c r="H632" s="333" t="str">
        <f aca="true" t="shared" si="88" ref="H632:H638">IF(I632+J632&lt;&gt;0,+"  Contested",+"  Uncontested")</f>
        <v>  Contested</v>
      </c>
      <c r="I632" s="334">
        <f aca="true" t="shared" si="89" ref="I632:I643">ROUND(+D632-F632,0)</f>
        <v>5409</v>
      </c>
      <c r="J632" s="274">
        <f aca="true" t="shared" si="90" ref="J632:J643">ROUND(+E632-G632,0)</f>
        <v>0</v>
      </c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34" ht="15">
      <c r="A633" s="4"/>
      <c r="B633" s="273">
        <f aca="true" t="shared" si="91" ref="B633:B643">B632+1</f>
        <v>22</v>
      </c>
      <c r="C633" s="49" t="s">
        <v>481</v>
      </c>
      <c r="D633" s="76">
        <v>0</v>
      </c>
      <c r="E633" s="274">
        <v>0</v>
      </c>
      <c r="F633" s="76">
        <f t="shared" si="86"/>
        <v>-28477.7951238</v>
      </c>
      <c r="G633" s="274">
        <f t="shared" si="87"/>
        <v>0</v>
      </c>
      <c r="H633" s="333" t="str">
        <f t="shared" si="88"/>
        <v>  Contested</v>
      </c>
      <c r="I633" s="334">
        <f t="shared" si="89"/>
        <v>28478</v>
      </c>
      <c r="J633" s="274">
        <f t="shared" si="90"/>
        <v>0</v>
      </c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ht="15">
      <c r="A634" s="4"/>
      <c r="B634" s="273">
        <f t="shared" si="91"/>
        <v>23</v>
      </c>
      <c r="C634" s="49" t="s">
        <v>482</v>
      </c>
      <c r="D634" s="76">
        <f>B!D534</f>
        <v>-32866.67999999999</v>
      </c>
      <c r="E634" s="274">
        <f>B!E534</f>
        <v>0</v>
      </c>
      <c r="F634" s="76">
        <f t="shared" si="86"/>
        <v>-32866.68</v>
      </c>
      <c r="G634" s="274">
        <f t="shared" si="87"/>
        <v>0</v>
      </c>
      <c r="H634" s="333" t="str">
        <f t="shared" si="88"/>
        <v>  Uncontested</v>
      </c>
      <c r="I634" s="334">
        <f t="shared" si="89"/>
        <v>0</v>
      </c>
      <c r="J634" s="274">
        <f t="shared" si="90"/>
        <v>0</v>
      </c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:34" ht="15">
      <c r="A635" s="4"/>
      <c r="B635" s="273">
        <f t="shared" si="91"/>
        <v>24</v>
      </c>
      <c r="C635" s="49" t="s">
        <v>483</v>
      </c>
      <c r="D635" s="76">
        <f>B!D539</f>
        <v>-4179.779999999999</v>
      </c>
      <c r="E635" s="274">
        <f>B!E539</f>
        <v>0</v>
      </c>
      <c r="F635" s="76">
        <f t="shared" si="86"/>
        <v>-14894.22</v>
      </c>
      <c r="G635" s="274">
        <f t="shared" si="87"/>
        <v>0</v>
      </c>
      <c r="H635" s="333" t="str">
        <f t="shared" si="88"/>
        <v>  Contested</v>
      </c>
      <c r="I635" s="334">
        <f t="shared" si="89"/>
        <v>10714</v>
      </c>
      <c r="J635" s="274">
        <f t="shared" si="90"/>
        <v>0</v>
      </c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:34" ht="15">
      <c r="A636" s="4"/>
      <c r="B636" s="273">
        <f t="shared" si="91"/>
        <v>25</v>
      </c>
      <c r="C636" s="49" t="s">
        <v>484</v>
      </c>
      <c r="D636" s="76">
        <f>B!D537+B!D538</f>
        <v>-32159.819999999992</v>
      </c>
      <c r="E636" s="274">
        <f>B!E537+B!E538</f>
        <v>0</v>
      </c>
      <c r="F636" s="76">
        <f t="shared" si="86"/>
        <v>-31784.28</v>
      </c>
      <c r="G636" s="274">
        <f t="shared" si="87"/>
        <v>0</v>
      </c>
      <c r="H636" s="333" t="str">
        <f t="shared" si="88"/>
        <v>  Contested</v>
      </c>
      <c r="I636" s="334">
        <f t="shared" si="89"/>
        <v>-376</v>
      </c>
      <c r="J636" s="274">
        <f t="shared" si="90"/>
        <v>0</v>
      </c>
      <c r="K636" s="4"/>
      <c r="L636" s="4"/>
      <c r="M636" s="4"/>
      <c r="N636" s="4"/>
      <c r="O636" s="333" t="e">
        <f>#VALUE!</f>
        <v>#VALUE!</v>
      </c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ht="15">
      <c r="A637" s="4"/>
      <c r="B637" s="273">
        <f t="shared" si="91"/>
        <v>26</v>
      </c>
      <c r="C637" s="49" t="s">
        <v>485</v>
      </c>
      <c r="D637" s="76">
        <f>B!D536</f>
        <v>-15785.879999999997</v>
      </c>
      <c r="E637" s="274">
        <f>B!E536</f>
        <v>0</v>
      </c>
      <c r="F637" s="76">
        <f t="shared" si="86"/>
        <v>-15785.88</v>
      </c>
      <c r="G637" s="274">
        <f t="shared" si="87"/>
        <v>0</v>
      </c>
      <c r="H637" s="333" t="str">
        <f t="shared" si="88"/>
        <v>  Uncontested</v>
      </c>
      <c r="I637" s="334">
        <f t="shared" si="89"/>
        <v>0</v>
      </c>
      <c r="J637" s="274">
        <f t="shared" si="90"/>
        <v>0</v>
      </c>
      <c r="K637" s="4"/>
      <c r="L637" s="4"/>
      <c r="M637" s="4"/>
      <c r="N637" s="4"/>
      <c r="O637" s="333" t="e">
        <f>#VALUE!</f>
        <v>#VALUE!</v>
      </c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:34" ht="15">
      <c r="A638" s="4"/>
      <c r="B638" s="273">
        <f t="shared" si="91"/>
        <v>27</v>
      </c>
      <c r="C638" s="49" t="s">
        <v>486</v>
      </c>
      <c r="D638" s="76">
        <f>B!D535</f>
        <v>-30587.699999999997</v>
      </c>
      <c r="E638" s="274">
        <f>B!E535</f>
        <v>0</v>
      </c>
      <c r="F638" s="76">
        <f t="shared" si="86"/>
        <v>-30587.699999999997</v>
      </c>
      <c r="G638" s="274">
        <f t="shared" si="87"/>
        <v>0</v>
      </c>
      <c r="H638" s="333" t="str">
        <f t="shared" si="88"/>
        <v>  Uncontested</v>
      </c>
      <c r="I638" s="334">
        <f t="shared" si="89"/>
        <v>0</v>
      </c>
      <c r="J638" s="274">
        <f t="shared" si="90"/>
        <v>0</v>
      </c>
      <c r="K638" s="4"/>
      <c r="L638" s="4"/>
      <c r="M638" s="4"/>
      <c r="N638" s="4"/>
      <c r="O638" s="333" t="e">
        <f>#VALUE!</f>
        <v>#VALUE!</v>
      </c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:34" ht="15">
      <c r="A639" s="4"/>
      <c r="B639" s="273">
        <f t="shared" si="91"/>
        <v>28</v>
      </c>
      <c r="C639" s="49" t="s">
        <v>487</v>
      </c>
      <c r="D639" s="76">
        <v>0</v>
      </c>
      <c r="E639" s="274">
        <v>0</v>
      </c>
      <c r="F639" s="76">
        <f t="shared" si="86"/>
        <v>0</v>
      </c>
      <c r="G639" s="274" t="e">
        <f t="shared" si="87"/>
        <v>#VALUE!</v>
      </c>
      <c r="H639" s="333" t="e">
        <f>IF(I639+J639&lt;&gt;0,+"        NA",+"         NA")</f>
        <v>#VALUE!</v>
      </c>
      <c r="I639" s="334">
        <f t="shared" si="89"/>
        <v>0</v>
      </c>
      <c r="J639" s="274" t="e">
        <f t="shared" si="90"/>
        <v>#VALUE!</v>
      </c>
      <c r="K639" s="4"/>
      <c r="L639" s="4"/>
      <c r="M639" s="4"/>
      <c r="N639" s="4"/>
      <c r="O639" s="333" t="e">
        <f>#VALUE!</f>
        <v>#VALUE!</v>
      </c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ht="15">
      <c r="A640" s="4"/>
      <c r="B640" s="273">
        <f t="shared" si="91"/>
        <v>29</v>
      </c>
      <c r="C640" s="49" t="s">
        <v>488</v>
      </c>
      <c r="D640" s="76">
        <f>B!D541</f>
        <v>-6097.74</v>
      </c>
      <c r="E640" s="274">
        <f>B!E541</f>
        <v>42506</v>
      </c>
      <c r="F640" s="76">
        <f t="shared" si="86"/>
        <v>-6097.74</v>
      </c>
      <c r="G640" s="274">
        <f t="shared" si="87"/>
        <v>42506</v>
      </c>
      <c r="H640" s="333" t="str">
        <f>IF(I640+J640&lt;&gt;0,+"  Contested",+"  Uncontested")</f>
        <v>  Uncontested</v>
      </c>
      <c r="I640" s="334">
        <f t="shared" si="89"/>
        <v>0</v>
      </c>
      <c r="J640" s="274">
        <f t="shared" si="90"/>
        <v>0</v>
      </c>
      <c r="K640" s="4"/>
      <c r="L640" s="4"/>
      <c r="M640" s="4"/>
      <c r="N640" s="4"/>
      <c r="O640" s="333" t="e">
        <f>#VALUE!</f>
        <v>#VALUE!</v>
      </c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:34" ht="15">
      <c r="A641" s="4"/>
      <c r="B641" s="273">
        <f t="shared" si="91"/>
        <v>30</v>
      </c>
      <c r="C641" s="49" t="s">
        <v>489</v>
      </c>
      <c r="D641" s="76">
        <f>B!D542</f>
        <v>3458.3999999999996</v>
      </c>
      <c r="E641" s="274">
        <f>B!E542</f>
        <v>-25409</v>
      </c>
      <c r="F641" s="76">
        <f t="shared" si="86"/>
        <v>0</v>
      </c>
      <c r="G641" s="274">
        <f t="shared" si="87"/>
        <v>24499</v>
      </c>
      <c r="H641" s="333" t="str">
        <f>IF(I641+J641&lt;&gt;0,+"  Contested",+"  Uncontested")</f>
        <v>  Contested</v>
      </c>
      <c r="I641" s="334">
        <f t="shared" si="89"/>
        <v>3458</v>
      </c>
      <c r="J641" s="274">
        <f t="shared" si="90"/>
        <v>-49908</v>
      </c>
      <c r="K641" s="4"/>
      <c r="L641" s="4"/>
      <c r="M641" s="4"/>
      <c r="N641" s="4"/>
      <c r="O641" s="333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ht="15">
      <c r="A642" s="4"/>
      <c r="B642" s="273">
        <f t="shared" si="91"/>
        <v>31</v>
      </c>
      <c r="C642" s="49" t="s">
        <v>490</v>
      </c>
      <c r="D642" s="76">
        <v>0</v>
      </c>
      <c r="E642" s="274">
        <v>0</v>
      </c>
      <c r="F642" s="76">
        <f t="shared" si="86"/>
        <v>-4185.719999999999</v>
      </c>
      <c r="G642" s="274">
        <f t="shared" si="87"/>
        <v>0</v>
      </c>
      <c r="H642" s="333" t="str">
        <f>IF(I642+J642&lt;&gt;0,+"  Contested",+"  Uncontested")</f>
        <v>  Contested</v>
      </c>
      <c r="I642" s="334">
        <f t="shared" si="89"/>
        <v>4186</v>
      </c>
      <c r="J642" s="274">
        <f t="shared" si="90"/>
        <v>0</v>
      </c>
      <c r="K642" s="4"/>
      <c r="L642" s="4"/>
      <c r="M642" s="4"/>
      <c r="N642" s="4"/>
      <c r="O642" s="333" t="e">
        <f>#VALUE!</f>
        <v>#VALUE!</v>
      </c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ht="15">
      <c r="A643" s="4"/>
      <c r="B643" s="273">
        <f t="shared" si="91"/>
        <v>32</v>
      </c>
      <c r="C643" s="49" t="s">
        <v>491</v>
      </c>
      <c r="D643" s="76">
        <f>B!D543</f>
        <v>-46444.34000000001</v>
      </c>
      <c r="E643" s="274">
        <f>B!E543</f>
        <v>0</v>
      </c>
      <c r="F643" s="76">
        <f>D530</f>
        <v>0</v>
      </c>
      <c r="G643" s="274">
        <v>0</v>
      </c>
      <c r="H643" s="333" t="str">
        <f>IF(I643+J643&lt;&gt;0,+"  Contested",+"  Uncontested")</f>
        <v>  Contested</v>
      </c>
      <c r="I643" s="334">
        <f t="shared" si="89"/>
        <v>-46444</v>
      </c>
      <c r="J643" s="274">
        <f t="shared" si="90"/>
        <v>0</v>
      </c>
      <c r="K643" s="4"/>
      <c r="L643" s="4"/>
      <c r="M643" s="4"/>
      <c r="N643" s="4"/>
      <c r="O643" s="333" t="e">
        <f>#VALUE!</f>
        <v>#VALUE!</v>
      </c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ht="15">
      <c r="A644" s="4"/>
      <c r="B644" s="273"/>
      <c r="C644" s="49"/>
      <c r="D644" s="76"/>
      <c r="E644" s="274"/>
      <c r="F644" s="76"/>
      <c r="G644" s="274"/>
      <c r="H644" s="333"/>
      <c r="I644" s="334"/>
      <c r="J644" s="27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ht="15.75">
      <c r="A645" s="4"/>
      <c r="B645" s="273">
        <f>B643+1</f>
        <v>33</v>
      </c>
      <c r="C645" s="199" t="s">
        <v>413</v>
      </c>
      <c r="D645" s="277">
        <f>SUM(D632:D644)</f>
        <v>-258714.2</v>
      </c>
      <c r="E645" s="335">
        <f>SUM(E632:E644)</f>
        <v>17097</v>
      </c>
      <c r="F645" s="277">
        <f>SUM(F632:F644)</f>
        <v>-264139.7476806</v>
      </c>
      <c r="G645" s="335" t="e">
        <f>SUM(G632:G644)</f>
        <v>#VALUE!</v>
      </c>
      <c r="H645" s="311"/>
      <c r="I645" s="336"/>
      <c r="J645" s="337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:34" ht="15">
      <c r="A646" s="4"/>
      <c r="B646" s="273"/>
      <c r="C646" s="49"/>
      <c r="D646" s="296"/>
      <c r="E646" s="247"/>
      <c r="F646" s="296"/>
      <c r="G646" s="341"/>
      <c r="H646" s="338"/>
      <c r="I646" s="339"/>
      <c r="J646" s="28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ht="15.75">
      <c r="A647" s="4"/>
      <c r="B647" s="273">
        <f>B645+1</f>
        <v>34</v>
      </c>
      <c r="C647" s="199" t="s">
        <v>414</v>
      </c>
      <c r="D647" s="277">
        <f>D628+D645</f>
        <v>433105.68</v>
      </c>
      <c r="E647" s="335">
        <f>E628+E645</f>
        <v>5222628</v>
      </c>
      <c r="F647" s="277">
        <f>F628+F645</f>
        <v>226584.49513300002</v>
      </c>
      <c r="G647" s="335" t="e">
        <f>G628+G645</f>
        <v>#VALUE!</v>
      </c>
      <c r="H647" s="311"/>
      <c r="I647" s="336"/>
      <c r="J647" s="337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:34" ht="15.75">
      <c r="A648" s="4"/>
      <c r="B648" s="273">
        <f>B647+1</f>
        <v>35</v>
      </c>
      <c r="C648" s="199" t="s">
        <v>492</v>
      </c>
      <c r="D648" s="296"/>
      <c r="E648" s="281">
        <f>D647/+E647</f>
        <v>0.08292868647738265</v>
      </c>
      <c r="F648" s="296"/>
      <c r="G648" s="281" t="e">
        <f>F647/+G647</f>
        <v>#VALUE!</v>
      </c>
      <c r="H648" s="338"/>
      <c r="I648" s="339"/>
      <c r="J648" s="28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:34" ht="15">
      <c r="A649" s="4"/>
      <c r="B649" s="273"/>
      <c r="C649" s="49"/>
      <c r="D649" s="296"/>
      <c r="E649" s="247"/>
      <c r="F649" s="296"/>
      <c r="G649" s="341"/>
      <c r="H649" s="338"/>
      <c r="I649" s="339"/>
      <c r="J649" s="28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:34" ht="15.75">
      <c r="A650" s="4"/>
      <c r="B650" s="273">
        <f>B648+1</f>
        <v>36</v>
      </c>
      <c r="C650" s="199" t="s">
        <v>493</v>
      </c>
      <c r="D650" s="302">
        <f>B!D549</f>
        <v>17084.8535999998</v>
      </c>
      <c r="E650" s="342">
        <f>B!J228</f>
        <v>0</v>
      </c>
      <c r="F650" s="302">
        <f>D537</f>
        <v>271846.1306369996</v>
      </c>
      <c r="G650" s="342">
        <v>0</v>
      </c>
      <c r="H650" s="333"/>
      <c r="I650" s="334"/>
      <c r="J650" s="274"/>
      <c r="K650" s="4"/>
      <c r="L650" s="4"/>
      <c r="M650" s="4"/>
      <c r="N650" s="4"/>
      <c r="O650" s="302">
        <f>N188</f>
        <v>0</v>
      </c>
      <c r="P650" s="342">
        <f>N228</f>
        <v>0</v>
      </c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:34" ht="15.75">
      <c r="A651" s="4"/>
      <c r="B651" s="273"/>
      <c r="C651" s="199"/>
      <c r="D651" s="75"/>
      <c r="E651" s="244"/>
      <c r="F651" s="75"/>
      <c r="G651" s="274"/>
      <c r="H651" s="333"/>
      <c r="I651" s="334"/>
      <c r="J651" s="274"/>
      <c r="K651" s="4"/>
      <c r="L651" s="1"/>
      <c r="M651" s="1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ht="15.75">
      <c r="A652" s="4"/>
      <c r="B652" s="273">
        <f>B650+1</f>
        <v>37</v>
      </c>
      <c r="C652" s="199" t="s">
        <v>494</v>
      </c>
      <c r="D652" s="277">
        <f>D647+D650</f>
        <v>450190.5335999998</v>
      </c>
      <c r="E652" s="335">
        <f>E647+E650</f>
        <v>5222628</v>
      </c>
      <c r="F652" s="277">
        <f>F647+F650</f>
        <v>498430.62576999963</v>
      </c>
      <c r="G652" s="335" t="e">
        <f>G647+G650</f>
        <v>#VALUE!</v>
      </c>
      <c r="H652" s="311"/>
      <c r="I652" s="336"/>
      <c r="J652" s="337"/>
      <c r="K652" s="4"/>
      <c r="L652" s="1"/>
      <c r="M652" s="1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34" ht="15.75">
      <c r="A653" s="4"/>
      <c r="B653" s="273">
        <f>B652+1</f>
        <v>38</v>
      </c>
      <c r="C653" s="199" t="s">
        <v>495</v>
      </c>
      <c r="D653" s="277"/>
      <c r="E653" s="281">
        <f>D652/+E652</f>
        <v>0.08619999999999996</v>
      </c>
      <c r="F653" s="296"/>
      <c r="G653" s="281" t="e">
        <f>F652/+G652</f>
        <v>#VALUE!</v>
      </c>
      <c r="H653" s="311"/>
      <c r="I653" s="336"/>
      <c r="J653" s="337"/>
      <c r="K653" s="4"/>
      <c r="L653" s="1"/>
      <c r="M653" s="1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4" ht="15">
      <c r="A654" s="4"/>
      <c r="B654" s="305"/>
      <c r="C654" s="306"/>
      <c r="D654" s="307"/>
      <c r="E654" s="310"/>
      <c r="F654" s="307"/>
      <c r="G654" s="310"/>
      <c r="H654" s="343"/>
      <c r="I654" s="344"/>
      <c r="J654" s="310"/>
      <c r="K654" s="4"/>
      <c r="L654" s="1"/>
      <c r="M654" s="1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ht="15">
      <c r="A656" s="4"/>
      <c r="B656" s="4"/>
      <c r="C656" s="4"/>
      <c r="D656" s="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:34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:34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:34" ht="21.75" customHeight="1">
      <c r="A659" s="4"/>
      <c r="B659" s="8" t="str">
        <f>B340</f>
        <v>RAINIER VIEW WATER CO., INC.</v>
      </c>
      <c r="C659" s="57"/>
      <c r="D659" s="255"/>
      <c r="E659" s="255"/>
      <c r="F659" s="256"/>
      <c r="G659" s="254"/>
      <c r="H659" s="256"/>
      <c r="I659" s="254" t="str">
        <f>G341</f>
        <v>Docket No. UW-010877</v>
      </c>
      <c r="J659" s="256"/>
      <c r="K659" s="13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ht="15.75">
      <c r="A660" s="4"/>
      <c r="B660" s="265" t="s">
        <v>496</v>
      </c>
      <c r="C660" s="199"/>
      <c r="D660" s="49"/>
      <c r="E660" s="49"/>
      <c r="F660" s="49"/>
      <c r="G660" s="49"/>
      <c r="H660" s="49"/>
      <c r="I660" s="49" t="s">
        <v>252</v>
      </c>
      <c r="J660" s="49"/>
      <c r="K660" s="18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ht="15.75">
      <c r="A661" s="4"/>
      <c r="B661" s="265" t="s">
        <v>497</v>
      </c>
      <c r="C661" s="199"/>
      <c r="D661" s="49"/>
      <c r="E661" s="49"/>
      <c r="F661" s="49"/>
      <c r="G661" s="49"/>
      <c r="H661" s="49"/>
      <c r="I661" s="49"/>
      <c r="J661" s="49"/>
      <c r="K661" s="18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34" ht="15.75">
      <c r="A662" s="4"/>
      <c r="B662" s="76"/>
      <c r="C662" s="262"/>
      <c r="D662" s="49"/>
      <c r="E662" s="49"/>
      <c r="F662" s="49"/>
      <c r="G662" s="49"/>
      <c r="H662" s="49"/>
      <c r="I662" s="49"/>
      <c r="J662" s="49"/>
      <c r="K662" s="18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:34" ht="15.75">
      <c r="A663" s="4"/>
      <c r="B663" s="265"/>
      <c r="C663" s="262"/>
      <c r="D663" s="49"/>
      <c r="E663" s="49"/>
      <c r="F663" s="49"/>
      <c r="G663" s="345" t="s">
        <v>498</v>
      </c>
      <c r="H663" s="346"/>
      <c r="I663" s="54" t="s">
        <v>499</v>
      </c>
      <c r="J663" s="54"/>
      <c r="K663" s="347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:34" ht="15.75">
      <c r="A664" s="4"/>
      <c r="B664" s="265"/>
      <c r="C664" s="199"/>
      <c r="D664" s="49"/>
      <c r="E664" s="49"/>
      <c r="F664" s="276" t="s">
        <v>136</v>
      </c>
      <c r="G664" s="348" t="s">
        <v>500</v>
      </c>
      <c r="H664" s="349" t="s">
        <v>501</v>
      </c>
      <c r="I664" s="348" t="s">
        <v>502</v>
      </c>
      <c r="J664" s="349" t="s">
        <v>502</v>
      </c>
      <c r="K664" s="21" t="s">
        <v>503</v>
      </c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ht="15.75">
      <c r="A665" s="4"/>
      <c r="B665" s="265" t="s">
        <v>14</v>
      </c>
      <c r="C665" s="199"/>
      <c r="D665" s="276" t="s">
        <v>504</v>
      </c>
      <c r="E665" s="276" t="s">
        <v>504</v>
      </c>
      <c r="F665" s="276" t="s">
        <v>505</v>
      </c>
      <c r="G665" s="348" t="s">
        <v>506</v>
      </c>
      <c r="H665" s="349" t="s">
        <v>506</v>
      </c>
      <c r="I665" s="276" t="s">
        <v>507</v>
      </c>
      <c r="J665" s="349" t="s">
        <v>507</v>
      </c>
      <c r="K665" s="21" t="s">
        <v>508</v>
      </c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:34" ht="15.75">
      <c r="A666" s="4"/>
      <c r="B666" s="265" t="s">
        <v>18</v>
      </c>
      <c r="C666" s="263" t="s">
        <v>19</v>
      </c>
      <c r="D666" s="276" t="s">
        <v>509</v>
      </c>
      <c r="E666" s="276" t="s">
        <v>510</v>
      </c>
      <c r="F666" s="276" t="s">
        <v>511</v>
      </c>
      <c r="G666" s="348" t="s">
        <v>139</v>
      </c>
      <c r="H666" s="349" t="s">
        <v>139</v>
      </c>
      <c r="I666" s="276" t="s">
        <v>512</v>
      </c>
      <c r="J666" s="349" t="s">
        <v>513</v>
      </c>
      <c r="K666" s="21" t="s">
        <v>514</v>
      </c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1:34" ht="15.75">
      <c r="A667" s="4"/>
      <c r="B667" s="267"/>
      <c r="C667" s="268" t="s">
        <v>25</v>
      </c>
      <c r="D667" s="269" t="s">
        <v>26</v>
      </c>
      <c r="E667" s="270" t="s">
        <v>27</v>
      </c>
      <c r="F667" s="350" t="s">
        <v>28</v>
      </c>
      <c r="G667" s="270" t="s">
        <v>29</v>
      </c>
      <c r="H667" s="270" t="s">
        <v>30</v>
      </c>
      <c r="I667" s="270" t="s">
        <v>31</v>
      </c>
      <c r="J667" s="270" t="s">
        <v>32</v>
      </c>
      <c r="K667" s="272" t="s">
        <v>33</v>
      </c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:34" ht="15">
      <c r="A668" s="4"/>
      <c r="B668" s="273"/>
      <c r="C668" s="49"/>
      <c r="D668" s="76"/>
      <c r="E668" s="222"/>
      <c r="F668" s="351"/>
      <c r="G668" s="222"/>
      <c r="H668" s="222"/>
      <c r="I668" s="222"/>
      <c r="J668" s="222"/>
      <c r="K668" s="27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:34" ht="15">
      <c r="A669" s="4"/>
      <c r="B669" s="273"/>
      <c r="C669" s="352" t="s">
        <v>515</v>
      </c>
      <c r="D669" s="76"/>
      <c r="E669" s="222"/>
      <c r="F669" s="351"/>
      <c r="G669" s="222"/>
      <c r="H669" s="222"/>
      <c r="I669" s="222"/>
      <c r="J669" s="222"/>
      <c r="K669" s="27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:34" ht="15">
      <c r="A670" s="4"/>
      <c r="B670" s="273">
        <v>1</v>
      </c>
      <c r="C670" s="49" t="s">
        <v>516</v>
      </c>
      <c r="D670" s="75">
        <v>12217912.79</v>
      </c>
      <c r="E670" s="228">
        <v>13051235.73</v>
      </c>
      <c r="F670" s="353">
        <f>AVERAGE(D670:E670)</f>
        <v>12634574.26</v>
      </c>
      <c r="G670" s="228">
        <f>G93</f>
        <v>12634574</v>
      </c>
      <c r="H670" s="228">
        <f>B!G97</f>
        <v>12634574</v>
      </c>
      <c r="I670" s="228"/>
      <c r="J670" s="228"/>
      <c r="K670" s="24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ht="15">
      <c r="A671" s="4"/>
      <c r="B671" s="273">
        <f>B670+1</f>
        <v>2</v>
      </c>
      <c r="C671" s="49" t="s">
        <v>517</v>
      </c>
      <c r="D671" s="76">
        <v>-2084175.53</v>
      </c>
      <c r="E671" s="222">
        <v>-2663652</v>
      </c>
      <c r="F671" s="351">
        <f>AVERAGE(D671:E671)</f>
        <v>-2373913.765</v>
      </c>
      <c r="G671" s="222">
        <f>-G100</f>
        <v>-2373914</v>
      </c>
      <c r="H671" s="222">
        <f>-B!G106</f>
        <v>-2376635</v>
      </c>
      <c r="I671" s="222"/>
      <c r="J671" s="222"/>
      <c r="K671" s="27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:34" ht="15.75">
      <c r="A672" s="4"/>
      <c r="B672" s="273">
        <f>B671+1</f>
        <v>3</v>
      </c>
      <c r="C672" s="199" t="s">
        <v>518</v>
      </c>
      <c r="D672" s="77">
        <f>D670+D671</f>
        <v>10133737.26</v>
      </c>
      <c r="E672" s="354">
        <f>E670+E671</f>
        <v>10387583.73</v>
      </c>
      <c r="F672" s="354">
        <f>F670+F671</f>
        <v>10260660.495</v>
      </c>
      <c r="G672" s="354">
        <f>G670+G671</f>
        <v>10260660</v>
      </c>
      <c r="H672" s="354">
        <f>H670+H671</f>
        <v>10257939</v>
      </c>
      <c r="I672" s="354"/>
      <c r="J672" s="354"/>
      <c r="K672" s="355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ht="15">
      <c r="A673" s="4"/>
      <c r="B673" s="273"/>
      <c r="C673" s="49"/>
      <c r="D673" s="76"/>
      <c r="E673" s="222"/>
      <c r="F673" s="351"/>
      <c r="G673" s="222"/>
      <c r="H673" s="222"/>
      <c r="I673" s="222"/>
      <c r="J673" s="222"/>
      <c r="K673" s="27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34" ht="15">
      <c r="A674" s="4"/>
      <c r="B674" s="273"/>
      <c r="C674" s="352" t="s">
        <v>519</v>
      </c>
      <c r="D674" s="76"/>
      <c r="E674" s="222"/>
      <c r="F674" s="351"/>
      <c r="G674" s="222"/>
      <c r="H674" s="222"/>
      <c r="I674" s="222"/>
      <c r="J674" s="222"/>
      <c r="K674" s="27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ht="15">
      <c r="A675" s="4"/>
      <c r="B675" s="273">
        <f>B672+1</f>
        <v>4</v>
      </c>
      <c r="C675" s="49" t="s">
        <v>520</v>
      </c>
      <c r="D675" s="76">
        <v>98202.23</v>
      </c>
      <c r="E675" s="222">
        <v>58251.33</v>
      </c>
      <c r="F675" s="351">
        <f aca="true" t="shared" si="92" ref="F675:F680">AVERAGE(D675:E675)</f>
        <v>78226.78</v>
      </c>
      <c r="G675" s="222"/>
      <c r="H675" s="222"/>
      <c r="I675" s="222"/>
      <c r="J675" s="222"/>
      <c r="K675" s="27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ht="15">
      <c r="A676" s="4"/>
      <c r="B676" s="273">
        <f aca="true" t="shared" si="93" ref="B676:B681">B675+1</f>
        <v>5</v>
      </c>
      <c r="C676" s="49" t="s">
        <v>521</v>
      </c>
      <c r="D676" s="76">
        <v>42262.82</v>
      </c>
      <c r="E676" s="222">
        <v>65493.76</v>
      </c>
      <c r="F676" s="351">
        <f t="shared" si="92"/>
        <v>53878.29</v>
      </c>
      <c r="G676" s="222"/>
      <c r="H676" s="222"/>
      <c r="I676" s="222"/>
      <c r="J676" s="222"/>
      <c r="K676" s="27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ht="15">
      <c r="A677" s="4"/>
      <c r="B677" s="273">
        <f t="shared" si="93"/>
        <v>6</v>
      </c>
      <c r="C677" s="49" t="s">
        <v>522</v>
      </c>
      <c r="D677" s="76">
        <v>525228.66</v>
      </c>
      <c r="E677" s="222">
        <v>736357.82</v>
      </c>
      <c r="F677" s="351">
        <f t="shared" si="92"/>
        <v>630793.24</v>
      </c>
      <c r="G677" s="222"/>
      <c r="H677" s="222"/>
      <c r="I677" s="222"/>
      <c r="J677" s="222"/>
      <c r="K677" s="27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ht="15">
      <c r="A678" s="4"/>
      <c r="B678" s="273">
        <f t="shared" si="93"/>
        <v>7</v>
      </c>
      <c r="C678" s="49" t="s">
        <v>523</v>
      </c>
      <c r="D678" s="76">
        <v>525</v>
      </c>
      <c r="E678" s="222">
        <v>525</v>
      </c>
      <c r="F678" s="351">
        <f t="shared" si="92"/>
        <v>525</v>
      </c>
      <c r="G678" s="222"/>
      <c r="H678" s="222"/>
      <c r="I678" s="222"/>
      <c r="J678" s="222"/>
      <c r="K678" s="27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34" ht="15">
      <c r="A679" s="4"/>
      <c r="B679" s="273">
        <f t="shared" si="93"/>
        <v>8</v>
      </c>
      <c r="C679" s="49" t="s">
        <v>524</v>
      </c>
      <c r="D679" s="76">
        <v>375120.34</v>
      </c>
      <c r="E679" s="222">
        <v>385491.71</v>
      </c>
      <c r="F679" s="351">
        <f t="shared" si="92"/>
        <v>380306.025</v>
      </c>
      <c r="G679" s="222"/>
      <c r="H679" s="222"/>
      <c r="I679" s="222"/>
      <c r="J679" s="222"/>
      <c r="K679" s="27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:34" ht="15">
      <c r="A680" s="4"/>
      <c r="B680" s="273">
        <f t="shared" si="93"/>
        <v>9</v>
      </c>
      <c r="C680" s="49" t="s">
        <v>525</v>
      </c>
      <c r="D680" s="76">
        <v>27959</v>
      </c>
      <c r="E680" s="222">
        <v>62618</v>
      </c>
      <c r="F680" s="351">
        <f t="shared" si="92"/>
        <v>45288.5</v>
      </c>
      <c r="G680" s="222"/>
      <c r="H680" s="222"/>
      <c r="I680" s="222"/>
      <c r="J680" s="222"/>
      <c r="K680" s="27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:34" ht="15.75">
      <c r="A681" s="4"/>
      <c r="B681" s="273">
        <f t="shared" si="93"/>
        <v>10</v>
      </c>
      <c r="C681" s="199" t="s">
        <v>526</v>
      </c>
      <c r="D681" s="77">
        <f>SUM(D675:D680)</f>
        <v>1069298.05</v>
      </c>
      <c r="E681" s="354">
        <f>SUM(E675:E680)</f>
        <v>1308737.6199999999</v>
      </c>
      <c r="F681" s="354">
        <f>SUM(F675:F680)</f>
        <v>1189017.835</v>
      </c>
      <c r="G681" s="354"/>
      <c r="H681" s="354"/>
      <c r="I681" s="354"/>
      <c r="J681" s="354"/>
      <c r="K681" s="355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:34" ht="15.75">
      <c r="A682" s="4"/>
      <c r="B682" s="273"/>
      <c r="C682" s="199"/>
      <c r="D682" s="76"/>
      <c r="E682" s="222"/>
      <c r="F682" s="351"/>
      <c r="G682" s="222"/>
      <c r="H682" s="222"/>
      <c r="I682" s="222"/>
      <c r="J682" s="222"/>
      <c r="K682" s="27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:34" ht="15">
      <c r="A683" s="4"/>
      <c r="B683" s="273"/>
      <c r="C683" s="352" t="s">
        <v>527</v>
      </c>
      <c r="D683" s="76"/>
      <c r="E683" s="222"/>
      <c r="F683" s="351"/>
      <c r="G683" s="222"/>
      <c r="H683" s="222"/>
      <c r="I683" s="222"/>
      <c r="J683" s="222"/>
      <c r="K683" s="27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:34" ht="15">
      <c r="A684" s="4"/>
      <c r="B684" s="273">
        <f>B681+1</f>
        <v>11</v>
      </c>
      <c r="C684" s="49" t="s">
        <v>528</v>
      </c>
      <c r="D684" s="76">
        <v>343131.01</v>
      </c>
      <c r="E684" s="222">
        <v>361284.35</v>
      </c>
      <c r="F684" s="351">
        <f>AVERAGE(D684:E684)</f>
        <v>352207.68</v>
      </c>
      <c r="G684" s="222"/>
      <c r="H684" s="222"/>
      <c r="I684" s="222"/>
      <c r="J684" s="222"/>
      <c r="K684" s="27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:34" ht="15">
      <c r="A685" s="4"/>
      <c r="B685" s="273">
        <f>B684+1</f>
        <v>12</v>
      </c>
      <c r="C685" s="49" t="s">
        <v>529</v>
      </c>
      <c r="D685" s="76">
        <v>27810.12</v>
      </c>
      <c r="E685" s="222">
        <v>25211.12</v>
      </c>
      <c r="F685" s="351">
        <f>AVERAGE(D685:E685)</f>
        <v>26510.62</v>
      </c>
      <c r="G685" s="222"/>
      <c r="H685" s="222"/>
      <c r="I685" s="222"/>
      <c r="J685" s="222"/>
      <c r="K685" s="27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:34" ht="15">
      <c r="A686" s="4"/>
      <c r="B686" s="273">
        <f>B685+1</f>
        <v>13</v>
      </c>
      <c r="C686" s="49" t="s">
        <v>530</v>
      </c>
      <c r="D686" s="76">
        <v>28540.05</v>
      </c>
      <c r="E686" s="222">
        <v>44192.56</v>
      </c>
      <c r="F686" s="351">
        <f>AVERAGE(D686:E686)</f>
        <v>36366.305</v>
      </c>
      <c r="G686" s="222"/>
      <c r="H686" s="222"/>
      <c r="I686" s="222"/>
      <c r="J686" s="222"/>
      <c r="K686" s="27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:34" ht="15.75">
      <c r="A687" s="4"/>
      <c r="B687" s="273">
        <f>B686+1</f>
        <v>14</v>
      </c>
      <c r="C687" s="199" t="s">
        <v>531</v>
      </c>
      <c r="D687" s="77">
        <f>SUM(D684:D686)</f>
        <v>399481.18</v>
      </c>
      <c r="E687" s="354">
        <f>SUM(E684:E686)</f>
        <v>430688.02999999997</v>
      </c>
      <c r="F687" s="354">
        <f>SUM(F684:F686)</f>
        <v>415084.605</v>
      </c>
      <c r="G687" s="354"/>
      <c r="H687" s="354"/>
      <c r="I687" s="354"/>
      <c r="J687" s="354"/>
      <c r="K687" s="355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1:34" ht="15.75">
      <c r="A688" s="4"/>
      <c r="B688" s="273"/>
      <c r="C688" s="199"/>
      <c r="D688" s="76"/>
      <c r="E688" s="222"/>
      <c r="F688" s="351"/>
      <c r="G688" s="222"/>
      <c r="H688" s="222"/>
      <c r="I688" s="222"/>
      <c r="J688" s="222"/>
      <c r="K688" s="27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:34" ht="15.75">
      <c r="A689" s="4"/>
      <c r="B689" s="273">
        <f>B687+1</f>
        <v>15</v>
      </c>
      <c r="C689" s="199" t="s">
        <v>532</v>
      </c>
      <c r="D689" s="356">
        <f>D672+D681+D687</f>
        <v>11602516.49</v>
      </c>
      <c r="E689" s="357">
        <f>E672+E681+E687</f>
        <v>12127009.379999999</v>
      </c>
      <c r="F689" s="357">
        <f>F672+F681+F687</f>
        <v>11864762.934999999</v>
      </c>
      <c r="G689" s="357"/>
      <c r="H689" s="357"/>
      <c r="I689" s="357"/>
      <c r="J689" s="357"/>
      <c r="K689" s="358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ht="15.75">
      <c r="A690" s="4"/>
      <c r="B690" s="273"/>
      <c r="C690" s="199"/>
      <c r="D690" s="76"/>
      <c r="E690" s="222"/>
      <c r="F690" s="351"/>
      <c r="G690" s="222"/>
      <c r="H690" s="222"/>
      <c r="I690" s="222"/>
      <c r="J690" s="222"/>
      <c r="K690" s="27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:34" ht="15.75">
      <c r="A691" s="4"/>
      <c r="B691" s="273"/>
      <c r="C691" s="199"/>
      <c r="D691" s="76"/>
      <c r="E691" s="222"/>
      <c r="F691" s="351"/>
      <c r="G691" s="222"/>
      <c r="H691" s="222"/>
      <c r="I691" s="222"/>
      <c r="J691" s="222"/>
      <c r="K691" s="27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ht="15">
      <c r="A692" s="4"/>
      <c r="B692" s="273"/>
      <c r="C692" s="352" t="s">
        <v>533</v>
      </c>
      <c r="D692" s="76"/>
      <c r="E692" s="222"/>
      <c r="F692" s="351"/>
      <c r="G692" s="222"/>
      <c r="H692" s="222"/>
      <c r="I692" s="222"/>
      <c r="J692" s="222"/>
      <c r="K692" s="27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34" ht="15">
      <c r="A693" s="4"/>
      <c r="B693" s="273">
        <f>B689+1</f>
        <v>16</v>
      </c>
      <c r="C693" s="49" t="s">
        <v>534</v>
      </c>
      <c r="D693" s="75">
        <v>256193</v>
      </c>
      <c r="E693" s="228">
        <v>256193</v>
      </c>
      <c r="F693" s="351">
        <f>AVERAGE(D693:E693)</f>
        <v>256193</v>
      </c>
      <c r="G693" s="228"/>
      <c r="H693" s="228"/>
      <c r="I693" s="228">
        <f>E693</f>
        <v>256193</v>
      </c>
      <c r="J693" s="228"/>
      <c r="K693" s="24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:34" ht="15">
      <c r="A694" s="4"/>
      <c r="B694" s="273">
        <f>B693+1</f>
        <v>17</v>
      </c>
      <c r="C694" s="49" t="s">
        <v>535</v>
      </c>
      <c r="D694" s="76">
        <v>1389416.76</v>
      </c>
      <c r="E694" s="222">
        <v>1850409.77</v>
      </c>
      <c r="F694" s="351">
        <f>AVERAGE(D694:E694)</f>
        <v>1619913.2650000001</v>
      </c>
      <c r="G694" s="222"/>
      <c r="H694" s="222"/>
      <c r="I694" s="222">
        <f>E694</f>
        <v>1850409.77</v>
      </c>
      <c r="J694" s="222"/>
      <c r="K694" s="27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ht="15.75">
      <c r="A695" s="4"/>
      <c r="B695" s="273">
        <f>B694+1</f>
        <v>18</v>
      </c>
      <c r="C695" s="199" t="s">
        <v>536</v>
      </c>
      <c r="D695" s="77">
        <f>D693+D694</f>
        <v>1645609.76</v>
      </c>
      <c r="E695" s="354">
        <f>E693+E694</f>
        <v>2106602.77</v>
      </c>
      <c r="F695" s="354">
        <f>F693+F694</f>
        <v>1876106.2650000001</v>
      </c>
      <c r="G695" s="354"/>
      <c r="H695" s="354"/>
      <c r="I695" s="354">
        <f>I693+I694</f>
        <v>2106602.77</v>
      </c>
      <c r="J695" s="354"/>
      <c r="K695" s="355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ht="15">
      <c r="A696" s="4"/>
      <c r="B696" s="273"/>
      <c r="C696" s="49"/>
      <c r="D696" s="76"/>
      <c r="E696" s="222"/>
      <c r="F696" s="351"/>
      <c r="G696" s="222"/>
      <c r="H696" s="222"/>
      <c r="I696" s="222"/>
      <c r="J696" s="222"/>
      <c r="K696" s="27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ht="15">
      <c r="A697" s="4"/>
      <c r="B697" s="273"/>
      <c r="C697" s="352" t="s">
        <v>537</v>
      </c>
      <c r="D697" s="76"/>
      <c r="E697" s="222"/>
      <c r="F697" s="351"/>
      <c r="G697" s="222"/>
      <c r="H697" s="222"/>
      <c r="I697" s="222"/>
      <c r="J697" s="222"/>
      <c r="K697" s="27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ht="15">
      <c r="A698" s="4"/>
      <c r="B698" s="273">
        <f>B695+1</f>
        <v>19</v>
      </c>
      <c r="C698" s="49" t="s">
        <v>538</v>
      </c>
      <c r="D698" s="76">
        <v>99081.1</v>
      </c>
      <c r="E698" s="222">
        <v>62081.1</v>
      </c>
      <c r="F698" s="351">
        <f>AVERAGE(D698:E698)</f>
        <v>80581.1</v>
      </c>
      <c r="G698" s="222"/>
      <c r="H698" s="222"/>
      <c r="I698" s="222"/>
      <c r="J698" s="222"/>
      <c r="K698" s="27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34" ht="15">
      <c r="A699" s="4"/>
      <c r="B699" s="273">
        <f>B698+1</f>
        <v>20</v>
      </c>
      <c r="C699" s="49" t="s">
        <v>539</v>
      </c>
      <c r="D699" s="76">
        <v>53559.98</v>
      </c>
      <c r="E699" s="222">
        <v>67908.8</v>
      </c>
      <c r="F699" s="351">
        <f>AVERAGE(D699:E699)</f>
        <v>60734.39</v>
      </c>
      <c r="G699" s="222"/>
      <c r="H699" s="222"/>
      <c r="I699" s="222"/>
      <c r="J699" s="222"/>
      <c r="K699" s="27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:34" ht="15">
      <c r="A700" s="4"/>
      <c r="B700" s="273">
        <f>B699+1</f>
        <v>21</v>
      </c>
      <c r="C700" s="49" t="s">
        <v>540</v>
      </c>
      <c r="D700" s="76">
        <v>101974.74</v>
      </c>
      <c r="E700" s="222">
        <v>63257.82</v>
      </c>
      <c r="F700" s="351">
        <f>AVERAGE(D700:E700)</f>
        <v>82616.28</v>
      </c>
      <c r="G700" s="222"/>
      <c r="H700" s="222"/>
      <c r="I700" s="222"/>
      <c r="J700" s="222"/>
      <c r="K700" s="27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ht="15">
      <c r="A701" s="4"/>
      <c r="B701" s="273">
        <f>B700+1</f>
        <v>22</v>
      </c>
      <c r="C701" s="49" t="s">
        <v>541</v>
      </c>
      <c r="D701" s="76">
        <v>640131.16</v>
      </c>
      <c r="E701" s="222">
        <v>818059.51</v>
      </c>
      <c r="F701" s="351">
        <f>AVERAGE(D701:E701)</f>
        <v>729095.335</v>
      </c>
      <c r="G701" s="222"/>
      <c r="H701" s="222"/>
      <c r="I701" s="222"/>
      <c r="J701" s="222"/>
      <c r="K701" s="27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34" ht="15.75">
      <c r="A702" s="4"/>
      <c r="B702" s="273">
        <f>B701+1</f>
        <v>23</v>
      </c>
      <c r="C702" s="199" t="s">
        <v>542</v>
      </c>
      <c r="D702" s="77">
        <f>SUM(D698:D701)</f>
        <v>894746.98</v>
      </c>
      <c r="E702" s="354">
        <f>SUM(E698:E701)</f>
        <v>1011307.23</v>
      </c>
      <c r="F702" s="354">
        <f>SUM(F698:F701)</f>
        <v>953027.105</v>
      </c>
      <c r="G702" s="354"/>
      <c r="H702" s="354"/>
      <c r="I702" s="354"/>
      <c r="J702" s="354"/>
      <c r="K702" s="355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:34" ht="15">
      <c r="A703" s="4"/>
      <c r="B703" s="273"/>
      <c r="C703" s="49"/>
      <c r="D703" s="76"/>
      <c r="E703" s="222"/>
      <c r="F703" s="351"/>
      <c r="G703" s="222"/>
      <c r="H703" s="222"/>
      <c r="I703" s="222"/>
      <c r="J703" s="222"/>
      <c r="K703" s="27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:34" ht="15">
      <c r="A704" s="4"/>
      <c r="B704" s="273"/>
      <c r="C704" s="352" t="s">
        <v>543</v>
      </c>
      <c r="D704" s="76"/>
      <c r="E704" s="222"/>
      <c r="F704" s="351"/>
      <c r="G704" s="222"/>
      <c r="H704" s="222"/>
      <c r="I704" s="222"/>
      <c r="J704" s="222"/>
      <c r="K704" s="27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ht="15">
      <c r="A705" s="4"/>
      <c r="B705" s="273">
        <f>B701+1</f>
        <v>23</v>
      </c>
      <c r="C705" s="49" t="s">
        <v>544</v>
      </c>
      <c r="D705" s="76">
        <v>3793128.13</v>
      </c>
      <c r="E705" s="222">
        <v>3691426.87</v>
      </c>
      <c r="F705" s="351">
        <f>AVERAGE(D705:E705)</f>
        <v>3742277.5</v>
      </c>
      <c r="G705" s="222"/>
      <c r="H705" s="222"/>
      <c r="I705" s="222">
        <f>E705</f>
        <v>3691426.87</v>
      </c>
      <c r="J705" s="222"/>
      <c r="K705" s="27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:34" ht="15.75">
      <c r="A706" s="4"/>
      <c r="B706" s="273">
        <f>B705+1</f>
        <v>24</v>
      </c>
      <c r="C706" s="199" t="s">
        <v>545</v>
      </c>
      <c r="D706" s="77">
        <f>D705</f>
        <v>3793128.13</v>
      </c>
      <c r="E706" s="354">
        <f>E705</f>
        <v>3691426.87</v>
      </c>
      <c r="F706" s="354">
        <f>F705</f>
        <v>3742277.5</v>
      </c>
      <c r="G706" s="354"/>
      <c r="H706" s="354"/>
      <c r="I706" s="354">
        <f>I705</f>
        <v>3691426.87</v>
      </c>
      <c r="J706" s="354"/>
      <c r="K706" s="355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:34" ht="15">
      <c r="A707" s="4"/>
      <c r="B707" s="273"/>
      <c r="C707" s="49"/>
      <c r="D707" s="76"/>
      <c r="E707" s="222"/>
      <c r="F707" s="351"/>
      <c r="G707" s="222"/>
      <c r="H707" s="222"/>
      <c r="I707" s="222"/>
      <c r="J707" s="222"/>
      <c r="K707" s="27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:34" ht="15">
      <c r="A708" s="4"/>
      <c r="B708" s="273"/>
      <c r="C708" s="352" t="s">
        <v>546</v>
      </c>
      <c r="D708" s="76"/>
      <c r="E708" s="222"/>
      <c r="F708" s="351"/>
      <c r="G708" s="222"/>
      <c r="H708" s="222"/>
      <c r="I708" s="222"/>
      <c r="J708" s="222"/>
      <c r="K708" s="27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ht="15">
      <c r="A709" s="4"/>
      <c r="B709" s="273">
        <f>B706+1</f>
        <v>25</v>
      </c>
      <c r="C709" s="49" t="s">
        <v>547</v>
      </c>
      <c r="D709" s="76">
        <v>6198709.62</v>
      </c>
      <c r="E709" s="222">
        <v>6421727.51</v>
      </c>
      <c r="F709" s="351">
        <f>AVERAGE(D709:E709)</f>
        <v>6310218.5649999995</v>
      </c>
      <c r="G709" s="222"/>
      <c r="H709" s="222"/>
      <c r="I709" s="222"/>
      <c r="J709" s="222"/>
      <c r="K709" s="27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ht="15">
      <c r="A710" s="4"/>
      <c r="B710" s="273">
        <f>B709+1</f>
        <v>26</v>
      </c>
      <c r="C710" s="49" t="s">
        <v>548</v>
      </c>
      <c r="D710" s="76">
        <v>-929678</v>
      </c>
      <c r="E710" s="222">
        <v>-1104055</v>
      </c>
      <c r="F710" s="351">
        <f>AVERAGE(D710:E710)</f>
        <v>-1016866.5</v>
      </c>
      <c r="G710" s="222"/>
      <c r="H710" s="222"/>
      <c r="I710" s="222"/>
      <c r="J710" s="222"/>
      <c r="K710" s="27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:34" ht="15.75">
      <c r="A711" s="4"/>
      <c r="B711" s="273">
        <f>B710+1</f>
        <v>27</v>
      </c>
      <c r="C711" s="199" t="s">
        <v>549</v>
      </c>
      <c r="D711" s="77">
        <f>D709+D710</f>
        <v>5269031.62</v>
      </c>
      <c r="E711" s="354">
        <f>E709+E710</f>
        <v>5317672.51</v>
      </c>
      <c r="F711" s="354">
        <f>F709+F710</f>
        <v>5293352.0649999995</v>
      </c>
      <c r="G711" s="354">
        <f>G103</f>
        <v>-5293352</v>
      </c>
      <c r="H711" s="354">
        <f>B!G107</f>
        <v>-5293353</v>
      </c>
      <c r="I711" s="354"/>
      <c r="J711" s="354"/>
      <c r="K711" s="355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:34" ht="15">
      <c r="A712" s="4"/>
      <c r="B712" s="273"/>
      <c r="C712" s="49"/>
      <c r="D712" s="76"/>
      <c r="E712" s="222"/>
      <c r="F712" s="351"/>
      <c r="G712" s="222"/>
      <c r="H712" s="222"/>
      <c r="I712" s="222"/>
      <c r="J712" s="222"/>
      <c r="K712" s="27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ht="15.75">
      <c r="A713" s="4"/>
      <c r="B713" s="273">
        <f>B711+1</f>
        <v>28</v>
      </c>
      <c r="C713" s="199" t="s">
        <v>550</v>
      </c>
      <c r="D713" s="356">
        <f>D695+D702+D706+D711</f>
        <v>11602516.49</v>
      </c>
      <c r="E713" s="357">
        <f>E695+E702+E706+E711</f>
        <v>12127009.379999999</v>
      </c>
      <c r="F713" s="357">
        <f>F695+F702+F706+F711</f>
        <v>11864762.934999999</v>
      </c>
      <c r="G713" s="357"/>
      <c r="H713" s="357"/>
      <c r="I713" s="357"/>
      <c r="J713" s="357"/>
      <c r="K713" s="358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:34" ht="15">
      <c r="A714" s="4"/>
      <c r="B714" s="273"/>
      <c r="C714" s="49"/>
      <c r="D714" s="76"/>
      <c r="E714" s="222"/>
      <c r="F714" s="351"/>
      <c r="G714" s="222"/>
      <c r="H714" s="222"/>
      <c r="I714" s="222"/>
      <c r="J714" s="222"/>
      <c r="K714" s="27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:34" ht="15.75">
      <c r="A715" s="4"/>
      <c r="B715" s="273"/>
      <c r="C715" s="199" t="s">
        <v>551</v>
      </c>
      <c r="D715" s="76"/>
      <c r="E715" s="222"/>
      <c r="F715" s="351"/>
      <c r="G715" s="222"/>
      <c r="H715" s="222"/>
      <c r="I715" s="222"/>
      <c r="J715" s="222"/>
      <c r="K715" s="27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:34" ht="15">
      <c r="A716" s="4"/>
      <c r="B716" s="273">
        <f>B713+1</f>
        <v>29</v>
      </c>
      <c r="C716" s="49" t="s">
        <v>552</v>
      </c>
      <c r="D716" s="76"/>
      <c r="E716" s="222"/>
      <c r="F716" s="351"/>
      <c r="G716" s="222">
        <f>G672+G711</f>
        <v>4967308</v>
      </c>
      <c r="H716" s="222">
        <f>H672+H711</f>
        <v>4964586</v>
      </c>
      <c r="I716" s="222"/>
      <c r="J716" s="222"/>
      <c r="K716" s="27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34" ht="15">
      <c r="A717" s="4"/>
      <c r="B717" s="273">
        <f>B716+1</f>
        <v>30</v>
      </c>
      <c r="C717" s="49" t="s">
        <v>553</v>
      </c>
      <c r="D717" s="76"/>
      <c r="E717" s="222"/>
      <c r="F717" s="351"/>
      <c r="G717" s="222">
        <f>N287</f>
        <v>42506</v>
      </c>
      <c r="H717" s="222">
        <f>B!E299</f>
        <v>17097</v>
      </c>
      <c r="I717" s="222"/>
      <c r="J717" s="222"/>
      <c r="K717" s="27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:34" ht="15">
      <c r="A718" s="4"/>
      <c r="B718" s="273">
        <f>B717+1</f>
        <v>31</v>
      </c>
      <c r="C718" s="49" t="s">
        <v>554</v>
      </c>
      <c r="D718" s="76"/>
      <c r="E718" s="222"/>
      <c r="F718" s="351"/>
      <c r="G718" s="222">
        <f>P287</f>
        <v>231387</v>
      </c>
      <c r="H718" s="222">
        <f>B!U230</f>
        <v>240945</v>
      </c>
      <c r="I718" s="222"/>
      <c r="J718" s="222"/>
      <c r="K718" s="27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ht="15">
      <c r="A719" s="4"/>
      <c r="B719" s="273"/>
      <c r="C719" s="49"/>
      <c r="D719" s="76"/>
      <c r="E719" s="222"/>
      <c r="F719" s="351"/>
      <c r="G719" s="222"/>
      <c r="H719" s="222"/>
      <c r="I719" s="222"/>
      <c r="J719" s="222"/>
      <c r="K719" s="27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ht="15.75">
      <c r="A720" s="4"/>
      <c r="B720" s="273">
        <f>B718+1</f>
        <v>32</v>
      </c>
      <c r="C720" s="199" t="s">
        <v>555</v>
      </c>
      <c r="D720" s="76"/>
      <c r="E720" s="222"/>
      <c r="F720" s="351"/>
      <c r="G720" s="357">
        <f>SUM(G716:G718)</f>
        <v>5241201</v>
      </c>
      <c r="H720" s="357">
        <f>SUM(H716:H718)</f>
        <v>5222628</v>
      </c>
      <c r="I720" s="222"/>
      <c r="J720" s="222"/>
      <c r="K720" s="27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:34" ht="15.75">
      <c r="A721" s="4"/>
      <c r="B721" s="273"/>
      <c r="C721" s="199"/>
      <c r="D721" s="76"/>
      <c r="E721" s="222"/>
      <c r="F721" s="351"/>
      <c r="G721" s="222"/>
      <c r="H721" s="222"/>
      <c r="I721" s="222"/>
      <c r="J721" s="222"/>
      <c r="K721" s="27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:34" ht="15.75">
      <c r="A722" s="4"/>
      <c r="B722" s="273"/>
      <c r="C722" s="199" t="s">
        <v>556</v>
      </c>
      <c r="D722" s="76"/>
      <c r="E722" s="222"/>
      <c r="F722" s="351"/>
      <c r="G722" s="222"/>
      <c r="H722" s="222"/>
      <c r="I722" s="222"/>
      <c r="J722" s="222"/>
      <c r="K722" s="27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:34" ht="15">
      <c r="A723" s="4"/>
      <c r="B723" s="273">
        <f>B720+1</f>
        <v>33</v>
      </c>
      <c r="C723" s="49" t="s">
        <v>557</v>
      </c>
      <c r="D723" s="76"/>
      <c r="E723" s="222"/>
      <c r="F723" s="351"/>
      <c r="G723" s="222"/>
      <c r="H723" s="222"/>
      <c r="I723" s="222">
        <f>I695</f>
        <v>2106602.77</v>
      </c>
      <c r="J723" s="227">
        <f>I723/I725</f>
        <v>0.363330803876332</v>
      </c>
      <c r="K723" s="27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34" ht="15">
      <c r="A724" s="4"/>
      <c r="B724" s="273">
        <f>B723+1</f>
        <v>34</v>
      </c>
      <c r="C724" s="49" t="s">
        <v>544</v>
      </c>
      <c r="D724" s="76"/>
      <c r="E724" s="222"/>
      <c r="F724" s="351"/>
      <c r="G724" s="222"/>
      <c r="H724" s="222"/>
      <c r="I724" s="222">
        <f>I706</f>
        <v>3691426.87</v>
      </c>
      <c r="J724" s="227">
        <f>I724/I725</f>
        <v>0.6366691961236679</v>
      </c>
      <c r="K724" s="27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:34" ht="15">
      <c r="A725" s="4"/>
      <c r="B725" s="273">
        <f>B724+1</f>
        <v>35</v>
      </c>
      <c r="C725" s="49" t="s">
        <v>558</v>
      </c>
      <c r="D725" s="76"/>
      <c r="E725" s="222"/>
      <c r="F725" s="351"/>
      <c r="G725" s="222"/>
      <c r="H725" s="222"/>
      <c r="I725" s="357">
        <f>I723+I724</f>
        <v>5798029.640000001</v>
      </c>
      <c r="J725" s="359">
        <f>J723+J724</f>
        <v>0.9999999999999999</v>
      </c>
      <c r="K725" s="27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34" ht="15">
      <c r="A726" s="4"/>
      <c r="B726" s="273"/>
      <c r="C726" s="49"/>
      <c r="D726" s="76"/>
      <c r="E726" s="222"/>
      <c r="F726" s="351"/>
      <c r="G726" s="222"/>
      <c r="H726" s="222"/>
      <c r="I726" s="222"/>
      <c r="J726" s="222"/>
      <c r="K726" s="27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:34" ht="15.75">
      <c r="A727" s="4"/>
      <c r="B727" s="273"/>
      <c r="C727" s="199" t="s">
        <v>559</v>
      </c>
      <c r="D727" s="76"/>
      <c r="E727" s="222"/>
      <c r="F727" s="351"/>
      <c r="G727" s="222"/>
      <c r="H727" s="222"/>
      <c r="I727" s="222"/>
      <c r="J727" s="222"/>
      <c r="K727" s="27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34" ht="15">
      <c r="A728" s="4"/>
      <c r="B728" s="273">
        <f>B725+1</f>
        <v>36</v>
      </c>
      <c r="C728" s="49" t="s">
        <v>557</v>
      </c>
      <c r="D728" s="76"/>
      <c r="E728" s="222"/>
      <c r="F728" s="351"/>
      <c r="G728" s="222"/>
      <c r="H728" s="222"/>
      <c r="I728" s="222">
        <v>2323991.7</v>
      </c>
      <c r="J728" s="227">
        <f>I728/I730</f>
        <v>0.38244283269703716</v>
      </c>
      <c r="K728" s="27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:34" ht="15">
      <c r="A729" s="4"/>
      <c r="B729" s="273">
        <f>B728+1</f>
        <v>37</v>
      </c>
      <c r="C729" s="49" t="s">
        <v>544</v>
      </c>
      <c r="D729" s="76"/>
      <c r="E729" s="222"/>
      <c r="F729" s="351"/>
      <c r="G729" s="222"/>
      <c r="H729" s="222"/>
      <c r="I729" s="222">
        <v>3752711.8</v>
      </c>
      <c r="J729" s="227">
        <f>I729/I730</f>
        <v>0.6175571673029628</v>
      </c>
      <c r="K729" s="27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ht="15">
      <c r="A730" s="4"/>
      <c r="B730" s="273">
        <f>B729+1</f>
        <v>38</v>
      </c>
      <c r="C730" s="49" t="s">
        <v>558</v>
      </c>
      <c r="D730" s="76"/>
      <c r="E730" s="222"/>
      <c r="F730" s="351"/>
      <c r="G730" s="222"/>
      <c r="H730" s="222"/>
      <c r="I730" s="357">
        <f>I728+I729</f>
        <v>6076703.5</v>
      </c>
      <c r="J730" s="359">
        <f>J728+J729</f>
        <v>1</v>
      </c>
      <c r="K730" s="27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ht="15">
      <c r="A731" s="4"/>
      <c r="B731" s="273"/>
      <c r="C731" s="49"/>
      <c r="D731" s="76"/>
      <c r="E731" s="222"/>
      <c r="F731" s="351"/>
      <c r="G731" s="222"/>
      <c r="H731" s="222"/>
      <c r="I731" s="222"/>
      <c r="J731" s="222"/>
      <c r="K731" s="27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ht="15.75">
      <c r="A732" s="4"/>
      <c r="B732" s="273"/>
      <c r="C732" s="199" t="s">
        <v>560</v>
      </c>
      <c r="D732" s="76"/>
      <c r="E732" s="222"/>
      <c r="F732" s="351"/>
      <c r="G732" s="222"/>
      <c r="H732" s="222"/>
      <c r="I732" s="222"/>
      <c r="J732" s="222"/>
      <c r="K732" s="27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ht="15">
      <c r="A733" s="4"/>
      <c r="B733" s="273">
        <f>B730+1</f>
        <v>39</v>
      </c>
      <c r="C733" s="49" t="s">
        <v>557</v>
      </c>
      <c r="D733" s="76"/>
      <c r="E733" s="222"/>
      <c r="F733" s="351"/>
      <c r="G733" s="222"/>
      <c r="H733" s="222"/>
      <c r="I733" s="222">
        <f>F695</f>
        <v>1876106.2650000001</v>
      </c>
      <c r="J733" s="227">
        <f>I733/I735</f>
        <v>0.33392276915779534</v>
      </c>
      <c r="K733" s="27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ht="15">
      <c r="A734" s="4"/>
      <c r="B734" s="273">
        <f>B733+1</f>
        <v>40</v>
      </c>
      <c r="C734" s="49" t="s">
        <v>544</v>
      </c>
      <c r="D734" s="76"/>
      <c r="E734" s="222"/>
      <c r="F734" s="351"/>
      <c r="G734" s="222"/>
      <c r="H734" s="222"/>
      <c r="I734" s="222">
        <f>F706</f>
        <v>3742277.5</v>
      </c>
      <c r="J734" s="227">
        <f>I734/I735</f>
        <v>0.6660772308422046</v>
      </c>
      <c r="K734" s="27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:34" ht="15">
      <c r="A735" s="4"/>
      <c r="B735" s="273">
        <f>B734+1</f>
        <v>41</v>
      </c>
      <c r="C735" s="49" t="s">
        <v>558</v>
      </c>
      <c r="D735" s="76"/>
      <c r="E735" s="222"/>
      <c r="F735" s="351"/>
      <c r="G735" s="222"/>
      <c r="H735" s="222"/>
      <c r="I735" s="357">
        <f>I733+I734</f>
        <v>5618383.765000001</v>
      </c>
      <c r="J735" s="359">
        <f>J733+J734</f>
        <v>1</v>
      </c>
      <c r="K735" s="27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ht="15">
      <c r="A736" s="4"/>
      <c r="B736" s="273"/>
      <c r="C736" s="49"/>
      <c r="D736" s="76"/>
      <c r="E736" s="222"/>
      <c r="F736" s="351"/>
      <c r="G736" s="222"/>
      <c r="H736" s="222"/>
      <c r="I736" s="222"/>
      <c r="J736" s="222"/>
      <c r="K736" s="27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34" ht="15.75">
      <c r="A737" s="4"/>
      <c r="B737" s="273"/>
      <c r="C737" s="199" t="s">
        <v>561</v>
      </c>
      <c r="D737" s="76"/>
      <c r="E737" s="222"/>
      <c r="F737" s="351"/>
      <c r="G737" s="222"/>
      <c r="H737" s="222"/>
      <c r="I737" s="222"/>
      <c r="J737" s="222"/>
      <c r="K737" s="245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:34" ht="15">
      <c r="A738" s="4"/>
      <c r="B738" s="273">
        <f>B735+1</f>
        <v>42</v>
      </c>
      <c r="C738" s="49" t="s">
        <v>557</v>
      </c>
      <c r="D738" s="76"/>
      <c r="E738" s="222"/>
      <c r="F738" s="351"/>
      <c r="G738" s="222"/>
      <c r="H738" s="222"/>
      <c r="I738" s="222">
        <f>I740*J738</f>
        <v>2927023</v>
      </c>
      <c r="J738" s="227">
        <v>0.5</v>
      </c>
      <c r="K738" s="245">
        <v>0.12</v>
      </c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:34" ht="15">
      <c r="A739" s="4"/>
      <c r="B739" s="273">
        <f>B738+1</f>
        <v>43</v>
      </c>
      <c r="C739" s="49" t="s">
        <v>544</v>
      </c>
      <c r="D739" s="76"/>
      <c r="E739" s="222"/>
      <c r="F739" s="351"/>
      <c r="G739" s="222"/>
      <c r="H739" s="222"/>
      <c r="I739" s="222">
        <f>I740*J739</f>
        <v>2927023</v>
      </c>
      <c r="J739" s="227">
        <v>0.5</v>
      </c>
      <c r="K739" s="245">
        <v>0.06930000000000001</v>
      </c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ht="15.75">
      <c r="A740" s="4"/>
      <c r="B740" s="273">
        <f>B739+1</f>
        <v>44</v>
      </c>
      <c r="C740" s="49" t="s">
        <v>558</v>
      </c>
      <c r="D740" s="76"/>
      <c r="E740" s="222"/>
      <c r="F740" s="351"/>
      <c r="G740" s="222"/>
      <c r="H740" s="222"/>
      <c r="I740" s="357">
        <v>5854046</v>
      </c>
      <c r="J740" s="359">
        <f>J738+J739</f>
        <v>1</v>
      </c>
      <c r="K740" s="212">
        <f>(+J738*K738)+(J739*K739)</f>
        <v>0.09465000000000001</v>
      </c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:34" ht="15">
      <c r="A741" s="4"/>
      <c r="B741" s="273"/>
      <c r="C741" s="49"/>
      <c r="D741" s="76"/>
      <c r="E741" s="222"/>
      <c r="F741" s="351"/>
      <c r="G741" s="222"/>
      <c r="H741" s="222"/>
      <c r="I741" s="222"/>
      <c r="J741" s="222"/>
      <c r="K741" s="27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ht="15.75">
      <c r="A742" s="4"/>
      <c r="B742" s="273"/>
      <c r="C742" s="199" t="s">
        <v>562</v>
      </c>
      <c r="D742" s="76"/>
      <c r="E742" s="222"/>
      <c r="F742" s="351"/>
      <c r="G742" s="222"/>
      <c r="H742" s="222"/>
      <c r="I742" s="222"/>
      <c r="J742" s="222"/>
      <c r="K742" s="27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34" ht="15">
      <c r="A743" s="4"/>
      <c r="B743" s="273">
        <f>B740+1</f>
        <v>45</v>
      </c>
      <c r="C743" s="49" t="s">
        <v>557</v>
      </c>
      <c r="D743" s="76"/>
      <c r="E743" s="222"/>
      <c r="F743" s="351"/>
      <c r="G743" s="222"/>
      <c r="H743" s="222"/>
      <c r="I743" s="222">
        <v>1548413</v>
      </c>
      <c r="J743" s="227">
        <f>I743/I745</f>
        <v>0.29238206106473835</v>
      </c>
      <c r="K743" s="245">
        <v>0.15830000000000002</v>
      </c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:34" ht="15">
      <c r="A744" s="4"/>
      <c r="B744" s="273">
        <f>B743+1</f>
        <v>46</v>
      </c>
      <c r="C744" s="49" t="s">
        <v>544</v>
      </c>
      <c r="D744" s="76"/>
      <c r="E744" s="222"/>
      <c r="F744" s="351"/>
      <c r="G744" s="222"/>
      <c r="H744" s="222"/>
      <c r="I744" s="222">
        <v>3747442</v>
      </c>
      <c r="J744" s="227">
        <f>I744/I745</f>
        <v>0.7076179389352616</v>
      </c>
      <c r="K744" s="245">
        <v>0.05550000000000001</v>
      </c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:34" ht="15">
      <c r="A745" s="4"/>
      <c r="B745" s="273">
        <f>B744+1</f>
        <v>47</v>
      </c>
      <c r="C745" s="49" t="s">
        <v>563</v>
      </c>
      <c r="D745" s="76"/>
      <c r="E745" s="222"/>
      <c r="F745" s="351"/>
      <c r="G745" s="222"/>
      <c r="H745" s="222"/>
      <c r="I745" s="357">
        <f>I743+I744</f>
        <v>5295855</v>
      </c>
      <c r="J745" s="359">
        <f>J743+J744</f>
        <v>1</v>
      </c>
      <c r="K745" s="360">
        <f>(+J743*K743)+(J744*K744)</f>
        <v>0.08555687587745511</v>
      </c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:34" ht="15">
      <c r="A746" s="4"/>
      <c r="B746" s="273"/>
      <c r="C746" s="49"/>
      <c r="D746" s="76"/>
      <c r="E746" s="222"/>
      <c r="F746" s="351"/>
      <c r="G746" s="222"/>
      <c r="H746" s="222"/>
      <c r="I746" s="222"/>
      <c r="J746" s="222"/>
      <c r="K746" s="27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:34" ht="15.75">
      <c r="A747" s="4"/>
      <c r="B747" s="273"/>
      <c r="C747" s="199" t="s">
        <v>562</v>
      </c>
      <c r="D747" s="76"/>
      <c r="E747" s="222"/>
      <c r="F747" s="351"/>
      <c r="G747" s="222"/>
      <c r="H747" s="222"/>
      <c r="I747" s="222"/>
      <c r="J747" s="222"/>
      <c r="K747" s="27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1:34" ht="15">
      <c r="A748" s="4"/>
      <c r="B748" s="273">
        <f>B745+1</f>
        <v>48</v>
      </c>
      <c r="C748" s="49" t="s">
        <v>557</v>
      </c>
      <c r="D748" s="76"/>
      <c r="E748" s="222"/>
      <c r="F748" s="351"/>
      <c r="G748" s="222"/>
      <c r="H748" s="222"/>
      <c r="I748" s="222">
        <v>1548413</v>
      </c>
      <c r="J748" s="227">
        <f>I748/I750</f>
        <v>0.29238206106473835</v>
      </c>
      <c r="K748" s="245">
        <v>0.16290000000000004</v>
      </c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:34" ht="15">
      <c r="A749" s="4"/>
      <c r="B749" s="273">
        <f>B748+1</f>
        <v>49</v>
      </c>
      <c r="C749" s="49" t="s">
        <v>544</v>
      </c>
      <c r="D749" s="76"/>
      <c r="E749" s="222"/>
      <c r="F749" s="351"/>
      <c r="G749" s="222"/>
      <c r="H749" s="222"/>
      <c r="I749" s="222">
        <v>3747442</v>
      </c>
      <c r="J749" s="227">
        <f>I749/I750</f>
        <v>0.7076179389352616</v>
      </c>
      <c r="K749" s="245">
        <v>0.05550000000000001</v>
      </c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:34" ht="15.75">
      <c r="A750" s="4"/>
      <c r="B750" s="273">
        <f>B749+1</f>
        <v>50</v>
      </c>
      <c r="C750" s="49" t="s">
        <v>564</v>
      </c>
      <c r="D750" s="76"/>
      <c r="E750" s="222"/>
      <c r="F750" s="351"/>
      <c r="G750" s="222"/>
      <c r="H750" s="222"/>
      <c r="I750" s="357">
        <f>I748+I749</f>
        <v>5295855</v>
      </c>
      <c r="J750" s="359">
        <f>J748+J749</f>
        <v>1</v>
      </c>
      <c r="K750" s="212">
        <f>(+J748*K748)+(J749*K749)</f>
        <v>0.08690183335835291</v>
      </c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:34" ht="15">
      <c r="A751" s="4"/>
      <c r="B751" s="273"/>
      <c r="C751" s="49"/>
      <c r="D751" s="76"/>
      <c r="E751" s="222"/>
      <c r="F751" s="351"/>
      <c r="G751" s="222"/>
      <c r="H751" s="222"/>
      <c r="I751" s="222"/>
      <c r="J751" s="222"/>
      <c r="K751" s="27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ht="15.75">
      <c r="A752" s="4"/>
      <c r="B752" s="273"/>
      <c r="C752" s="199" t="s">
        <v>565</v>
      </c>
      <c r="D752" s="76"/>
      <c r="E752" s="222"/>
      <c r="F752" s="351"/>
      <c r="G752" s="222"/>
      <c r="H752" s="222"/>
      <c r="I752" s="222"/>
      <c r="J752" s="222"/>
      <c r="K752" s="27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ht="15">
      <c r="A753" s="4"/>
      <c r="B753" s="273">
        <f>B750+1</f>
        <v>51</v>
      </c>
      <c r="C753" s="49" t="s">
        <v>557</v>
      </c>
      <c r="D753" s="76"/>
      <c r="E753" s="222"/>
      <c r="F753" s="351"/>
      <c r="G753" s="222"/>
      <c r="H753" s="222"/>
      <c r="I753" s="222">
        <f>I728</f>
        <v>2323991.7</v>
      </c>
      <c r="J753" s="227">
        <f>I753/I755</f>
        <v>0.38244283269703716</v>
      </c>
      <c r="K753" s="245">
        <v>0.12</v>
      </c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34" ht="15">
      <c r="A754" s="4"/>
      <c r="B754" s="273">
        <f>B753+1</f>
        <v>52</v>
      </c>
      <c r="C754" s="49" t="s">
        <v>544</v>
      </c>
      <c r="D754" s="76"/>
      <c r="E754" s="222"/>
      <c r="F754" s="351"/>
      <c r="G754" s="222"/>
      <c r="H754" s="222"/>
      <c r="I754" s="222">
        <f>I729</f>
        <v>3752711.8</v>
      </c>
      <c r="J754" s="227">
        <f>I754/I755</f>
        <v>0.6175571673029628</v>
      </c>
      <c r="K754" s="245">
        <v>0.06930000000000001</v>
      </c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:34" ht="15.75">
      <c r="A755" s="4"/>
      <c r="B755" s="273">
        <f>B754+1</f>
        <v>53</v>
      </c>
      <c r="C755" s="49" t="s">
        <v>558</v>
      </c>
      <c r="D755" s="76"/>
      <c r="E755" s="222"/>
      <c r="F755" s="351"/>
      <c r="G755" s="222"/>
      <c r="H755" s="222"/>
      <c r="I755" s="357">
        <f>I753+I754</f>
        <v>6076703.5</v>
      </c>
      <c r="J755" s="359">
        <f>J753+J754</f>
        <v>1</v>
      </c>
      <c r="K755" s="212">
        <f>(+J753*K753)+(J754*K754)</f>
        <v>0.08868985161773979</v>
      </c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34" ht="15">
      <c r="A756" s="4"/>
      <c r="B756" s="273"/>
      <c r="C756" s="49"/>
      <c r="D756" s="76"/>
      <c r="E756" s="222"/>
      <c r="F756" s="351"/>
      <c r="G756" s="222"/>
      <c r="H756" s="222"/>
      <c r="I756" s="222"/>
      <c r="J756" s="222"/>
      <c r="K756" s="27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:34" ht="15.75">
      <c r="A757" s="4"/>
      <c r="B757" s="273"/>
      <c r="C757" s="199" t="s">
        <v>566</v>
      </c>
      <c r="D757" s="76"/>
      <c r="E757" s="222"/>
      <c r="F757" s="351"/>
      <c r="G757" s="4"/>
      <c r="H757" s="222"/>
      <c r="I757" s="222"/>
      <c r="J757" s="222"/>
      <c r="K757" s="27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:34" ht="15">
      <c r="A758" s="4"/>
      <c r="B758" s="273">
        <f>B755+1</f>
        <v>54</v>
      </c>
      <c r="C758" s="49" t="s">
        <v>567</v>
      </c>
      <c r="D758" s="76"/>
      <c r="E758" s="222"/>
      <c r="F758" s="351"/>
      <c r="G758" s="228">
        <f>F694</f>
        <v>1619913.2650000001</v>
      </c>
      <c r="H758" s="222"/>
      <c r="I758" s="222"/>
      <c r="J758" s="222"/>
      <c r="K758" s="27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ht="15">
      <c r="A759" s="4"/>
      <c r="B759" s="273">
        <f>B758+1</f>
        <v>55</v>
      </c>
      <c r="C759" s="49" t="s">
        <v>568</v>
      </c>
      <c r="D759" s="76"/>
      <c r="E759" s="222"/>
      <c r="F759" s="351"/>
      <c r="G759" s="222">
        <f>F706</f>
        <v>3742277.5</v>
      </c>
      <c r="H759" s="222"/>
      <c r="I759" s="222"/>
      <c r="J759" s="222"/>
      <c r="K759" s="27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34" ht="15">
      <c r="A760" s="4"/>
      <c r="B760" s="273">
        <f>B759+1</f>
        <v>56</v>
      </c>
      <c r="C760" s="49" t="s">
        <v>569</v>
      </c>
      <c r="D760" s="76"/>
      <c r="E760" s="222"/>
      <c r="F760" s="351"/>
      <c r="G760" s="354">
        <f>G758+G759</f>
        <v>5362190.765000001</v>
      </c>
      <c r="H760" s="222"/>
      <c r="I760" s="222"/>
      <c r="J760" s="222"/>
      <c r="K760" s="27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1:34" ht="15">
      <c r="A761" s="4"/>
      <c r="B761" s="273">
        <f>B760+1</f>
        <v>57</v>
      </c>
      <c r="C761" s="49" t="s">
        <v>570</v>
      </c>
      <c r="D761" s="76"/>
      <c r="E761" s="222"/>
      <c r="F761" s="351"/>
      <c r="G761" s="222">
        <f>F684</f>
        <v>352207.68</v>
      </c>
      <c r="H761" s="222"/>
      <c r="I761" s="222"/>
      <c r="J761" s="222"/>
      <c r="K761" s="27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:34" ht="15">
      <c r="A762" s="4"/>
      <c r="B762" s="273">
        <f>B761+1</f>
        <v>58</v>
      </c>
      <c r="C762" s="49" t="s">
        <v>571</v>
      </c>
      <c r="D762" s="76"/>
      <c r="E762" s="222"/>
      <c r="F762" s="351"/>
      <c r="G762" s="222">
        <f>F685</f>
        <v>26510.62</v>
      </c>
      <c r="H762" s="222"/>
      <c r="I762" s="222"/>
      <c r="J762" s="222"/>
      <c r="K762" s="27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1:34" ht="15">
      <c r="A763" s="4"/>
      <c r="B763" s="273">
        <f>B762+1</f>
        <v>59</v>
      </c>
      <c r="C763" s="49" t="s">
        <v>572</v>
      </c>
      <c r="D763" s="76"/>
      <c r="E763" s="222"/>
      <c r="F763" s="351"/>
      <c r="G763" s="222">
        <f>G760-G761-G762</f>
        <v>4983472.465000001</v>
      </c>
      <c r="H763" s="222"/>
      <c r="I763" s="222"/>
      <c r="J763" s="222"/>
      <c r="K763" s="27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ht="15">
      <c r="A764" s="4"/>
      <c r="B764" s="273"/>
      <c r="C764" s="49"/>
      <c r="D764" s="76"/>
      <c r="E764" s="222"/>
      <c r="F764" s="351"/>
      <c r="G764" s="222"/>
      <c r="H764" s="222"/>
      <c r="I764" s="222"/>
      <c r="J764" s="222"/>
      <c r="K764" s="27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:34" ht="15">
      <c r="A765" s="4"/>
      <c r="B765" s="273">
        <f>B761+1</f>
        <v>58</v>
      </c>
      <c r="C765" s="49" t="s">
        <v>573</v>
      </c>
      <c r="D765" s="76"/>
      <c r="E765" s="222"/>
      <c r="F765" s="351"/>
      <c r="G765" s="222">
        <f>G716</f>
        <v>4967308</v>
      </c>
      <c r="H765" s="222"/>
      <c r="I765" s="222"/>
      <c r="J765" s="222"/>
      <c r="K765" s="27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:34" ht="15">
      <c r="A766" s="4"/>
      <c r="B766" s="273"/>
      <c r="C766" s="49"/>
      <c r="D766" s="76"/>
      <c r="E766" s="222"/>
      <c r="F766" s="351"/>
      <c r="G766" s="222"/>
      <c r="H766" s="222"/>
      <c r="I766" s="222"/>
      <c r="J766" s="222"/>
      <c r="K766" s="27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:34" ht="15">
      <c r="A767" s="4"/>
      <c r="B767" s="273">
        <f>B765+1</f>
        <v>59</v>
      </c>
      <c r="C767" s="49" t="s">
        <v>574</v>
      </c>
      <c r="D767" s="76"/>
      <c r="E767" s="222"/>
      <c r="F767" s="351"/>
      <c r="G767" s="361">
        <f>G763-G765</f>
        <v>16164.465000000782</v>
      </c>
      <c r="H767" s="222"/>
      <c r="I767" s="222"/>
      <c r="J767" s="222"/>
      <c r="K767" s="27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1:34" ht="15">
      <c r="A768" s="4"/>
      <c r="B768" s="273"/>
      <c r="C768" s="49" t="s">
        <v>575</v>
      </c>
      <c r="D768" s="76"/>
      <c r="E768" s="222"/>
      <c r="F768" s="351"/>
      <c r="G768" s="222"/>
      <c r="H768" s="222"/>
      <c r="I768" s="222"/>
      <c r="J768" s="222"/>
      <c r="K768" s="27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:34" ht="15">
      <c r="A769" s="4"/>
      <c r="B769" s="305"/>
      <c r="C769" s="306"/>
      <c r="D769" s="362"/>
      <c r="E769" s="363"/>
      <c r="F769" s="364"/>
      <c r="G769" s="363"/>
      <c r="H769" s="363"/>
      <c r="I769" s="363"/>
      <c r="J769" s="363"/>
      <c r="K769" s="252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1:34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:34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1:34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:34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:34" ht="15">
      <c r="A775" s="4"/>
      <c r="B775" s="4"/>
      <c r="C775" s="1" t="s">
        <v>500</v>
      </c>
      <c r="D775" s="4"/>
      <c r="E775" s="4"/>
      <c r="F775" s="4"/>
      <c r="G775" s="5" t="s">
        <v>576</v>
      </c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:34" ht="15">
      <c r="A776" s="4"/>
      <c r="B776" s="4"/>
      <c r="C776" s="4"/>
      <c r="D776" s="4"/>
      <c r="E776" s="4"/>
      <c r="F776" s="5" t="s">
        <v>577</v>
      </c>
      <c r="G776" s="5" t="s">
        <v>194</v>
      </c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:34" ht="15">
      <c r="A777" s="4"/>
      <c r="B777" s="4"/>
      <c r="C777" s="5" t="s">
        <v>88</v>
      </c>
      <c r="D777" s="104" t="s">
        <v>578</v>
      </c>
      <c r="E777" s="5" t="s">
        <v>579</v>
      </c>
      <c r="F777" s="5" t="s">
        <v>580</v>
      </c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:34" ht="15">
      <c r="A778" s="4"/>
      <c r="B778" s="4"/>
      <c r="C778" s="5" t="s">
        <v>581</v>
      </c>
      <c r="D778" s="1">
        <v>0</v>
      </c>
      <c r="E778" s="47">
        <v>0.15</v>
      </c>
      <c r="F778" s="1">
        <f>43850*E778</f>
        <v>6577.5</v>
      </c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ht="15">
      <c r="A779" s="4"/>
      <c r="B779" s="4"/>
      <c r="C779" s="5" t="s">
        <v>582</v>
      </c>
      <c r="D779" s="1">
        <v>6577.5</v>
      </c>
      <c r="E779" s="47">
        <v>0.28</v>
      </c>
      <c r="F779" s="1">
        <f>((105950-43850)*E779)+F778</f>
        <v>23965.5</v>
      </c>
      <c r="G779" s="47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1:34" ht="15">
      <c r="A780" s="4"/>
      <c r="B780" s="4"/>
      <c r="C780" s="5" t="s">
        <v>583</v>
      </c>
      <c r="D780" s="1">
        <v>23965.5</v>
      </c>
      <c r="E780" s="47">
        <v>0.31</v>
      </c>
      <c r="F780" s="1">
        <f>((161450-105950)*E780)+F779</f>
        <v>41170.5</v>
      </c>
      <c r="G780" s="47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1:34" ht="15">
      <c r="A781" s="4"/>
      <c r="B781" s="4"/>
      <c r="C781" s="5" t="s">
        <v>584</v>
      </c>
      <c r="D781" s="1">
        <v>41170.5</v>
      </c>
      <c r="E781" s="47">
        <v>0.36</v>
      </c>
      <c r="F781" s="1">
        <f>((288350-161450)*E781)+F780</f>
        <v>86854.5</v>
      </c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:34" ht="15">
      <c r="A782" s="4"/>
      <c r="B782" s="4"/>
      <c r="C782" s="5" t="s">
        <v>585</v>
      </c>
      <c r="D782" s="1">
        <v>86854.5</v>
      </c>
      <c r="E782" s="47">
        <v>0.3960000000000001</v>
      </c>
      <c r="F782" s="1">
        <f>((+D785-288350)*E782)+F781</f>
        <v>216125.2594619999</v>
      </c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:34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:34" ht="15">
      <c r="A785" s="4"/>
      <c r="B785" s="4"/>
      <c r="C785" s="5" t="s">
        <v>586</v>
      </c>
      <c r="D785" s="1">
        <f>K48</f>
        <v>614791.311772727</v>
      </c>
      <c r="E785" s="4"/>
      <c r="F785" s="1">
        <f>F782</f>
        <v>216125.2594619999</v>
      </c>
      <c r="G785" s="47">
        <f>F785/D785</f>
        <v>0.3515424751836702</v>
      </c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1:34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34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1:34" ht="15">
      <c r="A788" s="4"/>
      <c r="B788" s="4"/>
      <c r="C788" s="4"/>
      <c r="D788" s="4"/>
      <c r="E788" s="4"/>
      <c r="F788" s="4"/>
      <c r="G788" s="5" t="s">
        <v>576</v>
      </c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1:34" ht="15">
      <c r="A789" s="4"/>
      <c r="B789" s="4"/>
      <c r="C789" s="4"/>
      <c r="D789" s="4"/>
      <c r="E789" s="4"/>
      <c r="F789" s="5" t="s">
        <v>577</v>
      </c>
      <c r="G789" s="5" t="s">
        <v>194</v>
      </c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:34" ht="15">
      <c r="A790" s="4"/>
      <c r="B790" s="4"/>
      <c r="C790" s="5" t="s">
        <v>88</v>
      </c>
      <c r="D790" s="104" t="s">
        <v>578</v>
      </c>
      <c r="E790" s="5" t="s">
        <v>579</v>
      </c>
      <c r="F790" s="5" t="s">
        <v>580</v>
      </c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1:34" ht="15">
      <c r="A791" s="4"/>
      <c r="B791" s="4"/>
      <c r="C791" s="5" t="s">
        <v>581</v>
      </c>
      <c r="D791" s="1">
        <v>0</v>
      </c>
      <c r="E791" s="47">
        <v>0.15</v>
      </c>
      <c r="F791" s="1">
        <f>43850*E791</f>
        <v>6577.5</v>
      </c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ht="15">
      <c r="A792" s="4"/>
      <c r="B792" s="4"/>
      <c r="C792" s="5" t="s">
        <v>582</v>
      </c>
      <c r="D792" s="1">
        <v>6577.5</v>
      </c>
      <c r="E792" s="47">
        <v>0.28</v>
      </c>
      <c r="F792" s="1">
        <f>((105950-43850)*E792)+F791</f>
        <v>23965.5</v>
      </c>
      <c r="G792" s="47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ht="15">
      <c r="A793" s="4"/>
      <c r="B793" s="4"/>
      <c r="C793" s="5" t="s">
        <v>583</v>
      </c>
      <c r="D793" s="1">
        <v>23965.5</v>
      </c>
      <c r="E793" s="47">
        <v>0.31</v>
      </c>
      <c r="F793" s="1">
        <f>((161450-105950)*E793)+F792</f>
        <v>41170.5</v>
      </c>
      <c r="G793" s="47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ht="15">
      <c r="A794" s="4"/>
      <c r="B794" s="4"/>
      <c r="C794" s="5" t="s">
        <v>584</v>
      </c>
      <c r="D794" s="1">
        <v>41170.5</v>
      </c>
      <c r="E794" s="47">
        <v>0.36</v>
      </c>
      <c r="F794" s="1">
        <f>((288350-161450)*E794)+F793</f>
        <v>86854.5</v>
      </c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1:34" ht="15">
      <c r="A795" s="4"/>
      <c r="B795" s="4"/>
      <c r="C795" s="5" t="s">
        <v>585</v>
      </c>
      <c r="D795" s="1">
        <v>86854.5</v>
      </c>
      <c r="E795" s="47">
        <v>0.3960000000000001</v>
      </c>
      <c r="F795" s="1">
        <f>((+D798-288350)*E795)+F794</f>
        <v>200340.63215999992</v>
      </c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1:34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:34" ht="15">
      <c r="A797" s="4"/>
      <c r="B797" s="4"/>
      <c r="C797" s="5"/>
      <c r="D797" s="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:34" ht="15">
      <c r="A798" s="4"/>
      <c r="B798" s="4"/>
      <c r="C798" s="5" t="s">
        <v>586</v>
      </c>
      <c r="D798" s="1">
        <f>B!K52</f>
        <v>574931.1418181816</v>
      </c>
      <c r="E798" s="4"/>
      <c r="F798" s="1">
        <f>F795</f>
        <v>200340.63215999992</v>
      </c>
      <c r="G798" s="47">
        <f>F798/D798</f>
        <v>0.348460219995104</v>
      </c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:34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:34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34" ht="21.75" customHeight="1">
      <c r="A802" s="4"/>
      <c r="B802" s="8" t="str">
        <f>B340</f>
        <v>RAINIER VIEW WATER CO., INC.</v>
      </c>
      <c r="C802" s="57"/>
      <c r="D802" s="255"/>
      <c r="E802" s="255"/>
      <c r="F802" s="256"/>
      <c r="G802" s="57" t="str">
        <f>G547</f>
        <v>Docket No. UW-010877</v>
      </c>
      <c r="H802" s="257"/>
      <c r="I802" s="327"/>
      <c r="J802" s="13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:34" ht="15.75">
      <c r="A803" s="4"/>
      <c r="B803" s="265" t="s">
        <v>452</v>
      </c>
      <c r="C803" s="199"/>
      <c r="D803" s="49"/>
      <c r="E803" s="49"/>
      <c r="F803" s="49"/>
      <c r="G803" s="199" t="s">
        <v>252</v>
      </c>
      <c r="H803" s="50"/>
      <c r="I803" s="40"/>
      <c r="J803" s="18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:34" ht="15.75">
      <c r="A804" s="4"/>
      <c r="B804" s="14" t="s">
        <v>587</v>
      </c>
      <c r="C804" s="199"/>
      <c r="D804" s="49"/>
      <c r="E804" s="49"/>
      <c r="F804" s="49"/>
      <c r="G804" s="199"/>
      <c r="H804" s="50"/>
      <c r="I804" s="40"/>
      <c r="J804" s="18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:34" ht="15.75">
      <c r="A805" s="4"/>
      <c r="B805" s="265" t="str">
        <f>B342</f>
        <v>FOR THE 12 MONTHS ENDED DECEMBER 31, 2000</v>
      </c>
      <c r="C805" s="262"/>
      <c r="D805" s="262" t="s">
        <v>454</v>
      </c>
      <c r="E805" s="49"/>
      <c r="F805" s="262" t="s">
        <v>455</v>
      </c>
      <c r="G805" s="49"/>
      <c r="H805" s="50"/>
      <c r="I805" s="40"/>
      <c r="J805" s="18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1:34" ht="15.75">
      <c r="A806" s="4"/>
      <c r="B806" s="265"/>
      <c r="C806" s="199" t="str">
        <f>IF(B!E372&lt;&gt;0,+"(WITH FEDERAL INCOME TAXES IMPUTED)",+"(WITHOUT FEDERAL INCOME TAXES IMPUTED)")</f>
        <v>(WITH FEDERAL INCOME TAXES IMPUTED)</v>
      </c>
      <c r="D806" s="3" t="str">
        <f>IF(B!E372&lt;&gt;0,+"                     (WITH FIT)",+"                  (WITHOUT FIT)")</f>
        <v>                     (WITH FIT)</v>
      </c>
      <c r="E806" s="199"/>
      <c r="F806" s="262" t="s">
        <v>456</v>
      </c>
      <c r="G806" s="49"/>
      <c r="H806" s="264"/>
      <c r="I806" s="14"/>
      <c r="J806" s="18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:34" ht="15.75">
      <c r="A807" s="4"/>
      <c r="B807" s="265"/>
      <c r="C807" s="199"/>
      <c r="D807" s="269" t="s">
        <v>9</v>
      </c>
      <c r="E807" s="272" t="s">
        <v>9</v>
      </c>
      <c r="F807" s="269" t="s">
        <v>9</v>
      </c>
      <c r="G807" s="272" t="s">
        <v>9</v>
      </c>
      <c r="H807" s="264"/>
      <c r="I807" s="40"/>
      <c r="J807" s="18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1:34" ht="15.75">
      <c r="A808" s="4"/>
      <c r="B808" s="265" t="s">
        <v>14</v>
      </c>
      <c r="C808" s="199"/>
      <c r="D808" s="328" t="s">
        <v>457</v>
      </c>
      <c r="E808" s="329" t="s">
        <v>194</v>
      </c>
      <c r="F808" s="328" t="s">
        <v>457</v>
      </c>
      <c r="G808" s="329" t="s">
        <v>194</v>
      </c>
      <c r="H808" s="264" t="s">
        <v>458</v>
      </c>
      <c r="I808" s="14" t="s">
        <v>459</v>
      </c>
      <c r="J808" s="18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:34" ht="15.75">
      <c r="A809" s="4"/>
      <c r="B809" s="265" t="s">
        <v>18</v>
      </c>
      <c r="C809" s="263" t="s">
        <v>19</v>
      </c>
      <c r="D809" s="328" t="s">
        <v>365</v>
      </c>
      <c r="E809" s="329" t="s">
        <v>366</v>
      </c>
      <c r="F809" s="328" t="s">
        <v>365</v>
      </c>
      <c r="G809" s="329" t="s">
        <v>366</v>
      </c>
      <c r="H809" s="264" t="s">
        <v>460</v>
      </c>
      <c r="I809" s="330" t="s">
        <v>461</v>
      </c>
      <c r="J809" s="331" t="s">
        <v>70</v>
      </c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34" ht="15.75">
      <c r="A810" s="4"/>
      <c r="B810" s="267"/>
      <c r="C810" s="268" t="s">
        <v>25</v>
      </c>
      <c r="D810" s="269" t="s">
        <v>26</v>
      </c>
      <c r="E810" s="272" t="s">
        <v>27</v>
      </c>
      <c r="F810" s="269" t="s">
        <v>28</v>
      </c>
      <c r="G810" s="272" t="s">
        <v>29</v>
      </c>
      <c r="H810" s="267" t="s">
        <v>30</v>
      </c>
      <c r="I810" s="332" t="s">
        <v>31</v>
      </c>
      <c r="J810" s="272" t="s">
        <v>32</v>
      </c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1:34" ht="15">
      <c r="A811" s="4"/>
      <c r="B811" s="273"/>
      <c r="C811" s="49"/>
      <c r="D811" s="76"/>
      <c r="E811" s="274"/>
      <c r="F811" s="76"/>
      <c r="G811" s="274"/>
      <c r="H811" s="333"/>
      <c r="I811" s="334"/>
      <c r="J811" s="27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1:34" ht="15.75">
      <c r="A812" s="4"/>
      <c r="B812" s="273"/>
      <c r="C812" s="199"/>
      <c r="D812" s="76"/>
      <c r="E812" s="274"/>
      <c r="F812" s="76"/>
      <c r="G812" s="274"/>
      <c r="H812" s="333"/>
      <c r="I812" s="334"/>
      <c r="J812" s="27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:34" ht="15.75">
      <c r="A813" s="4"/>
      <c r="B813" s="273">
        <v>1</v>
      </c>
      <c r="C813" s="199" t="s">
        <v>462</v>
      </c>
      <c r="D813" s="277">
        <f>D606</f>
        <v>597970.96</v>
      </c>
      <c r="E813" s="335">
        <f>E606</f>
        <v>5064468</v>
      </c>
      <c r="F813" s="277">
        <f>F606</f>
        <v>597970.96</v>
      </c>
      <c r="G813" s="335">
        <f>G606</f>
        <v>5069911</v>
      </c>
      <c r="H813" s="311"/>
      <c r="I813" s="336"/>
      <c r="J813" s="337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:34" ht="15.75">
      <c r="A814" s="4"/>
      <c r="B814" s="273">
        <f>B813+1</f>
        <v>2</v>
      </c>
      <c r="C814" s="199" t="s">
        <v>463</v>
      </c>
      <c r="D814" s="282"/>
      <c r="E814" s="281">
        <f>D813/+E813</f>
        <v>0.11807182116660624</v>
      </c>
      <c r="F814" s="296"/>
      <c r="G814" s="281">
        <f>F813/+G813</f>
        <v>0.11794506057404162</v>
      </c>
      <c r="H814" s="338"/>
      <c r="I814" s="339"/>
      <c r="J814" s="28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ht="15.75">
      <c r="A815" s="4"/>
      <c r="B815" s="273"/>
      <c r="C815" s="199"/>
      <c r="D815" s="282"/>
      <c r="E815" s="281"/>
      <c r="F815" s="296"/>
      <c r="G815" s="281"/>
      <c r="H815" s="338"/>
      <c r="I815" s="339"/>
      <c r="J815" s="28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:34" ht="15.75">
      <c r="A816" s="4"/>
      <c r="B816" s="273"/>
      <c r="C816" s="285" t="s">
        <v>588</v>
      </c>
      <c r="D816" s="76"/>
      <c r="E816" s="274"/>
      <c r="F816" s="75"/>
      <c r="G816" s="244"/>
      <c r="H816" s="333"/>
      <c r="I816" s="334"/>
      <c r="J816" s="27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:34" ht="15">
      <c r="A817" s="4"/>
      <c r="B817" s="273">
        <f>B814+1</f>
        <v>3</v>
      </c>
      <c r="C817" s="49" t="s">
        <v>464</v>
      </c>
      <c r="D817" s="76">
        <f>D610</f>
        <v>-119219.75999999998</v>
      </c>
      <c r="E817" s="274">
        <f>E610</f>
        <v>0</v>
      </c>
      <c r="F817" s="76">
        <f>F610</f>
        <v>-119219.6225286</v>
      </c>
      <c r="G817" s="274">
        <f>G610</f>
        <v>0</v>
      </c>
      <c r="H817" s="333" t="str">
        <f aca="true" t="shared" si="94" ref="H817:H823">IF(I817+J817&lt;&gt;0,+"  Contested",+"  Uncontested")</f>
        <v>  Uncontested</v>
      </c>
      <c r="I817" s="334">
        <f aca="true" t="shared" si="95" ref="I817:J823">ROUND(+D817-F817,0)</f>
        <v>0</v>
      </c>
      <c r="J817" s="274">
        <f t="shared" si="95"/>
        <v>0</v>
      </c>
      <c r="K817" s="4"/>
      <c r="L817" s="4"/>
      <c r="M817" s="49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:34" ht="15">
      <c r="A818" s="4"/>
      <c r="B818" s="273">
        <f aca="true" t="shared" si="96" ref="B818:B823">B817+1</f>
        <v>4</v>
      </c>
      <c r="C818" s="49" t="s">
        <v>482</v>
      </c>
      <c r="D818" s="76">
        <f>D634</f>
        <v>-32866.67999999999</v>
      </c>
      <c r="E818" s="274">
        <f>E634</f>
        <v>0</v>
      </c>
      <c r="F818" s="76">
        <f>F634</f>
        <v>-32866.68</v>
      </c>
      <c r="G818" s="274">
        <f>G634</f>
        <v>0</v>
      </c>
      <c r="H818" s="333" t="str">
        <f t="shared" si="94"/>
        <v>  Uncontested</v>
      </c>
      <c r="I818" s="334">
        <f t="shared" si="95"/>
        <v>0</v>
      </c>
      <c r="J818" s="274">
        <f t="shared" si="95"/>
        <v>0</v>
      </c>
      <c r="K818" s="4"/>
      <c r="L818" s="4"/>
      <c r="M818" s="49" t="s">
        <v>465</v>
      </c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:34" ht="15">
      <c r="A819" s="4"/>
      <c r="B819" s="273">
        <f t="shared" si="96"/>
        <v>5</v>
      </c>
      <c r="C819" s="49" t="s">
        <v>485</v>
      </c>
      <c r="D819" s="76">
        <f aca="true" t="shared" si="97" ref="D819:G820">D637</f>
        <v>-15785.879999999997</v>
      </c>
      <c r="E819" s="274">
        <f t="shared" si="97"/>
        <v>0</v>
      </c>
      <c r="F819" s="76">
        <f t="shared" si="97"/>
        <v>-15785.88</v>
      </c>
      <c r="G819" s="274">
        <f t="shared" si="97"/>
        <v>0</v>
      </c>
      <c r="H819" s="333" t="str">
        <f t="shared" si="94"/>
        <v>  Uncontested</v>
      </c>
      <c r="I819" s="334">
        <f t="shared" si="95"/>
        <v>0</v>
      </c>
      <c r="J819" s="274">
        <f t="shared" si="95"/>
        <v>0</v>
      </c>
      <c r="K819" s="4"/>
      <c r="L819" s="4"/>
      <c r="M819" s="49" t="s">
        <v>466</v>
      </c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:34" ht="15">
      <c r="A820" s="4"/>
      <c r="B820" s="273">
        <f t="shared" si="96"/>
        <v>6</v>
      </c>
      <c r="C820" s="49" t="s">
        <v>486</v>
      </c>
      <c r="D820" s="76">
        <f t="shared" si="97"/>
        <v>-30587.699999999997</v>
      </c>
      <c r="E820" s="274">
        <f t="shared" si="97"/>
        <v>0</v>
      </c>
      <c r="F820" s="76">
        <f t="shared" si="97"/>
        <v>-30587.699999999997</v>
      </c>
      <c r="G820" s="274">
        <f t="shared" si="97"/>
        <v>0</v>
      </c>
      <c r="H820" s="333" t="str">
        <f t="shared" si="94"/>
        <v>  Uncontested</v>
      </c>
      <c r="I820" s="334">
        <f t="shared" si="95"/>
        <v>0</v>
      </c>
      <c r="J820" s="274">
        <f t="shared" si="95"/>
        <v>0</v>
      </c>
      <c r="K820" s="4"/>
      <c r="L820" s="4"/>
      <c r="M820" s="49" t="s">
        <v>467</v>
      </c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:34" ht="15">
      <c r="A821" s="4"/>
      <c r="B821" s="273">
        <f t="shared" si="96"/>
        <v>7</v>
      </c>
      <c r="C821" s="49" t="s">
        <v>589</v>
      </c>
      <c r="D821" s="76">
        <f>D640</f>
        <v>-6097.74</v>
      </c>
      <c r="E821" s="274">
        <f>E640</f>
        <v>42506</v>
      </c>
      <c r="F821" s="76">
        <f>F640</f>
        <v>-6097.74</v>
      </c>
      <c r="G821" s="274">
        <f>G640</f>
        <v>42506</v>
      </c>
      <c r="H821" s="333" t="str">
        <f t="shared" si="94"/>
        <v>  Uncontested</v>
      </c>
      <c r="I821" s="334">
        <f t="shared" si="95"/>
        <v>0</v>
      </c>
      <c r="J821" s="274">
        <f t="shared" si="95"/>
        <v>0</v>
      </c>
      <c r="K821" s="4"/>
      <c r="L821" s="4"/>
      <c r="M821" s="49" t="s">
        <v>468</v>
      </c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ht="15">
      <c r="A822" s="4"/>
      <c r="B822" s="273">
        <f t="shared" si="96"/>
        <v>8</v>
      </c>
      <c r="C822" s="49" t="s">
        <v>471</v>
      </c>
      <c r="D822" s="76">
        <f>D617</f>
        <v>0</v>
      </c>
      <c r="E822" s="274">
        <f>E617</f>
        <v>0</v>
      </c>
      <c r="F822" s="76">
        <f>F617</f>
        <v>0</v>
      </c>
      <c r="G822" s="274">
        <f>G617</f>
        <v>0</v>
      </c>
      <c r="H822" s="333" t="str">
        <f t="shared" si="94"/>
        <v>  Uncontested</v>
      </c>
      <c r="I822" s="334">
        <f t="shared" si="95"/>
        <v>0</v>
      </c>
      <c r="J822" s="274">
        <f t="shared" si="95"/>
        <v>0</v>
      </c>
      <c r="K822" s="4"/>
      <c r="L822" s="4"/>
      <c r="M822" s="49" t="s">
        <v>469</v>
      </c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:34" ht="15">
      <c r="A823" s="4"/>
      <c r="B823" s="273">
        <f t="shared" si="96"/>
        <v>9</v>
      </c>
      <c r="C823" s="49" t="s">
        <v>474</v>
      </c>
      <c r="D823" s="76">
        <f>D620</f>
        <v>0</v>
      </c>
      <c r="E823" s="274">
        <f>E620</f>
        <v>0</v>
      </c>
      <c r="F823" s="76">
        <f>F620</f>
        <v>0</v>
      </c>
      <c r="G823" s="274">
        <f>G620</f>
        <v>0</v>
      </c>
      <c r="H823" s="333" t="str">
        <f t="shared" si="94"/>
        <v>  Uncontested</v>
      </c>
      <c r="I823" s="334">
        <f t="shared" si="95"/>
        <v>0</v>
      </c>
      <c r="J823" s="274">
        <f t="shared" si="95"/>
        <v>0</v>
      </c>
      <c r="K823" s="4"/>
      <c r="L823" s="4"/>
      <c r="M823" s="49" t="s">
        <v>470</v>
      </c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ht="15">
      <c r="A824" s="4"/>
      <c r="B824" s="273"/>
      <c r="C824" s="49"/>
      <c r="D824" s="76"/>
      <c r="E824" s="274"/>
      <c r="F824" s="76"/>
      <c r="G824" s="274"/>
      <c r="H824" s="333"/>
      <c r="I824" s="334"/>
      <c r="J824" s="274"/>
      <c r="K824" s="4"/>
      <c r="L824" s="4"/>
      <c r="M824" s="49" t="s">
        <v>471</v>
      </c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ht="15.75">
      <c r="A825" s="4"/>
      <c r="B825" s="273">
        <f>B823+1</f>
        <v>10</v>
      </c>
      <c r="C825" s="199" t="s">
        <v>590</v>
      </c>
      <c r="D825" s="277">
        <f>SUM(D817:D823)</f>
        <v>-204557.75999999995</v>
      </c>
      <c r="E825" s="335">
        <f>SUM(E817:E823)</f>
        <v>42506</v>
      </c>
      <c r="F825" s="277">
        <f>SUM(F817:F823)</f>
        <v>-204557.62252859998</v>
      </c>
      <c r="G825" s="335">
        <f>SUM(G817:G823)</f>
        <v>42506</v>
      </c>
      <c r="H825" s="311"/>
      <c r="I825" s="336">
        <f>SUM(I817:I823)</f>
        <v>0</v>
      </c>
      <c r="J825" s="337">
        <f>SUM(J817:J823)</f>
        <v>0</v>
      </c>
      <c r="K825" s="4"/>
      <c r="L825" s="4"/>
      <c r="M825" s="49" t="s">
        <v>472</v>
      </c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ht="15.75">
      <c r="A826" s="4"/>
      <c r="B826" s="273"/>
      <c r="C826" s="199"/>
      <c r="D826" s="277"/>
      <c r="E826" s="335"/>
      <c r="F826" s="277"/>
      <c r="G826" s="335"/>
      <c r="H826" s="338"/>
      <c r="I826" s="339"/>
      <c r="J826" s="284"/>
      <c r="K826" s="4"/>
      <c r="L826" s="4"/>
      <c r="M826" s="49" t="s">
        <v>473</v>
      </c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34" ht="15.75">
      <c r="A827" s="4"/>
      <c r="B827" s="273"/>
      <c r="C827" s="285" t="s">
        <v>591</v>
      </c>
      <c r="D827" s="265"/>
      <c r="E827" s="340"/>
      <c r="F827" s="265"/>
      <c r="G827" s="204"/>
      <c r="H827" s="333"/>
      <c r="I827" s="334"/>
      <c r="J827" s="274"/>
      <c r="K827" s="4"/>
      <c r="L827" s="4"/>
      <c r="M827" s="49" t="s">
        <v>474</v>
      </c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:34" ht="15">
      <c r="A828" s="4"/>
      <c r="B828" s="273">
        <f>B825+1</f>
        <v>11</v>
      </c>
      <c r="C828" s="49" t="s">
        <v>465</v>
      </c>
      <c r="D828" s="76">
        <f>D611</f>
        <v>-12005.399999999998</v>
      </c>
      <c r="E828" s="274">
        <f>E611</f>
        <v>0</v>
      </c>
      <c r="F828" s="76">
        <f>F611</f>
        <v>-33674.038417799995</v>
      </c>
      <c r="G828" s="274">
        <f>G611</f>
        <v>0</v>
      </c>
      <c r="H828" s="333" t="str">
        <f aca="true" t="shared" si="98" ref="H828:H836">IF(I828+J828&lt;&gt;0,+"  Contested",+"  Uncontested")</f>
        <v>  Contested</v>
      </c>
      <c r="I828" s="334">
        <f aca="true" t="shared" si="99" ref="I828:I846">ROUND(+D828-F828,0)</f>
        <v>21669</v>
      </c>
      <c r="J828" s="274">
        <f aca="true" t="shared" si="100" ref="J828:J846">ROUND(+E828-G828,0)</f>
        <v>0</v>
      </c>
      <c r="K828" s="4"/>
      <c r="L828" s="4"/>
      <c r="M828" s="49" t="s">
        <v>475</v>
      </c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:34" ht="15">
      <c r="A829" s="4"/>
      <c r="B829" s="273">
        <f aca="true" t="shared" si="101" ref="B829:B846">B828+1</f>
        <v>12</v>
      </c>
      <c r="C829" s="49" t="s">
        <v>478</v>
      </c>
      <c r="D829" s="76">
        <f>D624</f>
        <v>76075.56</v>
      </c>
      <c r="E829" s="274">
        <f>E624</f>
        <v>0</v>
      </c>
      <c r="F829" s="76">
        <f>F624</f>
        <v>49982.46</v>
      </c>
      <c r="G829" s="274">
        <f>G624</f>
        <v>0</v>
      </c>
      <c r="H829" s="333" t="str">
        <f t="shared" si="98"/>
        <v>  Contested</v>
      </c>
      <c r="I829" s="334">
        <f t="shared" si="99"/>
        <v>26093</v>
      </c>
      <c r="J829" s="274">
        <f t="shared" si="100"/>
        <v>0</v>
      </c>
      <c r="K829" s="4"/>
      <c r="L829" s="4"/>
      <c r="M829" s="49" t="s">
        <v>476</v>
      </c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:34" ht="15">
      <c r="A830" s="4"/>
      <c r="B830" s="273">
        <f t="shared" si="101"/>
        <v>13</v>
      </c>
      <c r="C830" s="49" t="s">
        <v>467</v>
      </c>
      <c r="D830" s="76">
        <f aca="true" t="shared" si="102" ref="D830:G833">D613</f>
        <v>98095.13999999998</v>
      </c>
      <c r="E830" s="274">
        <f t="shared" si="102"/>
        <v>0</v>
      </c>
      <c r="F830" s="76">
        <f t="shared" si="102"/>
        <v>0</v>
      </c>
      <c r="G830" s="274">
        <f t="shared" si="102"/>
        <v>0</v>
      </c>
      <c r="H830" s="333" t="str">
        <f t="shared" si="98"/>
        <v>  Contested</v>
      </c>
      <c r="I830" s="334">
        <f t="shared" si="99"/>
        <v>98095</v>
      </c>
      <c r="J830" s="274">
        <f t="shared" si="100"/>
        <v>0</v>
      </c>
      <c r="K830" s="4"/>
      <c r="L830" s="4"/>
      <c r="M830" s="49" t="s">
        <v>477</v>
      </c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:34" ht="15">
      <c r="A831" s="4"/>
      <c r="B831" s="273">
        <f t="shared" si="101"/>
        <v>14</v>
      </c>
      <c r="C831" s="49" t="s">
        <v>468</v>
      </c>
      <c r="D831" s="76">
        <f t="shared" si="102"/>
        <v>4427.279999999999</v>
      </c>
      <c r="E831" s="274">
        <f t="shared" si="102"/>
        <v>0</v>
      </c>
      <c r="F831" s="76">
        <f t="shared" si="102"/>
        <v>0</v>
      </c>
      <c r="G831" s="274">
        <f t="shared" si="102"/>
        <v>0</v>
      </c>
      <c r="H831" s="333" t="str">
        <f t="shared" si="98"/>
        <v>  Contested</v>
      </c>
      <c r="I831" s="334">
        <f t="shared" si="99"/>
        <v>4427</v>
      </c>
      <c r="J831" s="274">
        <f t="shared" si="100"/>
        <v>0</v>
      </c>
      <c r="K831" s="4"/>
      <c r="L831" s="4"/>
      <c r="M831" s="49" t="s">
        <v>478</v>
      </c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:34" ht="15">
      <c r="A832" s="4"/>
      <c r="B832" s="273">
        <f t="shared" si="101"/>
        <v>15</v>
      </c>
      <c r="C832" s="49" t="s">
        <v>592</v>
      </c>
      <c r="D832" s="76">
        <f t="shared" si="102"/>
        <v>21166.199999999997</v>
      </c>
      <c r="E832" s="274">
        <f t="shared" si="102"/>
        <v>0</v>
      </c>
      <c r="F832" s="76">
        <f t="shared" si="102"/>
        <v>-4335.51624</v>
      </c>
      <c r="G832" s="274">
        <f t="shared" si="102"/>
        <v>0</v>
      </c>
      <c r="H832" s="333" t="str">
        <f t="shared" si="98"/>
        <v>  Contested</v>
      </c>
      <c r="I832" s="334">
        <f t="shared" si="99"/>
        <v>25502</v>
      </c>
      <c r="J832" s="274">
        <f t="shared" si="100"/>
        <v>0</v>
      </c>
      <c r="K832" s="4"/>
      <c r="L832" s="4"/>
      <c r="M832" s="49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:34" ht="15.75">
      <c r="A833" s="4"/>
      <c r="B833" s="273">
        <f t="shared" si="101"/>
        <v>16</v>
      </c>
      <c r="C833" s="49" t="s">
        <v>470</v>
      </c>
      <c r="D833" s="76">
        <f t="shared" si="102"/>
        <v>1028.2799999999997</v>
      </c>
      <c r="E833" s="274">
        <f t="shared" si="102"/>
        <v>0</v>
      </c>
      <c r="F833" s="76">
        <f t="shared" si="102"/>
        <v>0</v>
      </c>
      <c r="G833" s="274">
        <f t="shared" si="102"/>
        <v>0</v>
      </c>
      <c r="H833" s="333" t="str">
        <f t="shared" si="98"/>
        <v>  Contested</v>
      </c>
      <c r="I833" s="334">
        <f t="shared" si="99"/>
        <v>1028</v>
      </c>
      <c r="J833" s="274">
        <f t="shared" si="100"/>
        <v>0</v>
      </c>
      <c r="K833" s="4"/>
      <c r="L833" s="4"/>
      <c r="M833" s="199" t="s">
        <v>387</v>
      </c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ht="15.75">
      <c r="A834" s="4"/>
      <c r="B834" s="273">
        <f t="shared" si="101"/>
        <v>17</v>
      </c>
      <c r="C834" s="49" t="s">
        <v>472</v>
      </c>
      <c r="D834" s="76">
        <f aca="true" t="shared" si="103" ref="D834:G835">D618</f>
        <v>375.53999999999996</v>
      </c>
      <c r="E834" s="274">
        <f t="shared" si="103"/>
        <v>0</v>
      </c>
      <c r="F834" s="76">
        <f t="shared" si="103"/>
        <v>0</v>
      </c>
      <c r="G834" s="274">
        <f t="shared" si="103"/>
        <v>0</v>
      </c>
      <c r="H834" s="333" t="str">
        <f t="shared" si="98"/>
        <v>  Contested</v>
      </c>
      <c r="I834" s="334">
        <f t="shared" si="99"/>
        <v>376</v>
      </c>
      <c r="J834" s="274">
        <f t="shared" si="100"/>
        <v>0</v>
      </c>
      <c r="K834" s="4"/>
      <c r="L834" s="4"/>
      <c r="M834" s="199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:34" ht="15.75">
      <c r="A835" s="4"/>
      <c r="B835" s="273">
        <f t="shared" si="101"/>
        <v>18</v>
      </c>
      <c r="C835" s="49" t="s">
        <v>473</v>
      </c>
      <c r="D835" s="76">
        <f t="shared" si="103"/>
        <v>-605.8799999999999</v>
      </c>
      <c r="E835" s="274">
        <f t="shared" si="103"/>
        <v>0</v>
      </c>
      <c r="F835" s="76">
        <f t="shared" si="103"/>
        <v>0</v>
      </c>
      <c r="G835" s="274">
        <f t="shared" si="103"/>
        <v>0</v>
      </c>
      <c r="H835" s="333" t="str">
        <f t="shared" si="98"/>
        <v>  Contested</v>
      </c>
      <c r="I835" s="334">
        <f t="shared" si="99"/>
        <v>-606</v>
      </c>
      <c r="J835" s="274">
        <f t="shared" si="100"/>
        <v>0</v>
      </c>
      <c r="K835" s="4"/>
      <c r="L835" s="4"/>
      <c r="M835" s="199" t="s">
        <v>389</v>
      </c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1:34" ht="15.75">
      <c r="A836" s="4"/>
      <c r="B836" s="273">
        <f t="shared" si="101"/>
        <v>19</v>
      </c>
      <c r="C836" s="49" t="s">
        <v>475</v>
      </c>
      <c r="D836" s="76">
        <f aca="true" t="shared" si="104" ref="D836:G837">D621</f>
        <v>24511.960000000006</v>
      </c>
      <c r="E836" s="274">
        <f t="shared" si="104"/>
        <v>0</v>
      </c>
      <c r="F836" s="76">
        <f t="shared" si="104"/>
        <v>0</v>
      </c>
      <c r="G836" s="274">
        <f t="shared" si="104"/>
        <v>0</v>
      </c>
      <c r="H836" s="333" t="str">
        <f t="shared" si="98"/>
        <v>  Contested</v>
      </c>
      <c r="I836" s="334">
        <f t="shared" si="99"/>
        <v>24512</v>
      </c>
      <c r="J836" s="274">
        <f t="shared" si="100"/>
        <v>0</v>
      </c>
      <c r="K836" s="4"/>
      <c r="L836" s="4"/>
      <c r="M836" s="199" t="s">
        <v>479</v>
      </c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:34" ht="15.75">
      <c r="A837" s="4"/>
      <c r="B837" s="273">
        <f t="shared" si="101"/>
        <v>20</v>
      </c>
      <c r="C837" s="49" t="s">
        <v>476</v>
      </c>
      <c r="D837" s="76">
        <f t="shared" si="104"/>
        <v>0</v>
      </c>
      <c r="E837" s="274">
        <f t="shared" si="104"/>
        <v>0</v>
      </c>
      <c r="F837" s="76">
        <f t="shared" si="104"/>
        <v>0</v>
      </c>
      <c r="G837" s="274">
        <f t="shared" si="104"/>
        <v>0</v>
      </c>
      <c r="H837" s="333" t="str">
        <f>IF(I837+J837&lt;&gt;0,+"  Contested",+"  Contested")</f>
        <v>  Contested</v>
      </c>
      <c r="I837" s="334">
        <f t="shared" si="99"/>
        <v>0</v>
      </c>
      <c r="J837" s="274">
        <f t="shared" si="100"/>
        <v>0</v>
      </c>
      <c r="K837" s="4"/>
      <c r="L837" s="4"/>
      <c r="M837" s="199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:34" ht="15.75">
      <c r="A838" s="4"/>
      <c r="B838" s="273">
        <f t="shared" si="101"/>
        <v>21</v>
      </c>
      <c r="C838" s="49" t="s">
        <v>466</v>
      </c>
      <c r="D838" s="76">
        <f>D612</f>
        <v>0</v>
      </c>
      <c r="E838" s="274">
        <f>E612</f>
        <v>-99882</v>
      </c>
      <c r="F838" s="76">
        <f>F612</f>
        <v>0</v>
      </c>
      <c r="G838" s="274">
        <f>G612</f>
        <v>-102603</v>
      </c>
      <c r="H838" s="333" t="str">
        <f>IF(I838+J838&lt;&gt;0,+"  Contested",+"  Contested")</f>
        <v>  Contested</v>
      </c>
      <c r="I838" s="334">
        <f t="shared" si="99"/>
        <v>0</v>
      </c>
      <c r="J838" s="274">
        <f t="shared" si="100"/>
        <v>2721</v>
      </c>
      <c r="K838" s="4"/>
      <c r="L838" s="4"/>
      <c r="M838" s="285" t="s">
        <v>390</v>
      </c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ht="15">
      <c r="A839" s="4"/>
      <c r="B839" s="273">
        <f t="shared" si="101"/>
        <v>22</v>
      </c>
      <c r="C839" s="49" t="s">
        <v>477</v>
      </c>
      <c r="D839" s="76">
        <f>D623</f>
        <v>0</v>
      </c>
      <c r="E839" s="274">
        <f>E623</f>
        <v>240945</v>
      </c>
      <c r="F839" s="76">
        <f>F623</f>
        <v>0</v>
      </c>
      <c r="G839" s="274">
        <f>G623</f>
        <v>231387</v>
      </c>
      <c r="H839" s="333" t="str">
        <f>IF(I839+J839&lt;&gt;0,+"  Contested",+"  Contested")</f>
        <v>  Contested</v>
      </c>
      <c r="I839" s="334">
        <f t="shared" si="99"/>
        <v>0</v>
      </c>
      <c r="J839" s="274">
        <f t="shared" si="100"/>
        <v>9558</v>
      </c>
      <c r="K839" s="4"/>
      <c r="L839" s="4"/>
      <c r="M839" s="49" t="s">
        <v>480</v>
      </c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ht="15">
      <c r="A840" s="4"/>
      <c r="B840" s="273">
        <f t="shared" si="101"/>
        <v>23</v>
      </c>
      <c r="C840" s="49" t="s">
        <v>480</v>
      </c>
      <c r="D840" s="76">
        <f aca="true" t="shared" si="105" ref="D840:G841">D632</f>
        <v>-94050.65999999999</v>
      </c>
      <c r="E840" s="274">
        <f t="shared" si="105"/>
        <v>0</v>
      </c>
      <c r="F840" s="76">
        <f t="shared" si="105"/>
        <v>-99459.7325568</v>
      </c>
      <c r="G840" s="274">
        <f t="shared" si="105"/>
        <v>0</v>
      </c>
      <c r="H840" s="333" t="str">
        <f>IF(I840+J840&lt;&gt;0,+"  Contested",+"  Contested")</f>
        <v>  Contested</v>
      </c>
      <c r="I840" s="334">
        <f t="shared" si="99"/>
        <v>5409</v>
      </c>
      <c r="J840" s="274">
        <f t="shared" si="100"/>
        <v>0</v>
      </c>
      <c r="K840" s="4"/>
      <c r="L840" s="4"/>
      <c r="M840" s="49" t="s">
        <v>481</v>
      </c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ht="15">
      <c r="A841" s="4"/>
      <c r="B841" s="273">
        <f t="shared" si="101"/>
        <v>24</v>
      </c>
      <c r="C841" s="49" t="s">
        <v>481</v>
      </c>
      <c r="D841" s="76">
        <f t="shared" si="105"/>
        <v>0</v>
      </c>
      <c r="E841" s="274">
        <f t="shared" si="105"/>
        <v>0</v>
      </c>
      <c r="F841" s="76">
        <f t="shared" si="105"/>
        <v>-28477.7951238</v>
      </c>
      <c r="G841" s="274">
        <f t="shared" si="105"/>
        <v>0</v>
      </c>
      <c r="H841" s="333" t="str">
        <f aca="true" t="shared" si="106" ref="H841:H846">IF(I841+J841&lt;&gt;0,+"  Contested",+"  Uncontested")</f>
        <v>  Contested</v>
      </c>
      <c r="I841" s="334">
        <f t="shared" si="99"/>
        <v>28478</v>
      </c>
      <c r="J841" s="274">
        <f t="shared" si="100"/>
        <v>0</v>
      </c>
      <c r="K841" s="4"/>
      <c r="L841" s="4"/>
      <c r="M841" s="49" t="s">
        <v>482</v>
      </c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34" ht="15">
      <c r="A842" s="4"/>
      <c r="B842" s="273">
        <f t="shared" si="101"/>
        <v>25</v>
      </c>
      <c r="C842" s="49" t="s">
        <v>483</v>
      </c>
      <c r="D842" s="76">
        <f>D635</f>
        <v>-4179.779999999999</v>
      </c>
      <c r="E842" s="274">
        <f>E635</f>
        <v>0</v>
      </c>
      <c r="F842" s="76">
        <f>F635</f>
        <v>-14894.22</v>
      </c>
      <c r="G842" s="274">
        <f>G635</f>
        <v>0</v>
      </c>
      <c r="H842" s="333" t="str">
        <f t="shared" si="106"/>
        <v>  Contested</v>
      </c>
      <c r="I842" s="334">
        <f t="shared" si="99"/>
        <v>10714</v>
      </c>
      <c r="J842" s="274">
        <f t="shared" si="100"/>
        <v>0</v>
      </c>
      <c r="K842" s="4"/>
      <c r="L842" s="4"/>
      <c r="M842" s="49" t="s">
        <v>483</v>
      </c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1:34" ht="15">
      <c r="A843" s="4"/>
      <c r="B843" s="273">
        <f t="shared" si="101"/>
        <v>26</v>
      </c>
      <c r="C843" s="49" t="s">
        <v>484</v>
      </c>
      <c r="D843" s="76">
        <f>D636</f>
        <v>-32159.819999999992</v>
      </c>
      <c r="E843" s="274">
        <f>E636</f>
        <v>0</v>
      </c>
      <c r="F843" s="76">
        <f>F636</f>
        <v>-31784.28</v>
      </c>
      <c r="G843" s="274">
        <f>G616</f>
        <v>0</v>
      </c>
      <c r="H843" s="333" t="str">
        <f t="shared" si="106"/>
        <v>  Contested</v>
      </c>
      <c r="I843" s="334">
        <f t="shared" si="99"/>
        <v>-376</v>
      </c>
      <c r="J843" s="274">
        <f t="shared" si="100"/>
        <v>0</v>
      </c>
      <c r="K843" s="4"/>
      <c r="L843" s="4"/>
      <c r="M843" s="49" t="s">
        <v>484</v>
      </c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ht="15">
      <c r="A844" s="4"/>
      <c r="B844" s="273">
        <f t="shared" si="101"/>
        <v>27</v>
      </c>
      <c r="C844" s="49" t="s">
        <v>490</v>
      </c>
      <c r="D844" s="76">
        <f aca="true" t="shared" si="107" ref="D844:G845">D642</f>
        <v>0</v>
      </c>
      <c r="E844" s="274">
        <f t="shared" si="107"/>
        <v>0</v>
      </c>
      <c r="F844" s="76">
        <f t="shared" si="107"/>
        <v>-4185.719999999999</v>
      </c>
      <c r="G844" s="274">
        <f t="shared" si="107"/>
        <v>0</v>
      </c>
      <c r="H844" s="333" t="str">
        <f t="shared" si="106"/>
        <v>  Contested</v>
      </c>
      <c r="I844" s="334">
        <f t="shared" si="99"/>
        <v>4186</v>
      </c>
      <c r="J844" s="274">
        <f t="shared" si="100"/>
        <v>0</v>
      </c>
      <c r="K844" s="4"/>
      <c r="L844" s="4"/>
      <c r="M844" s="49" t="s">
        <v>485</v>
      </c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:34" ht="15">
      <c r="A845" s="4"/>
      <c r="B845" s="273">
        <f t="shared" si="101"/>
        <v>28</v>
      </c>
      <c r="C845" s="49" t="s">
        <v>491</v>
      </c>
      <c r="D845" s="76">
        <f t="shared" si="107"/>
        <v>-46444.34000000001</v>
      </c>
      <c r="E845" s="274">
        <f t="shared" si="107"/>
        <v>0</v>
      </c>
      <c r="F845" s="76">
        <f t="shared" si="107"/>
        <v>0</v>
      </c>
      <c r="G845" s="274">
        <f t="shared" si="107"/>
        <v>0</v>
      </c>
      <c r="H845" s="333" t="str">
        <f t="shared" si="106"/>
        <v>  Contested</v>
      </c>
      <c r="I845" s="334">
        <f t="shared" si="99"/>
        <v>-46444</v>
      </c>
      <c r="J845" s="274">
        <f t="shared" si="100"/>
        <v>0</v>
      </c>
      <c r="K845" s="4"/>
      <c r="L845" s="4"/>
      <c r="M845" s="49" t="s">
        <v>486</v>
      </c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34" ht="15">
      <c r="A846" s="4"/>
      <c r="B846" s="273">
        <f t="shared" si="101"/>
        <v>29</v>
      </c>
      <c r="C846" s="49" t="s">
        <v>489</v>
      </c>
      <c r="D846" s="76">
        <f>D641</f>
        <v>3458.3999999999996</v>
      </c>
      <c r="E846" s="274">
        <f>E641</f>
        <v>-25409</v>
      </c>
      <c r="F846" s="76">
        <f>F641</f>
        <v>0</v>
      </c>
      <c r="G846" s="274">
        <f>G641</f>
        <v>24499</v>
      </c>
      <c r="H846" s="333" t="str">
        <f t="shared" si="106"/>
        <v>  Contested</v>
      </c>
      <c r="I846" s="334">
        <f t="shared" si="99"/>
        <v>3458</v>
      </c>
      <c r="J846" s="274">
        <f t="shared" si="100"/>
        <v>-49908</v>
      </c>
      <c r="K846" s="4"/>
      <c r="L846" s="4"/>
      <c r="M846" s="49" t="s">
        <v>487</v>
      </c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1:34" ht="15">
      <c r="A847" s="4"/>
      <c r="B847" s="273"/>
      <c r="C847" s="49"/>
      <c r="D847" s="76"/>
      <c r="E847" s="274"/>
      <c r="F847" s="76"/>
      <c r="G847" s="274"/>
      <c r="H847" s="333"/>
      <c r="I847" s="334"/>
      <c r="J847" s="274"/>
      <c r="K847" s="4"/>
      <c r="L847" s="4"/>
      <c r="M847" s="49" t="s">
        <v>488</v>
      </c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34" ht="15.75">
      <c r="A848" s="4"/>
      <c r="B848" s="273">
        <f>B846+1</f>
        <v>30</v>
      </c>
      <c r="C848" s="199" t="s">
        <v>593</v>
      </c>
      <c r="D848" s="277">
        <f>SUM(D828:D847)</f>
        <v>39692.48</v>
      </c>
      <c r="E848" s="335">
        <f>SUM(E828:E847)</f>
        <v>115654</v>
      </c>
      <c r="F848" s="277">
        <f>SUM(F828:F847)</f>
        <v>-166828.8423384</v>
      </c>
      <c r="G848" s="335">
        <f>SUM(G828:G847)</f>
        <v>153283</v>
      </c>
      <c r="H848" s="311"/>
      <c r="I848" s="336">
        <f>SUM(I828:I846)</f>
        <v>206521</v>
      </c>
      <c r="J848" s="337">
        <f>SUM(J828:J846)</f>
        <v>-37629</v>
      </c>
      <c r="K848" s="4"/>
      <c r="L848" s="4"/>
      <c r="M848" s="49" t="s">
        <v>489</v>
      </c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:34" ht="15">
      <c r="A849" s="4"/>
      <c r="B849" s="273"/>
      <c r="C849" s="49"/>
      <c r="D849" s="296"/>
      <c r="E849" s="247"/>
      <c r="F849" s="296"/>
      <c r="G849" s="341"/>
      <c r="H849" s="338"/>
      <c r="I849" s="339"/>
      <c r="J849" s="284"/>
      <c r="K849" s="4"/>
      <c r="L849" s="4"/>
      <c r="M849" s="49" t="s">
        <v>490</v>
      </c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ht="15.75">
      <c r="A850" s="4"/>
      <c r="B850" s="273">
        <f>B848+1</f>
        <v>31</v>
      </c>
      <c r="C850" s="199" t="s">
        <v>414</v>
      </c>
      <c r="D850" s="277">
        <f>D813+D825+D848</f>
        <v>433105.68</v>
      </c>
      <c r="E850" s="335">
        <f>E813+E825+E848</f>
        <v>5222628</v>
      </c>
      <c r="F850" s="277">
        <f>F813+F825+F848</f>
        <v>226584.495133</v>
      </c>
      <c r="G850" s="335">
        <f>G813+G825+G848</f>
        <v>5265700</v>
      </c>
      <c r="H850" s="311"/>
      <c r="I850" s="336"/>
      <c r="J850" s="337"/>
      <c r="K850" s="4"/>
      <c r="L850" s="4"/>
      <c r="M850" s="49" t="s">
        <v>491</v>
      </c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:34" ht="15.75">
      <c r="A851" s="4"/>
      <c r="B851" s="273">
        <f>B850+1</f>
        <v>32</v>
      </c>
      <c r="C851" s="199" t="s">
        <v>492</v>
      </c>
      <c r="D851" s="296"/>
      <c r="E851" s="281">
        <f>D850/+E850</f>
        <v>0.08292868647738265</v>
      </c>
      <c r="F851" s="296"/>
      <c r="G851" s="281">
        <f>F850/+G850</f>
        <v>0.043030270454640404</v>
      </c>
      <c r="H851" s="338"/>
      <c r="I851" s="339"/>
      <c r="J851" s="28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:34" ht="15">
      <c r="A852" s="4"/>
      <c r="B852" s="273"/>
      <c r="C852" s="49"/>
      <c r="D852" s="296"/>
      <c r="E852" s="247"/>
      <c r="F852" s="296"/>
      <c r="G852" s="341"/>
      <c r="H852" s="338"/>
      <c r="I852" s="339"/>
      <c r="J852" s="28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:34" ht="15.75">
      <c r="A853" s="4"/>
      <c r="B853" s="273">
        <f>B851+1</f>
        <v>33</v>
      </c>
      <c r="C853" s="199" t="s">
        <v>493</v>
      </c>
      <c r="D853" s="302">
        <f>D650</f>
        <v>17084.8535999998</v>
      </c>
      <c r="E853" s="342">
        <f>E650</f>
        <v>0</v>
      </c>
      <c r="F853" s="302">
        <f>F650</f>
        <v>271846.1306369996</v>
      </c>
      <c r="G853" s="342">
        <f>G650</f>
        <v>0</v>
      </c>
      <c r="H853" s="333"/>
      <c r="I853" s="334"/>
      <c r="J853" s="27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:34" ht="15.75">
      <c r="A854" s="4"/>
      <c r="B854" s="273"/>
      <c r="C854" s="199"/>
      <c r="D854" s="75"/>
      <c r="E854" s="244"/>
      <c r="F854" s="75"/>
      <c r="G854" s="274"/>
      <c r="H854" s="333"/>
      <c r="I854" s="334"/>
      <c r="J854" s="27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:34" ht="15.75">
      <c r="A855" s="4"/>
      <c r="B855" s="273">
        <f>B853+1</f>
        <v>34</v>
      </c>
      <c r="C855" s="199" t="s">
        <v>494</v>
      </c>
      <c r="D855" s="277">
        <f>D850+D853</f>
        <v>450190.5335999998</v>
      </c>
      <c r="E855" s="335">
        <f>E850+E853</f>
        <v>5222628</v>
      </c>
      <c r="F855" s="277">
        <f>F850+F853</f>
        <v>498430.6257699996</v>
      </c>
      <c r="G855" s="335">
        <f>G850+G853</f>
        <v>5265700</v>
      </c>
      <c r="H855" s="365"/>
      <c r="I855" s="336"/>
      <c r="J855" s="337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:34" ht="15.75">
      <c r="A856" s="4"/>
      <c r="B856" s="273">
        <f>B855+1</f>
        <v>35</v>
      </c>
      <c r="C856" s="199" t="s">
        <v>495</v>
      </c>
      <c r="D856" s="277"/>
      <c r="E856" s="281">
        <f>D855/+E855</f>
        <v>0.08619999999999996</v>
      </c>
      <c r="F856" s="296"/>
      <c r="G856" s="281">
        <f>F855/+G855</f>
        <v>0.09465609999999992</v>
      </c>
      <c r="H856" s="311"/>
      <c r="I856" s="336"/>
      <c r="J856" s="337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:34" ht="15">
      <c r="A857" s="4"/>
      <c r="B857" s="305"/>
      <c r="C857" s="306"/>
      <c r="D857" s="307"/>
      <c r="E857" s="310"/>
      <c r="F857" s="307"/>
      <c r="G857" s="310"/>
      <c r="H857" s="343"/>
      <c r="I857" s="344"/>
      <c r="J857" s="310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:34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1:34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:34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:34" ht="15">
      <c r="A861" s="4"/>
      <c r="B861" s="327"/>
      <c r="C861" s="11"/>
      <c r="D861" s="11"/>
      <c r="E861" s="11"/>
      <c r="F861" s="11"/>
      <c r="G861" s="1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ht="15">
      <c r="A862" s="4"/>
      <c r="B862" s="40"/>
      <c r="C862" s="1" t="s">
        <v>594</v>
      </c>
      <c r="D862" s="4"/>
      <c r="E862" s="4"/>
      <c r="F862" s="4"/>
      <c r="G862" s="18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1:34" ht="15">
      <c r="A863" s="4"/>
      <c r="B863" s="40"/>
      <c r="C863" s="1" t="s">
        <v>595</v>
      </c>
      <c r="D863" s="4"/>
      <c r="E863" s="4"/>
      <c r="F863" s="4"/>
      <c r="G863" s="18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ht="15">
      <c r="A864" s="4"/>
      <c r="B864" s="40"/>
      <c r="C864" s="1" t="s">
        <v>596</v>
      </c>
      <c r="D864" s="4"/>
      <c r="E864" s="4"/>
      <c r="F864" s="4"/>
      <c r="G864" s="18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:34" ht="15">
      <c r="A865" s="4"/>
      <c r="B865" s="40"/>
      <c r="C865" s="4"/>
      <c r="D865" s="4"/>
      <c r="E865" s="4"/>
      <c r="F865" s="4"/>
      <c r="G865" s="18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1:34" ht="15">
      <c r="A866" s="4"/>
      <c r="B866" s="40"/>
      <c r="C866" s="5" t="s">
        <v>597</v>
      </c>
      <c r="D866" s="4"/>
      <c r="E866" s="4"/>
      <c r="F866" s="4"/>
      <c r="G866" s="18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ht="15">
      <c r="A867" s="4"/>
      <c r="B867" s="40"/>
      <c r="C867" s="5" t="s">
        <v>598</v>
      </c>
      <c r="D867" s="1">
        <v>3400</v>
      </c>
      <c r="E867" s="1">
        <v>15709</v>
      </c>
      <c r="F867" s="4"/>
      <c r="G867" s="366">
        <v>0.011100000000000002</v>
      </c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34" ht="15">
      <c r="A868" s="4"/>
      <c r="B868" s="40"/>
      <c r="C868" s="5" t="s">
        <v>599</v>
      </c>
      <c r="D868" s="1">
        <v>17400</v>
      </c>
      <c r="E868" s="1">
        <v>33200</v>
      </c>
      <c r="F868" s="4"/>
      <c r="G868" s="366">
        <v>0.008100000000000001</v>
      </c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:34" ht="15">
      <c r="A869" s="4"/>
      <c r="B869" s="40"/>
      <c r="C869" s="5" t="s">
        <v>600</v>
      </c>
      <c r="D869" s="1">
        <v>75000</v>
      </c>
      <c r="E869" s="1">
        <v>29555</v>
      </c>
      <c r="F869" s="4"/>
      <c r="G869" s="366">
        <v>0.003800000000000001</v>
      </c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:34" ht="15">
      <c r="A870" s="4"/>
      <c r="B870" s="40"/>
      <c r="C870" s="5" t="s">
        <v>601</v>
      </c>
      <c r="D870" s="1">
        <v>75000</v>
      </c>
      <c r="E870" s="1">
        <v>47431</v>
      </c>
      <c r="F870" s="4"/>
      <c r="G870" s="366">
        <v>0.005</v>
      </c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ht="15">
      <c r="A871" s="4"/>
      <c r="B871" s="40"/>
      <c r="C871" s="5" t="s">
        <v>602</v>
      </c>
      <c r="D871" s="1">
        <v>75000</v>
      </c>
      <c r="E871" s="1">
        <v>-627</v>
      </c>
      <c r="F871" s="4"/>
      <c r="G871" s="366">
        <f>AVERAGE(G867:G870)</f>
        <v>0.007000000000000001</v>
      </c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1:34" ht="15">
      <c r="A872" s="4"/>
      <c r="B872" s="40"/>
      <c r="C872" s="5" t="s">
        <v>603</v>
      </c>
      <c r="D872" s="1">
        <v>75000</v>
      </c>
      <c r="E872" s="1">
        <v>58198</v>
      </c>
      <c r="F872" s="4"/>
      <c r="G872" s="366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1:34" ht="15">
      <c r="A873" s="4"/>
      <c r="B873" s="40"/>
      <c r="C873" s="4"/>
      <c r="D873" s="4"/>
      <c r="E873" s="4"/>
      <c r="F873" s="4"/>
      <c r="G873" s="366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:34" ht="15">
      <c r="A874" s="4"/>
      <c r="B874" s="40"/>
      <c r="C874" s="4"/>
      <c r="D874" s="4"/>
      <c r="E874" s="1">
        <f>AVERAGE(E867:E872)</f>
        <v>30577.666666666668</v>
      </c>
      <c r="F874" s="4"/>
      <c r="G874" s="366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34" ht="15">
      <c r="A875" s="4"/>
      <c r="B875" s="40"/>
      <c r="C875" s="4"/>
      <c r="D875" s="4"/>
      <c r="E875" s="4"/>
      <c r="F875" s="4"/>
      <c r="G875" s="366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1:34" ht="15">
      <c r="A876" s="4"/>
      <c r="B876" s="40"/>
      <c r="C876" s="4"/>
      <c r="D876" s="4"/>
      <c r="E876" s="1">
        <f>AVERAGE(E868:E872)</f>
        <v>33551.4</v>
      </c>
      <c r="F876" s="4"/>
      <c r="G876" s="18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1:34" ht="15">
      <c r="A877" s="4"/>
      <c r="B877" s="40"/>
      <c r="C877" s="4"/>
      <c r="D877" s="4"/>
      <c r="E877" s="4"/>
      <c r="F877" s="4"/>
      <c r="G877" s="18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1:34" ht="15">
      <c r="A878" s="4"/>
      <c r="B878" s="40"/>
      <c r="C878" s="4"/>
      <c r="D878" s="4"/>
      <c r="E878" s="4"/>
      <c r="F878" s="4"/>
      <c r="G878" s="18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1:34" ht="15">
      <c r="A879" s="4"/>
      <c r="B879" s="102"/>
      <c r="C879" s="88"/>
      <c r="D879" s="88"/>
      <c r="E879" s="88"/>
      <c r="F879" s="88"/>
      <c r="G879" s="10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1:34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1:34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</sheetData>
  <printOptions/>
  <pageMargins left="1" right="0.75" top="0.5" bottom="0.5" header="0.5" footer="0.5"/>
  <pageSetup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96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4.7109375" style="0" customWidth="1"/>
    <col min="3" max="3" width="38.7109375" style="0" customWidth="1"/>
    <col min="4" max="4" width="16.7109375" style="0" customWidth="1"/>
    <col min="5" max="6" width="12.7109375" style="0" customWidth="1"/>
    <col min="7" max="12" width="11.7109375" style="0" customWidth="1"/>
    <col min="13" max="13" width="12.7109375" style="0" customWidth="1"/>
    <col min="14" max="31" width="11.7109375" style="0" customWidth="1"/>
    <col min="32" max="33" width="12.7109375" style="0" customWidth="1"/>
    <col min="34" max="16384" width="11.7109375" style="0" customWidth="1"/>
  </cols>
  <sheetData>
    <row r="1" spans="1:35" ht="13.5" customHeight="1">
      <c r="A1" s="1"/>
      <c r="B1" s="2"/>
      <c r="C1" s="3" t="s">
        <v>604</v>
      </c>
      <c r="D1" s="2"/>
      <c r="E1" s="5" t="str">
        <f>"Year "&amp;FIXED(+$E$360,0)</f>
        <v>Year 2,000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3.5" customHeight="1">
      <c r="A2" s="4"/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3.5" customHeight="1">
      <c r="A3" s="1" t="s">
        <v>3</v>
      </c>
      <c r="B3" s="8" t="str">
        <f>$B$352</f>
        <v>RAINIER VIEW WATER CO., INC.</v>
      </c>
      <c r="C3" s="9"/>
      <c r="D3" s="9"/>
      <c r="E3" s="9"/>
      <c r="F3" s="9"/>
      <c r="G3" s="9"/>
      <c r="H3" s="10"/>
      <c r="I3" s="11"/>
      <c r="J3" s="12" t="str">
        <f>G352</f>
        <v>Appendix A</v>
      </c>
      <c r="K3" s="1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3.5" customHeight="1">
      <c r="A4" s="4"/>
      <c r="B4" s="14" t="str">
        <f>$B$353</f>
        <v>PRO FORMA INCOME STATEMENT</v>
      </c>
      <c r="C4" s="1"/>
      <c r="D4" s="1"/>
      <c r="E4" s="1"/>
      <c r="F4" s="15"/>
      <c r="G4" s="1"/>
      <c r="H4" s="16"/>
      <c r="I4" s="4"/>
      <c r="J4" s="17" t="str">
        <f>G353</f>
        <v>Docket No. UW-010877</v>
      </c>
      <c r="K4" s="1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customHeight="1">
      <c r="A5" s="4"/>
      <c r="B5" s="19" t="str">
        <f>$B$354</f>
        <v>FOR THE 12 MONTHS ENDED DECEMBER 31, 2000</v>
      </c>
      <c r="C5" s="4"/>
      <c r="D5" s="4"/>
      <c r="E5" s="1"/>
      <c r="F5" s="20"/>
      <c r="G5" s="4"/>
      <c r="H5" s="4"/>
      <c r="I5" s="4"/>
      <c r="J5" s="17" t="s">
        <v>5</v>
      </c>
      <c r="K5" s="1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4"/>
      <c r="B6" s="19"/>
      <c r="C6" s="4"/>
      <c r="D6" s="4"/>
      <c r="E6" s="1"/>
      <c r="F6" s="20"/>
      <c r="G6" s="4"/>
      <c r="H6" s="4"/>
      <c r="I6" s="4"/>
      <c r="J6" s="4"/>
      <c r="K6" s="1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3.5" customHeight="1">
      <c r="A7" s="4"/>
      <c r="B7" s="14" t="str">
        <f>IF(E372&lt;&gt;0,+"(WITH FEDERAL INCOME TAXES IMPUTED)",+" (WITHOUT FEDERAL INCOME TAXES IMPUTED)")</f>
        <v>(WITH FEDERAL INCOME TAXES IMPUTED)</v>
      </c>
      <c r="C7" s="4"/>
      <c r="D7" s="4"/>
      <c r="E7" s="1"/>
      <c r="F7" s="20"/>
      <c r="G7" s="4"/>
      <c r="H7" s="4"/>
      <c r="I7" s="4"/>
      <c r="J7" s="4"/>
      <c r="K7" s="2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3.5" customHeight="1">
      <c r="A8" s="4"/>
      <c r="B8" s="19"/>
      <c r="C8" s="17"/>
      <c r="D8" s="17"/>
      <c r="E8" s="22"/>
      <c r="F8" s="17"/>
      <c r="G8" s="22"/>
      <c r="H8" s="17"/>
      <c r="I8" s="22"/>
      <c r="J8" s="17"/>
      <c r="K8" s="23" t="s">
        <v>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"/>
    </row>
    <row r="9" spans="1:35" ht="13.5" customHeight="1">
      <c r="A9" s="4"/>
      <c r="B9" s="19"/>
      <c r="C9" s="17"/>
      <c r="D9" s="17"/>
      <c r="E9" s="24" t="s">
        <v>83</v>
      </c>
      <c r="F9" s="24" t="s">
        <v>9</v>
      </c>
      <c r="G9" s="24" t="s">
        <v>10</v>
      </c>
      <c r="H9" s="24" t="s">
        <v>9</v>
      </c>
      <c r="I9" s="24" t="s">
        <v>11</v>
      </c>
      <c r="J9" s="24" t="s">
        <v>12</v>
      </c>
      <c r="K9" s="23" t="s">
        <v>13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3.5" customHeight="1">
      <c r="A10" s="4"/>
      <c r="B10" s="25" t="s">
        <v>14</v>
      </c>
      <c r="C10" s="17"/>
      <c r="D10" s="17"/>
      <c r="E10" s="24" t="s">
        <v>15</v>
      </c>
      <c r="F10" s="24" t="s">
        <v>16</v>
      </c>
      <c r="G10" s="24" t="s">
        <v>15</v>
      </c>
      <c r="H10" s="24" t="s">
        <v>13</v>
      </c>
      <c r="I10" s="24" t="s">
        <v>15</v>
      </c>
      <c r="J10" s="24" t="s">
        <v>17</v>
      </c>
      <c r="K10" s="26" t="s">
        <v>15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3.5" customHeight="1">
      <c r="A11" s="4"/>
      <c r="B11" s="27" t="s">
        <v>18</v>
      </c>
      <c r="C11" s="28" t="s">
        <v>19</v>
      </c>
      <c r="D11" s="28" t="s">
        <v>20</v>
      </c>
      <c r="E11" s="29" t="s">
        <v>21</v>
      </c>
      <c r="F11" s="29" t="s">
        <v>22</v>
      </c>
      <c r="G11" s="29" t="s">
        <v>21</v>
      </c>
      <c r="H11" s="28" t="s">
        <v>23</v>
      </c>
      <c r="I11" s="29" t="s">
        <v>21</v>
      </c>
      <c r="J11" s="29" t="s">
        <v>24</v>
      </c>
      <c r="K11" s="30" t="s">
        <v>21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3.5" customHeight="1">
      <c r="A12" s="4"/>
      <c r="B12" s="31"/>
      <c r="C12" s="31" t="s">
        <v>25</v>
      </c>
      <c r="D12" s="32" t="s">
        <v>26</v>
      </c>
      <c r="E12" s="31" t="s">
        <v>27</v>
      </c>
      <c r="F12" s="33" t="s">
        <v>28</v>
      </c>
      <c r="G12" s="33" t="s">
        <v>29</v>
      </c>
      <c r="H12" s="33" t="s">
        <v>30</v>
      </c>
      <c r="I12" s="33" t="s">
        <v>31</v>
      </c>
      <c r="J12" s="33" t="s">
        <v>32</v>
      </c>
      <c r="K12" s="34" t="s">
        <v>33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3.5" customHeight="1">
      <c r="A13" s="4"/>
      <c r="B13" s="35"/>
      <c r="C13" s="35"/>
      <c r="D13" s="36"/>
      <c r="E13" s="35"/>
      <c r="F13" s="37"/>
      <c r="G13" s="37"/>
      <c r="H13" s="37"/>
      <c r="I13" s="37"/>
      <c r="J13" s="37"/>
      <c r="K13" s="38"/>
      <c r="L13" s="4"/>
      <c r="M13" s="4"/>
      <c r="N13" s="4"/>
      <c r="O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3.5" customHeight="1">
      <c r="A14" s="4"/>
      <c r="B14" s="35"/>
      <c r="C14" s="14" t="s">
        <v>34</v>
      </c>
      <c r="D14" s="39"/>
      <c r="E14" s="40"/>
      <c r="F14" s="4"/>
      <c r="G14" s="4"/>
      <c r="H14" s="4"/>
      <c r="I14" s="4"/>
      <c r="J14" s="4"/>
      <c r="K14" s="1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3.5" customHeight="1">
      <c r="A15" s="4"/>
      <c r="B15" s="41">
        <v>1</v>
      </c>
      <c r="C15" s="42" t="s">
        <v>35</v>
      </c>
      <c r="D15" s="43" t="s">
        <v>36</v>
      </c>
      <c r="E15" s="44">
        <v>61772</v>
      </c>
      <c r="F15" s="45">
        <f aca="true" t="shared" si="0" ref="F15:F20">E130</f>
        <v>0</v>
      </c>
      <c r="G15" s="45">
        <f aca="true" t="shared" si="1" ref="G15:G20">E15+F15</f>
        <v>61772</v>
      </c>
      <c r="H15" s="45">
        <f aca="true" t="shared" si="2" ref="H15:H20">E247</f>
        <v>0</v>
      </c>
      <c r="I15" s="45">
        <f aca="true" t="shared" si="3" ref="I15:I20">G15+H15</f>
        <v>61772</v>
      </c>
      <c r="J15" s="45">
        <v>0</v>
      </c>
      <c r="K15" s="46">
        <f aca="true" t="shared" si="4" ref="K15:K20">I15+J15</f>
        <v>61772</v>
      </c>
      <c r="L15" s="47"/>
      <c r="M15" s="4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3.5" customHeight="1">
      <c r="A16" s="4"/>
      <c r="B16" s="41">
        <f aca="true" t="shared" si="5" ref="B16:B22">B15+1</f>
        <v>2</v>
      </c>
      <c r="C16" s="42" t="s">
        <v>37</v>
      </c>
      <c r="D16" s="43" t="s">
        <v>36</v>
      </c>
      <c r="E16" s="48">
        <v>2706447</v>
      </c>
      <c r="F16" s="1">
        <f t="shared" si="0"/>
        <v>0</v>
      </c>
      <c r="G16" s="1">
        <f t="shared" si="1"/>
        <v>2706447</v>
      </c>
      <c r="H16" s="1">
        <f t="shared" si="2"/>
        <v>0</v>
      </c>
      <c r="I16" s="1">
        <f t="shared" si="3"/>
        <v>2706447</v>
      </c>
      <c r="J16" s="49">
        <f>F494-J15</f>
        <v>27503.04588580818</v>
      </c>
      <c r="K16" s="50">
        <f t="shared" si="4"/>
        <v>2733950.0458858083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3.5" customHeight="1">
      <c r="A17" s="4"/>
      <c r="B17" s="41">
        <f t="shared" si="5"/>
        <v>3</v>
      </c>
      <c r="C17" s="42" t="s">
        <v>38</v>
      </c>
      <c r="D17" s="43" t="s">
        <v>36</v>
      </c>
      <c r="E17" s="48">
        <v>436467</v>
      </c>
      <c r="F17" s="1">
        <f t="shared" si="0"/>
        <v>-190201</v>
      </c>
      <c r="G17" s="1">
        <f t="shared" si="1"/>
        <v>246266</v>
      </c>
      <c r="H17" s="1">
        <f t="shared" si="2"/>
        <v>0</v>
      </c>
      <c r="I17" s="1">
        <f t="shared" si="3"/>
        <v>246266</v>
      </c>
      <c r="J17" s="49"/>
      <c r="K17" s="50">
        <f t="shared" si="4"/>
        <v>246266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3.5" customHeight="1">
      <c r="A18" s="4"/>
      <c r="B18" s="41">
        <f t="shared" si="5"/>
        <v>4</v>
      </c>
      <c r="C18" s="42" t="s">
        <v>39</v>
      </c>
      <c r="D18" s="43" t="s">
        <v>36</v>
      </c>
      <c r="E18" s="48">
        <v>12177</v>
      </c>
      <c r="F18" s="1">
        <f t="shared" si="0"/>
        <v>0</v>
      </c>
      <c r="G18" s="1">
        <f t="shared" si="1"/>
        <v>12177</v>
      </c>
      <c r="H18" s="1">
        <f t="shared" si="2"/>
        <v>0</v>
      </c>
      <c r="I18" s="1">
        <f t="shared" si="3"/>
        <v>12177</v>
      </c>
      <c r="J18" s="49">
        <v>0</v>
      </c>
      <c r="K18" s="50">
        <f t="shared" si="4"/>
        <v>12177</v>
      </c>
      <c r="L18" s="5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3.5" customHeight="1">
      <c r="A19" s="4"/>
      <c r="B19" s="41">
        <f t="shared" si="5"/>
        <v>5</v>
      </c>
      <c r="C19" s="42" t="s">
        <v>605</v>
      </c>
      <c r="D19" s="43" t="s">
        <v>36</v>
      </c>
      <c r="E19" s="48">
        <v>0</v>
      </c>
      <c r="F19" s="1">
        <f t="shared" si="0"/>
        <v>154066</v>
      </c>
      <c r="G19" s="1">
        <f t="shared" si="1"/>
        <v>154066</v>
      </c>
      <c r="H19" s="1">
        <f t="shared" si="2"/>
        <v>0</v>
      </c>
      <c r="I19" s="1">
        <f t="shared" si="3"/>
        <v>154066</v>
      </c>
      <c r="J19" s="49">
        <v>0</v>
      </c>
      <c r="K19" s="50">
        <f t="shared" si="4"/>
        <v>154066</v>
      </c>
      <c r="L19" s="5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3.5" customHeight="1">
      <c r="A20" s="4"/>
      <c r="B20" s="41">
        <f t="shared" si="5"/>
        <v>6</v>
      </c>
      <c r="C20" s="42" t="s">
        <v>606</v>
      </c>
      <c r="D20" s="43" t="s">
        <v>36</v>
      </c>
      <c r="E20" s="48">
        <v>0</v>
      </c>
      <c r="F20" s="1">
        <f t="shared" si="0"/>
        <v>6708</v>
      </c>
      <c r="G20" s="1">
        <f t="shared" si="1"/>
        <v>6708</v>
      </c>
      <c r="H20" s="1">
        <f t="shared" si="2"/>
        <v>0</v>
      </c>
      <c r="I20" s="1">
        <f t="shared" si="3"/>
        <v>6708</v>
      </c>
      <c r="J20" s="49">
        <v>0</v>
      </c>
      <c r="K20" s="50">
        <f t="shared" si="4"/>
        <v>6708</v>
      </c>
      <c r="L20" s="5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3.5" customHeight="1">
      <c r="A21" s="4"/>
      <c r="B21" s="41">
        <f t="shared" si="5"/>
        <v>7</v>
      </c>
      <c r="C21" s="42" t="s">
        <v>40</v>
      </c>
      <c r="D21" s="41" t="str">
        <f>"Ln "&amp;FIXED(+B15,0)&amp;" thru "&amp;FIXED(+B21,0)</f>
        <v>Ln 1 thru 7</v>
      </c>
      <c r="E21" s="52">
        <f aca="true" t="shared" si="6" ref="E21:K21">SUM(E15:E20)</f>
        <v>3216863</v>
      </c>
      <c r="F21" s="53">
        <f t="shared" si="6"/>
        <v>-29427</v>
      </c>
      <c r="G21" s="53">
        <f t="shared" si="6"/>
        <v>3187436</v>
      </c>
      <c r="H21" s="53">
        <f t="shared" si="6"/>
        <v>0</v>
      </c>
      <c r="I21" s="53">
        <f t="shared" si="6"/>
        <v>3187436</v>
      </c>
      <c r="J21" s="54">
        <f t="shared" si="6"/>
        <v>27503.04588580818</v>
      </c>
      <c r="K21" s="55">
        <f t="shared" si="6"/>
        <v>3214939.0458858083</v>
      </c>
      <c r="L21" s="5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3.5" customHeight="1">
      <c r="A22" s="4"/>
      <c r="B22" s="41">
        <f t="shared" si="5"/>
        <v>8</v>
      </c>
      <c r="C22" s="42" t="s">
        <v>41</v>
      </c>
      <c r="D22" s="43" t="s">
        <v>36</v>
      </c>
      <c r="E22" s="42">
        <v>42912</v>
      </c>
      <c r="F22" s="1">
        <f>E137</f>
        <v>0</v>
      </c>
      <c r="G22" s="1">
        <f>E22+F22</f>
        <v>42912</v>
      </c>
      <c r="H22" s="1">
        <f>E254</f>
        <v>0</v>
      </c>
      <c r="I22" s="1">
        <f>G22+H22</f>
        <v>42912</v>
      </c>
      <c r="J22" s="49">
        <v>0</v>
      </c>
      <c r="K22" s="50">
        <f>I22+J22</f>
        <v>42912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3.5" customHeight="1">
      <c r="A23" s="4"/>
      <c r="B23" s="41"/>
      <c r="C23" s="42"/>
      <c r="D23" s="43"/>
      <c r="E23" s="42"/>
      <c r="F23" s="1"/>
      <c r="G23" s="1"/>
      <c r="H23" s="1"/>
      <c r="I23" s="1"/>
      <c r="J23" s="49"/>
      <c r="K23" s="50"/>
      <c r="L23" s="4"/>
      <c r="M23" s="4"/>
      <c r="N23" s="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3.5" customHeight="1">
      <c r="A24" s="4"/>
      <c r="B24" s="41">
        <f>B22+1</f>
        <v>9</v>
      </c>
      <c r="C24" s="14" t="s">
        <v>42</v>
      </c>
      <c r="D24" s="41" t="str">
        <f>"Ln "&amp;FIXED(+B21,0)&amp;"+"&amp;FIXED(+B22,0)</f>
        <v>Ln 7+8</v>
      </c>
      <c r="E24" s="8">
        <f aca="true" t="shared" si="7" ref="E24:K24">E21+E22</f>
        <v>3259775</v>
      </c>
      <c r="F24" s="57">
        <f t="shared" si="7"/>
        <v>-29427</v>
      </c>
      <c r="G24" s="57">
        <f t="shared" si="7"/>
        <v>3230348</v>
      </c>
      <c r="H24" s="57">
        <f t="shared" si="7"/>
        <v>0</v>
      </c>
      <c r="I24" s="57">
        <f t="shared" si="7"/>
        <v>3230348</v>
      </c>
      <c r="J24" s="57">
        <f t="shared" si="7"/>
        <v>27503.04588580818</v>
      </c>
      <c r="K24" s="58">
        <f t="shared" si="7"/>
        <v>3257851.0458858083</v>
      </c>
      <c r="L24" s="5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3.5" customHeight="1">
      <c r="A25" s="4"/>
      <c r="B25" s="41"/>
      <c r="C25" s="1"/>
      <c r="D25" s="41"/>
      <c r="E25" s="8"/>
      <c r="F25" s="57"/>
      <c r="G25" s="57"/>
      <c r="H25" s="57"/>
      <c r="I25" s="57"/>
      <c r="J25" s="57"/>
      <c r="K25" s="58"/>
      <c r="L25" s="5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3.5" customHeight="1">
      <c r="A26" s="4"/>
      <c r="B26" s="35"/>
      <c r="C26" s="14" t="s">
        <v>43</v>
      </c>
      <c r="D26" s="39"/>
      <c r="E26" s="40"/>
      <c r="F26" s="4"/>
      <c r="G26" s="4"/>
      <c r="H26" s="4"/>
      <c r="I26" s="4"/>
      <c r="J26" s="4"/>
      <c r="K26" s="1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3.5" customHeight="1">
      <c r="A27" s="4"/>
      <c r="B27" s="41">
        <f>B24+1</f>
        <v>10</v>
      </c>
      <c r="C27" s="42" t="s">
        <v>44</v>
      </c>
      <c r="D27" s="43" t="s">
        <v>36</v>
      </c>
      <c r="E27" s="48">
        <v>621844</v>
      </c>
      <c r="F27" s="1">
        <f aca="true" t="shared" si="8" ref="F27:F49">E142</f>
        <v>0</v>
      </c>
      <c r="G27" s="1">
        <f aca="true" t="shared" si="9" ref="G27:G49">E27+F27</f>
        <v>621844</v>
      </c>
      <c r="H27" s="1">
        <f aca="true" t="shared" si="10" ref="H27:H49">E259</f>
        <v>133056</v>
      </c>
      <c r="I27" s="1">
        <f aca="true" t="shared" si="11" ref="I27:I49">G27+H27</f>
        <v>754900</v>
      </c>
      <c r="J27" s="1">
        <v>0</v>
      </c>
      <c r="K27" s="50">
        <f aca="true" t="shared" si="12" ref="K27:K49">I27+J27</f>
        <v>754900</v>
      </c>
      <c r="L27" s="4"/>
      <c r="M27" s="1"/>
      <c r="N27" s="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3.5" customHeight="1">
      <c r="A28" s="4"/>
      <c r="B28" s="41">
        <f aca="true" t="shared" si="13" ref="B28:B46">B27+1</f>
        <v>11</v>
      </c>
      <c r="C28" s="42" t="s">
        <v>45</v>
      </c>
      <c r="D28" s="43" t="s">
        <v>36</v>
      </c>
      <c r="E28" s="48">
        <v>76440</v>
      </c>
      <c r="F28" s="1">
        <f t="shared" si="8"/>
        <v>-28957</v>
      </c>
      <c r="G28" s="1">
        <f t="shared" si="9"/>
        <v>47483</v>
      </c>
      <c r="H28" s="1">
        <f t="shared" si="10"/>
        <v>0</v>
      </c>
      <c r="I28" s="1">
        <f t="shared" si="11"/>
        <v>47483</v>
      </c>
      <c r="J28" s="1">
        <v>0</v>
      </c>
      <c r="K28" s="50">
        <f t="shared" si="12"/>
        <v>47483</v>
      </c>
      <c r="L28" s="47"/>
      <c r="M28" s="1"/>
      <c r="N28" s="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3.5" customHeight="1">
      <c r="A29" s="4"/>
      <c r="B29" s="41">
        <f t="shared" si="13"/>
        <v>12</v>
      </c>
      <c r="C29" s="42" t="s">
        <v>46</v>
      </c>
      <c r="D29" s="43" t="s">
        <v>36</v>
      </c>
      <c r="E29" s="48">
        <v>155856</v>
      </c>
      <c r="F29" s="1">
        <f t="shared" si="8"/>
        <v>0</v>
      </c>
      <c r="G29" s="1">
        <f t="shared" si="9"/>
        <v>155856</v>
      </c>
      <c r="H29" s="1">
        <f t="shared" si="10"/>
        <v>49798</v>
      </c>
      <c r="I29" s="1">
        <f t="shared" si="11"/>
        <v>205654</v>
      </c>
      <c r="J29" s="1">
        <v>0</v>
      </c>
      <c r="K29" s="50">
        <f t="shared" si="12"/>
        <v>205654</v>
      </c>
      <c r="L29" s="4"/>
      <c r="M29" s="1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3.5" customHeight="1">
      <c r="A30" s="4"/>
      <c r="B30" s="41">
        <f t="shared" si="13"/>
        <v>13</v>
      </c>
      <c r="C30" s="42" t="s">
        <v>47</v>
      </c>
      <c r="D30" s="43" t="s">
        <v>36</v>
      </c>
      <c r="E30" s="48">
        <v>173896</v>
      </c>
      <c r="F30" s="1">
        <f t="shared" si="8"/>
        <v>0</v>
      </c>
      <c r="G30" s="1">
        <f t="shared" si="9"/>
        <v>173896</v>
      </c>
      <c r="H30" s="1">
        <f t="shared" si="10"/>
        <v>46345</v>
      </c>
      <c r="I30" s="1">
        <f t="shared" si="11"/>
        <v>220241</v>
      </c>
      <c r="J30" s="1">
        <v>0</v>
      </c>
      <c r="K30" s="50">
        <f t="shared" si="12"/>
        <v>220241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3.5" customHeight="1">
      <c r="A31" s="4"/>
      <c r="B31" s="41">
        <f t="shared" si="13"/>
        <v>14</v>
      </c>
      <c r="C31" s="42" t="s">
        <v>48</v>
      </c>
      <c r="D31" s="43" t="s">
        <v>36</v>
      </c>
      <c r="E31" s="42">
        <v>79313</v>
      </c>
      <c r="F31" s="1">
        <f t="shared" si="8"/>
        <v>0</v>
      </c>
      <c r="G31" s="1">
        <f t="shared" si="9"/>
        <v>79313</v>
      </c>
      <c r="H31" s="1">
        <f t="shared" si="10"/>
        <v>0</v>
      </c>
      <c r="I31" s="1">
        <f t="shared" si="11"/>
        <v>79313</v>
      </c>
      <c r="J31" s="1">
        <v>0</v>
      </c>
      <c r="K31" s="50">
        <f t="shared" si="12"/>
        <v>79313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3.5" customHeight="1">
      <c r="A32" s="4"/>
      <c r="B32" s="41">
        <f t="shared" si="13"/>
        <v>15</v>
      </c>
      <c r="C32" s="42" t="s">
        <v>49</v>
      </c>
      <c r="D32" s="43" t="s">
        <v>36</v>
      </c>
      <c r="E32" s="42">
        <v>376036</v>
      </c>
      <c r="F32" s="1">
        <f t="shared" si="8"/>
        <v>0</v>
      </c>
      <c r="G32" s="1">
        <f t="shared" si="9"/>
        <v>376036</v>
      </c>
      <c r="H32" s="1">
        <f t="shared" si="10"/>
        <v>23918</v>
      </c>
      <c r="I32" s="1">
        <f t="shared" si="11"/>
        <v>399954</v>
      </c>
      <c r="J32" s="1">
        <v>0</v>
      </c>
      <c r="K32" s="50">
        <f t="shared" si="12"/>
        <v>399954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3.5" customHeight="1">
      <c r="A33" s="4"/>
      <c r="B33" s="41">
        <f t="shared" si="13"/>
        <v>16</v>
      </c>
      <c r="C33" s="42" t="s">
        <v>50</v>
      </c>
      <c r="D33" s="43" t="s">
        <v>36</v>
      </c>
      <c r="E33" s="48">
        <v>37709</v>
      </c>
      <c r="F33" s="1">
        <f t="shared" si="8"/>
        <v>0</v>
      </c>
      <c r="G33" s="1">
        <f t="shared" si="9"/>
        <v>37709</v>
      </c>
      <c r="H33" s="1">
        <f t="shared" si="10"/>
        <v>0</v>
      </c>
      <c r="I33" s="1">
        <f t="shared" si="11"/>
        <v>37709</v>
      </c>
      <c r="J33" s="1">
        <v>0</v>
      </c>
      <c r="K33" s="50">
        <f t="shared" si="12"/>
        <v>37709</v>
      </c>
      <c r="L33" s="60"/>
      <c r="M33" s="1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3.5" customHeight="1">
      <c r="A34" s="4"/>
      <c r="B34" s="41">
        <f t="shared" si="13"/>
        <v>17</v>
      </c>
      <c r="C34" s="42" t="s">
        <v>51</v>
      </c>
      <c r="D34" s="43" t="s">
        <v>36</v>
      </c>
      <c r="E34" s="42">
        <v>26961</v>
      </c>
      <c r="F34" s="1">
        <f t="shared" si="8"/>
        <v>0</v>
      </c>
      <c r="G34" s="1">
        <f t="shared" si="9"/>
        <v>26961</v>
      </c>
      <c r="H34" s="1">
        <f t="shared" si="10"/>
        <v>0</v>
      </c>
      <c r="I34" s="1">
        <f t="shared" si="11"/>
        <v>26961</v>
      </c>
      <c r="J34" s="1">
        <v>0</v>
      </c>
      <c r="K34" s="50">
        <f t="shared" si="12"/>
        <v>26961</v>
      </c>
      <c r="L34" s="1"/>
      <c r="M34" s="1"/>
      <c r="N34" s="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3.5" customHeight="1">
      <c r="A35" s="4"/>
      <c r="B35" s="41">
        <f t="shared" si="13"/>
        <v>18</v>
      </c>
      <c r="C35" s="42" t="s">
        <v>52</v>
      </c>
      <c r="D35" s="43" t="s">
        <v>36</v>
      </c>
      <c r="E35" s="42">
        <v>29681</v>
      </c>
      <c r="F35" s="1">
        <f t="shared" si="8"/>
        <v>-1558</v>
      </c>
      <c r="G35" s="1">
        <f t="shared" si="9"/>
        <v>28123</v>
      </c>
      <c r="H35" s="1">
        <f t="shared" si="10"/>
        <v>0</v>
      </c>
      <c r="I35" s="1">
        <f t="shared" si="11"/>
        <v>28123</v>
      </c>
      <c r="J35" s="1">
        <v>0</v>
      </c>
      <c r="K35" s="50">
        <f t="shared" si="12"/>
        <v>28123</v>
      </c>
      <c r="L35" s="1"/>
      <c r="M35" s="1"/>
      <c r="N35" s="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3.5" customHeight="1">
      <c r="A36" s="4"/>
      <c r="B36" s="41">
        <f t="shared" si="13"/>
        <v>19</v>
      </c>
      <c r="C36" s="42" t="s">
        <v>53</v>
      </c>
      <c r="D36" s="43" t="s">
        <v>36</v>
      </c>
      <c r="E36" s="42">
        <v>7138</v>
      </c>
      <c r="F36" s="1">
        <f t="shared" si="8"/>
        <v>0</v>
      </c>
      <c r="G36" s="1">
        <f t="shared" si="9"/>
        <v>7138</v>
      </c>
      <c r="H36" s="1">
        <f t="shared" si="10"/>
        <v>0</v>
      </c>
      <c r="I36" s="1">
        <f t="shared" si="11"/>
        <v>7138</v>
      </c>
      <c r="J36" s="1">
        <v>0</v>
      </c>
      <c r="K36" s="50">
        <f t="shared" si="12"/>
        <v>7138</v>
      </c>
      <c r="L36" s="1"/>
      <c r="M36" s="1"/>
      <c r="N36" s="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3.5" customHeight="1">
      <c r="A37" s="4"/>
      <c r="B37" s="41">
        <f t="shared" si="13"/>
        <v>20</v>
      </c>
      <c r="C37" s="42" t="s">
        <v>55</v>
      </c>
      <c r="D37" s="43" t="s">
        <v>36</v>
      </c>
      <c r="E37" s="42">
        <v>49740</v>
      </c>
      <c r="F37" s="1">
        <f t="shared" si="8"/>
        <v>0</v>
      </c>
      <c r="G37" s="1">
        <f t="shared" si="9"/>
        <v>49740</v>
      </c>
      <c r="H37" s="1">
        <f t="shared" si="10"/>
        <v>0</v>
      </c>
      <c r="I37" s="1">
        <f t="shared" si="11"/>
        <v>49740</v>
      </c>
      <c r="J37" s="1">
        <v>0</v>
      </c>
      <c r="K37" s="50">
        <f t="shared" si="12"/>
        <v>49740</v>
      </c>
      <c r="L37" s="1"/>
      <c r="M37" s="1"/>
      <c r="N37" s="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3.5" customHeight="1">
      <c r="A38" s="4"/>
      <c r="B38" s="41">
        <f t="shared" si="13"/>
        <v>21</v>
      </c>
      <c r="C38" s="42" t="s">
        <v>54</v>
      </c>
      <c r="D38" s="43" t="s">
        <v>36</v>
      </c>
      <c r="E38" s="42">
        <v>200</v>
      </c>
      <c r="F38" s="1">
        <f t="shared" si="8"/>
        <v>0</v>
      </c>
      <c r="G38" s="1">
        <f t="shared" si="9"/>
        <v>200</v>
      </c>
      <c r="H38" s="1">
        <f t="shared" si="10"/>
        <v>0</v>
      </c>
      <c r="I38" s="1">
        <f t="shared" si="11"/>
        <v>200</v>
      </c>
      <c r="J38" s="1">
        <v>0</v>
      </c>
      <c r="K38" s="50">
        <f t="shared" si="12"/>
        <v>200</v>
      </c>
      <c r="L38" s="1"/>
      <c r="M38" s="1"/>
      <c r="N38" s="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3.5" customHeight="1">
      <c r="A39" s="4"/>
      <c r="B39" s="41">
        <f t="shared" si="13"/>
        <v>22</v>
      </c>
      <c r="C39" s="42" t="s">
        <v>56</v>
      </c>
      <c r="D39" s="43" t="s">
        <v>36</v>
      </c>
      <c r="E39" s="42">
        <v>89840</v>
      </c>
      <c r="F39" s="1">
        <f t="shared" si="8"/>
        <v>0</v>
      </c>
      <c r="G39" s="1">
        <f t="shared" si="9"/>
        <v>89840</v>
      </c>
      <c r="H39" s="1">
        <f t="shared" si="10"/>
        <v>0</v>
      </c>
      <c r="I39" s="1">
        <f t="shared" si="11"/>
        <v>89840</v>
      </c>
      <c r="J39" s="1">
        <v>0</v>
      </c>
      <c r="K39" s="50">
        <f t="shared" si="12"/>
        <v>89840</v>
      </c>
      <c r="L39" s="1"/>
      <c r="M39" s="1"/>
      <c r="N39" s="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3.5" customHeight="1">
      <c r="A40" s="4"/>
      <c r="B40" s="41">
        <f t="shared" si="13"/>
        <v>23</v>
      </c>
      <c r="C40" s="42" t="s">
        <v>57</v>
      </c>
      <c r="D40" s="43" t="s">
        <v>36</v>
      </c>
      <c r="E40" s="42">
        <v>34259</v>
      </c>
      <c r="F40" s="1">
        <f t="shared" si="8"/>
        <v>-569</v>
      </c>
      <c r="G40" s="1">
        <f t="shared" si="9"/>
        <v>33690</v>
      </c>
      <c r="H40" s="1">
        <f t="shared" si="10"/>
        <v>-6342</v>
      </c>
      <c r="I40" s="1">
        <f t="shared" si="11"/>
        <v>27348</v>
      </c>
      <c r="J40" s="1">
        <v>0</v>
      </c>
      <c r="K40" s="50">
        <f t="shared" si="12"/>
        <v>27348</v>
      </c>
      <c r="L40" s="1"/>
      <c r="M40" s="1"/>
      <c r="N40" s="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13.5" customHeight="1">
      <c r="A41" s="4"/>
      <c r="B41" s="41">
        <f t="shared" si="13"/>
        <v>24</v>
      </c>
      <c r="C41" s="42" t="s">
        <v>58</v>
      </c>
      <c r="D41" s="43" t="s">
        <v>36</v>
      </c>
      <c r="E41" s="42">
        <v>14785</v>
      </c>
      <c r="F41" s="1">
        <f t="shared" si="8"/>
        <v>0</v>
      </c>
      <c r="G41" s="1">
        <f t="shared" si="9"/>
        <v>14785</v>
      </c>
      <c r="H41" s="1">
        <f t="shared" si="10"/>
        <v>55069</v>
      </c>
      <c r="I41" s="1">
        <f t="shared" si="11"/>
        <v>69854</v>
      </c>
      <c r="J41" s="1">
        <v>0</v>
      </c>
      <c r="K41" s="50">
        <f t="shared" si="12"/>
        <v>69854</v>
      </c>
      <c r="L41" s="1"/>
      <c r="M41" s="1"/>
      <c r="N41" s="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13.5" customHeight="1">
      <c r="A42" s="4"/>
      <c r="B42" s="41">
        <f t="shared" si="13"/>
        <v>25</v>
      </c>
      <c r="C42" s="42" t="s">
        <v>59</v>
      </c>
      <c r="D42" s="43" t="s">
        <v>36</v>
      </c>
      <c r="E42" s="42">
        <v>5479</v>
      </c>
      <c r="F42" s="1">
        <f t="shared" si="8"/>
        <v>918</v>
      </c>
      <c r="G42" s="1">
        <f t="shared" si="9"/>
        <v>6397</v>
      </c>
      <c r="H42" s="1">
        <f t="shared" si="10"/>
        <v>0</v>
      </c>
      <c r="I42" s="1">
        <f t="shared" si="11"/>
        <v>6397</v>
      </c>
      <c r="J42" s="1">
        <f>J24*(E370+E374)</f>
        <v>55.006091771616376</v>
      </c>
      <c r="K42" s="50">
        <f t="shared" si="12"/>
        <v>6452.006091771616</v>
      </c>
      <c r="L42" s="1"/>
      <c r="M42" s="1"/>
      <c r="N42" s="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13.5" customHeight="1">
      <c r="A43" s="4"/>
      <c r="B43" s="41">
        <f t="shared" si="13"/>
        <v>26</v>
      </c>
      <c r="C43" s="42" t="s">
        <v>60</v>
      </c>
      <c r="D43" s="43" t="s">
        <v>36</v>
      </c>
      <c r="E43" s="42">
        <v>17197</v>
      </c>
      <c r="F43" s="1">
        <f t="shared" si="8"/>
        <v>0</v>
      </c>
      <c r="G43" s="1">
        <f t="shared" si="9"/>
        <v>17197</v>
      </c>
      <c r="H43" s="1">
        <f t="shared" si="10"/>
        <v>-3500</v>
      </c>
      <c r="I43" s="1">
        <f t="shared" si="11"/>
        <v>13697</v>
      </c>
      <c r="J43" s="1">
        <v>0</v>
      </c>
      <c r="K43" s="50">
        <f t="shared" si="12"/>
        <v>13697</v>
      </c>
      <c r="L43" s="1"/>
      <c r="M43" s="1"/>
      <c r="N43" s="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3.5" customHeight="1">
      <c r="A44" s="4"/>
      <c r="B44" s="41">
        <f t="shared" si="13"/>
        <v>27</v>
      </c>
      <c r="C44" s="42" t="s">
        <v>607</v>
      </c>
      <c r="D44" s="43" t="s">
        <v>36</v>
      </c>
      <c r="E44" s="42">
        <v>579476</v>
      </c>
      <c r="F44" s="1">
        <f t="shared" si="8"/>
        <v>-115266</v>
      </c>
      <c r="G44" s="1">
        <f t="shared" si="9"/>
        <v>464210</v>
      </c>
      <c r="H44" s="1">
        <f t="shared" si="10"/>
        <v>3999</v>
      </c>
      <c r="I44" s="1">
        <f t="shared" si="11"/>
        <v>468209</v>
      </c>
      <c r="J44" s="1">
        <v>0</v>
      </c>
      <c r="K44" s="50">
        <f t="shared" si="12"/>
        <v>468209</v>
      </c>
      <c r="L44" s="1"/>
      <c r="M44" s="1"/>
      <c r="N44" s="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13.5" customHeight="1">
      <c r="A45" s="4"/>
      <c r="B45" s="41">
        <f t="shared" si="13"/>
        <v>28</v>
      </c>
      <c r="C45" s="42" t="s">
        <v>608</v>
      </c>
      <c r="D45" s="43" t="s">
        <v>36</v>
      </c>
      <c r="E45" s="42">
        <v>5443</v>
      </c>
      <c r="F45" s="1">
        <f t="shared" si="8"/>
        <v>0</v>
      </c>
      <c r="G45" s="1">
        <f t="shared" si="9"/>
        <v>5443</v>
      </c>
      <c r="H45" s="1">
        <f t="shared" si="10"/>
        <v>0</v>
      </c>
      <c r="I45" s="1">
        <f t="shared" si="11"/>
        <v>5443</v>
      </c>
      <c r="J45" s="1">
        <v>0</v>
      </c>
      <c r="K45" s="50">
        <f t="shared" si="12"/>
        <v>5443</v>
      </c>
      <c r="L45" s="1"/>
      <c r="M45" s="1"/>
      <c r="N45" s="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3.5" customHeight="1">
      <c r="A46" s="4"/>
      <c r="B46" s="41">
        <f t="shared" si="13"/>
        <v>29</v>
      </c>
      <c r="C46" s="42" t="s">
        <v>609</v>
      </c>
      <c r="D46" s="43" t="s">
        <v>36</v>
      </c>
      <c r="E46" s="42">
        <v>-182387</v>
      </c>
      <c r="F46" s="1">
        <f t="shared" si="8"/>
        <v>0</v>
      </c>
      <c r="G46" s="1">
        <f t="shared" si="9"/>
        <v>-182387</v>
      </c>
      <c r="H46" s="1">
        <f t="shared" si="10"/>
        <v>0</v>
      </c>
      <c r="I46" s="1">
        <f t="shared" si="11"/>
        <v>-182387</v>
      </c>
      <c r="J46" s="1">
        <v>0</v>
      </c>
      <c r="K46" s="50">
        <f t="shared" si="12"/>
        <v>-182387</v>
      </c>
      <c r="L46" s="1"/>
      <c r="M46" s="1"/>
      <c r="N46" s="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3.5" customHeight="1">
      <c r="A47" s="4"/>
      <c r="B47" s="41">
        <f>B44+1</f>
        <v>28</v>
      </c>
      <c r="C47" s="42" t="s">
        <v>62</v>
      </c>
      <c r="D47" s="43" t="s">
        <v>36</v>
      </c>
      <c r="E47" s="42">
        <v>-627</v>
      </c>
      <c r="F47" s="1">
        <f t="shared" si="8"/>
        <v>0</v>
      </c>
      <c r="G47" s="1">
        <f t="shared" si="9"/>
        <v>-627</v>
      </c>
      <c r="H47" s="1">
        <f t="shared" si="10"/>
        <v>19153</v>
      </c>
      <c r="I47" s="1">
        <f t="shared" si="11"/>
        <v>18526</v>
      </c>
      <c r="J47" s="1">
        <f>J24*E366</f>
        <v>178.7697982577532</v>
      </c>
      <c r="K47" s="50">
        <f t="shared" si="12"/>
        <v>18704.769798257752</v>
      </c>
      <c r="L47" s="1"/>
      <c r="M47" s="1"/>
      <c r="N47" s="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13.5" customHeight="1">
      <c r="A48" s="4"/>
      <c r="B48" s="41">
        <f>B47+1</f>
        <v>29</v>
      </c>
      <c r="C48" s="42" t="s">
        <v>63</v>
      </c>
      <c r="D48" s="43" t="s">
        <v>36</v>
      </c>
      <c r="E48" s="42">
        <v>295886</v>
      </c>
      <c r="F48" s="1">
        <f t="shared" si="8"/>
        <v>-7241</v>
      </c>
      <c r="G48" s="1">
        <f t="shared" si="9"/>
        <v>288645</v>
      </c>
      <c r="H48" s="1">
        <f t="shared" si="10"/>
        <v>8482</v>
      </c>
      <c r="I48" s="1">
        <f t="shared" si="11"/>
        <v>297127</v>
      </c>
      <c r="J48" s="1">
        <f>J24*E368</f>
        <v>1383.1281775972939</v>
      </c>
      <c r="K48" s="50">
        <f t="shared" si="12"/>
        <v>298510.1281775973</v>
      </c>
      <c r="L48" s="1"/>
      <c r="M48" s="1"/>
      <c r="N48" s="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3.5" customHeight="1">
      <c r="A49" s="4"/>
      <c r="B49" s="41">
        <f>B48+1</f>
        <v>30</v>
      </c>
      <c r="C49" s="42" t="s">
        <v>64</v>
      </c>
      <c r="D49" s="43" t="s">
        <v>36</v>
      </c>
      <c r="E49" s="48">
        <v>0</v>
      </c>
      <c r="F49" s="1">
        <f t="shared" si="8"/>
        <v>0</v>
      </c>
      <c r="G49" s="1">
        <f t="shared" si="9"/>
        <v>0</v>
      </c>
      <c r="H49" s="1">
        <f t="shared" si="10"/>
        <v>9833</v>
      </c>
      <c r="I49" s="1">
        <f t="shared" si="11"/>
        <v>9833</v>
      </c>
      <c r="J49" s="1">
        <v>0</v>
      </c>
      <c r="K49" s="50">
        <f t="shared" si="12"/>
        <v>9833</v>
      </c>
      <c r="L49" s="1"/>
      <c r="M49" s="1"/>
      <c r="N49" s="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3.5" customHeight="1">
      <c r="A50" s="4"/>
      <c r="B50" s="41">
        <f>B49+1</f>
        <v>31</v>
      </c>
      <c r="C50" s="14" t="s">
        <v>65</v>
      </c>
      <c r="D50" s="41" t="str">
        <f>"+Ln "&amp;FIXED(+B27,0)&amp;" thru "&amp;FIXED(+B49,0)</f>
        <v>+Ln 10 thru 30</v>
      </c>
      <c r="E50" s="61">
        <f aca="true" t="shared" si="14" ref="E50:K50">SUM(E27:E49)</f>
        <v>2494165</v>
      </c>
      <c r="F50" s="62">
        <f t="shared" si="14"/>
        <v>-152673</v>
      </c>
      <c r="G50" s="62">
        <f t="shared" si="14"/>
        <v>2341492</v>
      </c>
      <c r="H50" s="62">
        <f t="shared" si="14"/>
        <v>339811</v>
      </c>
      <c r="I50" s="62">
        <f t="shared" si="14"/>
        <v>2681303</v>
      </c>
      <c r="J50" s="62">
        <f t="shared" si="14"/>
        <v>1616.9040676266634</v>
      </c>
      <c r="K50" s="63">
        <f t="shared" si="14"/>
        <v>2682919.9040676267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3.5" customHeight="1">
      <c r="A51" s="4"/>
      <c r="B51" s="41"/>
      <c r="C51" s="42"/>
      <c r="D51" s="43"/>
      <c r="E51" s="42"/>
      <c r="F51" s="1"/>
      <c r="G51" s="1"/>
      <c r="H51" s="1"/>
      <c r="I51" s="1"/>
      <c r="J51" s="1"/>
      <c r="K51" s="50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3.5" customHeight="1">
      <c r="A52" s="4"/>
      <c r="B52" s="41">
        <f>B50+1</f>
        <v>32</v>
      </c>
      <c r="C52" s="14" t="s">
        <v>66</v>
      </c>
      <c r="D52" s="41" t="str">
        <f>"Ln "&amp;FIXED(+B24,0)&amp;"-"&amp;FIXED(+B50,0)</f>
        <v>Ln 9-31</v>
      </c>
      <c r="E52" s="64">
        <f aca="true" t="shared" si="15" ref="E52:K52">E24-E50</f>
        <v>765610</v>
      </c>
      <c r="F52" s="65">
        <f t="shared" si="15"/>
        <v>123246</v>
      </c>
      <c r="G52" s="65">
        <f t="shared" si="15"/>
        <v>888856</v>
      </c>
      <c r="H52" s="65">
        <f t="shared" si="15"/>
        <v>-339811</v>
      </c>
      <c r="I52" s="65">
        <f t="shared" si="15"/>
        <v>549045</v>
      </c>
      <c r="J52" s="65">
        <f t="shared" si="15"/>
        <v>25886.141818181517</v>
      </c>
      <c r="K52" s="66">
        <f t="shared" si="15"/>
        <v>574931.1418181816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3.5" customHeight="1">
      <c r="A53" s="4"/>
      <c r="B53" s="41"/>
      <c r="C53" s="14"/>
      <c r="D53" s="41"/>
      <c r="E53" s="64"/>
      <c r="F53" s="65"/>
      <c r="G53" s="65"/>
      <c r="H53" s="65"/>
      <c r="I53" s="65"/>
      <c r="J53" s="65"/>
      <c r="K53" s="6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3.5" customHeight="1">
      <c r="A54" s="4"/>
      <c r="B54" s="41">
        <f>B52+1</f>
        <v>33</v>
      </c>
      <c r="C54" s="14" t="s">
        <v>67</v>
      </c>
      <c r="D54" s="41" t="str">
        <f>"From Ln "&amp;FIXED(+B91,0)&amp;" or "&amp;FIXED(+B93,0)</f>
        <v>From Ln 48 or 49</v>
      </c>
      <c r="E54" s="42">
        <f aca="true" t="shared" si="16" ref="E54:K54">IF(+E93=0,+E91,+E93)</f>
        <v>167639.04000000004</v>
      </c>
      <c r="F54" s="1">
        <f t="shared" si="16"/>
        <v>17391.680000000008</v>
      </c>
      <c r="G54" s="1">
        <f t="shared" si="16"/>
        <v>185030.72000000003</v>
      </c>
      <c r="H54" s="1">
        <f t="shared" si="16"/>
        <v>-69091.40000000001</v>
      </c>
      <c r="I54" s="1">
        <f t="shared" si="16"/>
        <v>115939.32000000002</v>
      </c>
      <c r="J54" s="1">
        <f t="shared" si="16"/>
        <v>8801.288218181719</v>
      </c>
      <c r="K54" s="67">
        <f t="shared" si="16"/>
        <v>124740.60821818173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3.5" customHeight="1">
      <c r="A55" s="4"/>
      <c r="B55" s="41"/>
      <c r="C55" s="14"/>
      <c r="D55" s="41"/>
      <c r="E55" s="42"/>
      <c r="F55" s="1"/>
      <c r="G55" s="1"/>
      <c r="H55" s="1"/>
      <c r="I55" s="1"/>
      <c r="J55" s="1"/>
      <c r="K55" s="6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3.5" customHeight="1">
      <c r="A56" s="4"/>
      <c r="B56" s="41">
        <f>B54+1</f>
        <v>34</v>
      </c>
      <c r="C56" s="14" t="s">
        <v>68</v>
      </c>
      <c r="D56" s="41" t="str">
        <f>"Ln "&amp;FIXED(+B50,0)&amp;"+"&amp;FIXED(+B54,0)</f>
        <v>Ln 31+33</v>
      </c>
      <c r="E56" s="61">
        <f aca="true" t="shared" si="17" ref="E56:K56">E50+E54</f>
        <v>2661804.04</v>
      </c>
      <c r="F56" s="62">
        <f t="shared" si="17"/>
        <v>-135281.32</v>
      </c>
      <c r="G56" s="62">
        <f t="shared" si="17"/>
        <v>2526522.72</v>
      </c>
      <c r="H56" s="62">
        <f t="shared" si="17"/>
        <v>270719.6</v>
      </c>
      <c r="I56" s="62">
        <f t="shared" si="17"/>
        <v>2797242.32</v>
      </c>
      <c r="J56" s="62">
        <f t="shared" si="17"/>
        <v>10418.192285808382</v>
      </c>
      <c r="K56" s="63">
        <f t="shared" si="17"/>
        <v>2807660.5122858086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3.5" customHeight="1">
      <c r="A57" s="4"/>
      <c r="B57" s="41">
        <f>B56+1</f>
        <v>35</v>
      </c>
      <c r="C57" s="14" t="s">
        <v>69</v>
      </c>
      <c r="D57" s="41" t="str">
        <f>"Ln "&amp;FIXED(+B24,0)&amp;"-"&amp;FIXED(+B56,0)</f>
        <v>Ln 9-34</v>
      </c>
      <c r="E57" s="68">
        <f aca="true" t="shared" si="18" ref="E57:K57">E24-E56</f>
        <v>597970.96</v>
      </c>
      <c r="F57" s="69">
        <f t="shared" si="18"/>
        <v>105854.32</v>
      </c>
      <c r="G57" s="69">
        <f t="shared" si="18"/>
        <v>703825.2799999998</v>
      </c>
      <c r="H57" s="69">
        <f t="shared" si="18"/>
        <v>-270719.6</v>
      </c>
      <c r="I57" s="69">
        <f t="shared" si="18"/>
        <v>433105.68000000017</v>
      </c>
      <c r="J57" s="69">
        <f t="shared" si="18"/>
        <v>17084.8535999998</v>
      </c>
      <c r="K57" s="70">
        <f t="shared" si="18"/>
        <v>450190.53359999973</v>
      </c>
      <c r="L57" s="60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3.5" customHeight="1">
      <c r="A58" s="4"/>
      <c r="B58" s="35"/>
      <c r="C58" s="42"/>
      <c r="D58" s="36"/>
      <c r="E58" s="71"/>
      <c r="F58" s="72"/>
      <c r="G58" s="72"/>
      <c r="H58" s="72"/>
      <c r="I58" s="72"/>
      <c r="J58" s="72"/>
      <c r="K58" s="73"/>
      <c r="L58" s="60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customHeight="1">
      <c r="A59" s="4"/>
      <c r="B59" s="43"/>
      <c r="C59" s="14" t="s">
        <v>70</v>
      </c>
      <c r="D59" s="43"/>
      <c r="E59" s="74"/>
      <c r="F59" s="45"/>
      <c r="G59" s="45"/>
      <c r="H59" s="45"/>
      <c r="I59" s="45"/>
      <c r="J59" s="45"/>
      <c r="K59" s="46"/>
      <c r="L59" s="60"/>
      <c r="M59" s="56"/>
      <c r="N59" s="4"/>
      <c r="O59" s="4"/>
      <c r="P59" s="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3.5" customHeight="1">
      <c r="A60" s="4"/>
      <c r="B60" s="41">
        <f>B57+1</f>
        <v>36</v>
      </c>
      <c r="C60" s="42" t="s">
        <v>71</v>
      </c>
      <c r="D60" s="41" t="str">
        <f>"From Ln "&amp;FIXED(+B102,0)</f>
        <v>From Ln 55</v>
      </c>
      <c r="E60" s="75">
        <f>E102</f>
        <v>13051236</v>
      </c>
      <c r="F60" s="45">
        <f>F102</f>
        <v>-416662</v>
      </c>
      <c r="G60" s="45">
        <f>E60+F60</f>
        <v>12634574</v>
      </c>
      <c r="H60" s="45">
        <f>H102</f>
        <v>17097</v>
      </c>
      <c r="I60" s="45">
        <f>G60+H60</f>
        <v>12651671</v>
      </c>
      <c r="J60" s="45">
        <f>J102</f>
        <v>0</v>
      </c>
      <c r="K60" s="46">
        <f>K102</f>
        <v>12651671</v>
      </c>
      <c r="L60" s="60"/>
      <c r="M60" s="4"/>
      <c r="N60" s="4"/>
      <c r="O60" s="4"/>
      <c r="P60" s="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3.5" customHeight="1">
      <c r="A61" s="4"/>
      <c r="B61" s="41">
        <f>B60+1</f>
        <v>37</v>
      </c>
      <c r="C61" s="42" t="s">
        <v>72</v>
      </c>
      <c r="D61" s="41" t="str">
        <f>"From Ln "&amp;FIXED(+B106,0)</f>
        <v>From Ln 58</v>
      </c>
      <c r="E61" s="76">
        <f>E106</f>
        <v>2669095</v>
      </c>
      <c r="F61" s="49">
        <f>F106</f>
        <v>-292460</v>
      </c>
      <c r="G61" s="4">
        <f>E61+F61</f>
        <v>2376635</v>
      </c>
      <c r="H61" s="49">
        <f>H106</f>
        <v>0</v>
      </c>
      <c r="I61" s="4">
        <f>G61+H61</f>
        <v>2376635</v>
      </c>
      <c r="J61" s="49">
        <f>J106</f>
        <v>0</v>
      </c>
      <c r="K61" s="50">
        <f>K106</f>
        <v>2376635</v>
      </c>
      <c r="L61" s="60"/>
      <c r="M61" s="4"/>
      <c r="N61" s="4"/>
      <c r="O61" s="4"/>
      <c r="P61" s="1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3.5" customHeight="1">
      <c r="A62" s="4"/>
      <c r="B62" s="41">
        <f>B61+1</f>
        <v>38</v>
      </c>
      <c r="C62" s="42" t="s">
        <v>73</v>
      </c>
      <c r="D62" s="41" t="str">
        <f>"Ln "&amp;FIXED(+B60,0)&amp;"-"&amp;FIXED(+B61,0)</f>
        <v>Ln 36-37</v>
      </c>
      <c r="E62" s="77">
        <f aca="true" t="shared" si="19" ref="E62:K62">E60-E61</f>
        <v>10382141</v>
      </c>
      <c r="F62" s="54">
        <f t="shared" si="19"/>
        <v>-124202</v>
      </c>
      <c r="G62" s="54">
        <f t="shared" si="19"/>
        <v>10257939</v>
      </c>
      <c r="H62" s="54">
        <f t="shared" si="19"/>
        <v>17097</v>
      </c>
      <c r="I62" s="54">
        <f t="shared" si="19"/>
        <v>10275036</v>
      </c>
      <c r="J62" s="54">
        <f t="shared" si="19"/>
        <v>0</v>
      </c>
      <c r="K62" s="55">
        <f t="shared" si="19"/>
        <v>10275036</v>
      </c>
      <c r="L62" s="60"/>
      <c r="M62" s="4"/>
      <c r="N62" s="4"/>
      <c r="O62" s="4"/>
      <c r="P62" s="1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3.5" customHeight="1">
      <c r="A63" s="4"/>
      <c r="B63" s="41">
        <f>B62+1</f>
        <v>39</v>
      </c>
      <c r="C63" s="42" t="s">
        <v>74</v>
      </c>
      <c r="D63" s="41" t="str">
        <f>"From Ln "&amp;FIXED(+B107,0)</f>
        <v>From Ln 59</v>
      </c>
      <c r="E63" s="76">
        <f>E107</f>
        <v>-5317673</v>
      </c>
      <c r="F63" s="49">
        <f>F107</f>
        <v>24320</v>
      </c>
      <c r="G63" s="4">
        <f>E63+F63</f>
        <v>-5293353</v>
      </c>
      <c r="H63" s="49">
        <f>H107</f>
        <v>0</v>
      </c>
      <c r="I63" s="4">
        <f>G63+H63</f>
        <v>-5293353</v>
      </c>
      <c r="J63" s="49">
        <f>J107</f>
        <v>0</v>
      </c>
      <c r="K63" s="50">
        <f>K107</f>
        <v>-5293353</v>
      </c>
      <c r="L63" s="60"/>
      <c r="M63" s="4"/>
      <c r="N63" s="4"/>
      <c r="O63" s="4"/>
      <c r="P63" s="1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3.5" customHeight="1">
      <c r="A64" s="4"/>
      <c r="B64" s="41">
        <f>B63+1</f>
        <v>40</v>
      </c>
      <c r="C64" s="42" t="s">
        <v>75</v>
      </c>
      <c r="D64" s="41" t="str">
        <f>"From Ln "&amp;FIXED(+B108,0)</f>
        <v>From Ln 60</v>
      </c>
      <c r="E64" s="76">
        <f>E108</f>
        <v>0</v>
      </c>
      <c r="F64" s="49">
        <f>F108</f>
        <v>0</v>
      </c>
      <c r="G64" s="4">
        <f>E64+F64</f>
        <v>0</v>
      </c>
      <c r="H64" s="49">
        <f>H108</f>
        <v>0</v>
      </c>
      <c r="I64" s="4">
        <f>G64+H64</f>
        <v>0</v>
      </c>
      <c r="J64" s="49">
        <f>J108</f>
        <v>0</v>
      </c>
      <c r="K64" s="50">
        <f>K108</f>
        <v>0</v>
      </c>
      <c r="L64" s="60"/>
      <c r="M64" s="4"/>
      <c r="N64" s="4"/>
      <c r="O64" s="4"/>
      <c r="P64" s="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3.5" customHeight="1">
      <c r="A65" s="4"/>
      <c r="B65" s="41">
        <f>B64+1</f>
        <v>41</v>
      </c>
      <c r="C65" s="42" t="s">
        <v>76</v>
      </c>
      <c r="D65" s="41" t="str">
        <f>"From Ln "&amp;FIXED(+B110,0)</f>
        <v>From Ln 61</v>
      </c>
      <c r="E65" s="76">
        <f>E110</f>
        <v>0</v>
      </c>
      <c r="F65" s="49">
        <f>F110</f>
        <v>240945</v>
      </c>
      <c r="G65" s="4">
        <f>E65+F65</f>
        <v>240945</v>
      </c>
      <c r="H65" s="49">
        <f>H110</f>
        <v>0</v>
      </c>
      <c r="I65" s="4">
        <f>G65+H65</f>
        <v>240945</v>
      </c>
      <c r="J65" s="49">
        <f>J110</f>
        <v>0</v>
      </c>
      <c r="K65" s="50">
        <f>K110</f>
        <v>240945</v>
      </c>
      <c r="L65" s="60"/>
      <c r="M65" s="4"/>
      <c r="N65" s="4"/>
      <c r="O65" s="4"/>
      <c r="P65" s="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3.5" customHeight="1">
      <c r="A66" s="4"/>
      <c r="B66" s="43"/>
      <c r="C66" s="42"/>
      <c r="D66" s="43"/>
      <c r="E66" s="78"/>
      <c r="F66" s="49"/>
      <c r="G66" s="49"/>
      <c r="H66" s="49"/>
      <c r="I66" s="49"/>
      <c r="J66" s="49"/>
      <c r="K66" s="50"/>
      <c r="L66" s="60"/>
      <c r="M66" s="4"/>
      <c r="N66" s="4"/>
      <c r="O66" s="4"/>
      <c r="P66" s="1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3.5" customHeight="1">
      <c r="A67" s="4"/>
      <c r="B67" s="41">
        <f>B65+1</f>
        <v>42</v>
      </c>
      <c r="C67" s="14" t="s">
        <v>77</v>
      </c>
      <c r="D67" s="41" t="str">
        <f>"Ln "&amp;FIXED(+B62,0)&amp;"+"&amp;FIXED(+B63,0)&amp;"+"&amp;FIXED(+B64,0)&amp;"+"&amp;FIXED(+B65,0)</f>
        <v>Ln 38+39+40+41</v>
      </c>
      <c r="E67" s="68">
        <f aca="true" t="shared" si="20" ref="E67:K67">E62+E63+E64+E65</f>
        <v>5064468</v>
      </c>
      <c r="F67" s="69">
        <f t="shared" si="20"/>
        <v>141063</v>
      </c>
      <c r="G67" s="69">
        <f t="shared" si="20"/>
        <v>5205531</v>
      </c>
      <c r="H67" s="69">
        <f t="shared" si="20"/>
        <v>17097</v>
      </c>
      <c r="I67" s="69">
        <f t="shared" si="20"/>
        <v>5222628</v>
      </c>
      <c r="J67" s="69">
        <f t="shared" si="20"/>
        <v>0</v>
      </c>
      <c r="K67" s="70">
        <f t="shared" si="20"/>
        <v>5222628</v>
      </c>
      <c r="L67" s="60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3.5" customHeight="1">
      <c r="A68" s="4"/>
      <c r="B68" s="35"/>
      <c r="C68" s="42"/>
      <c r="D68" s="43"/>
      <c r="E68" s="71"/>
      <c r="F68" s="72"/>
      <c r="G68" s="72"/>
      <c r="H68" s="72"/>
      <c r="I68" s="72"/>
      <c r="J68" s="72"/>
      <c r="K68" s="73"/>
      <c r="L68" s="4"/>
      <c r="M68" s="4"/>
      <c r="N68" s="4"/>
      <c r="O68" s="4"/>
      <c r="P68" s="1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ht="13.5" customHeight="1">
      <c r="A69" s="4"/>
      <c r="B69" s="41">
        <f>B67+1</f>
        <v>43</v>
      </c>
      <c r="C69" s="14" t="s">
        <v>78</v>
      </c>
      <c r="D69" s="41" t="str">
        <f>"(Ln "&amp;FIXED(+B57,0)&amp;"/"&amp;FIXED(+B67,0)&amp;") x 100"</f>
        <v>(Ln 35/42) x 100</v>
      </c>
      <c r="E69" s="79">
        <f>E57/E67</f>
        <v>0.11807182116660624</v>
      </c>
      <c r="F69" s="80"/>
      <c r="G69" s="80">
        <f>G57/G67</f>
        <v>0.1352072017244734</v>
      </c>
      <c r="H69" s="80"/>
      <c r="I69" s="80">
        <f>I57/I67</f>
        <v>0.08292868647738268</v>
      </c>
      <c r="J69" s="80"/>
      <c r="K69" s="81">
        <f>K57/K67</f>
        <v>0.08619999999999994</v>
      </c>
      <c r="L69" s="4"/>
      <c r="M69" s="4"/>
      <c r="N69" s="4"/>
      <c r="O69" s="4"/>
      <c r="P69" s="1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3.5" customHeight="1">
      <c r="A70" s="4"/>
      <c r="B70" s="82"/>
      <c r="C70" s="83"/>
      <c r="D70" s="84"/>
      <c r="E70" s="85"/>
      <c r="F70" s="86"/>
      <c r="G70" s="86"/>
      <c r="H70" s="86"/>
      <c r="I70" s="86"/>
      <c r="J70" s="86"/>
      <c r="K70" s="8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3.5" customHeight="1">
      <c r="A71" s="4"/>
      <c r="B71" s="1"/>
      <c r="C71" s="1"/>
      <c r="D71" s="1"/>
      <c r="E71" s="47"/>
      <c r="F71" s="4"/>
      <c r="G71" s="4" t="s">
        <v>79</v>
      </c>
      <c r="H71" s="4"/>
      <c r="I71" s="4"/>
      <c r="J71" s="1">
        <f>I67*(F484-I69)</f>
        <v>17084.85359999986</v>
      </c>
      <c r="K71" s="1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3.5" customHeight="1">
      <c r="A73" s="4"/>
      <c r="B73" s="1"/>
      <c r="C73" s="1"/>
      <c r="D73" s="1"/>
      <c r="E73" s="47"/>
      <c r="F73" s="1"/>
      <c r="G73" s="1"/>
      <c r="H73" s="1"/>
      <c r="I73" s="4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3.5" customHeight="1">
      <c r="A74" s="4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 customHeight="1">
      <c r="A75" s="1" t="s">
        <v>80</v>
      </c>
      <c r="B75" s="8" t="str">
        <f>$B$352</f>
        <v>RAINIER VIEW WATER CO., INC.</v>
      </c>
      <c r="C75" s="12"/>
      <c r="D75" s="12"/>
      <c r="E75" s="11"/>
      <c r="F75" s="11"/>
      <c r="G75" s="11"/>
      <c r="H75" s="11"/>
      <c r="I75" s="11"/>
      <c r="J75" s="12" t="str">
        <f>G352</f>
        <v>Appendix A</v>
      </c>
      <c r="K75" s="13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 customHeight="1">
      <c r="A76" s="4"/>
      <c r="B76" s="14" t="str">
        <f>$B$353</f>
        <v>PRO FORMA INCOME STATEMENT</v>
      </c>
      <c r="C76" s="17"/>
      <c r="D76" s="17"/>
      <c r="E76" s="4"/>
      <c r="F76" s="20"/>
      <c r="G76" s="4"/>
      <c r="H76" s="4"/>
      <c r="I76" s="4"/>
      <c r="J76" s="17" t="str">
        <f>G353</f>
        <v>Docket No. UW-010877</v>
      </c>
      <c r="K76" s="1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3.5" customHeight="1">
      <c r="A77" s="4"/>
      <c r="B77" s="14" t="s">
        <v>81</v>
      </c>
      <c r="C77" s="17"/>
      <c r="D77" s="17"/>
      <c r="E77" s="4"/>
      <c r="F77" s="4"/>
      <c r="G77" s="4"/>
      <c r="H77" s="4"/>
      <c r="I77" s="4"/>
      <c r="J77" s="17" t="s">
        <v>82</v>
      </c>
      <c r="K77" s="1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3.5" customHeight="1">
      <c r="A78" s="4"/>
      <c r="B78" s="14" t="str">
        <f>$B$354</f>
        <v>FOR THE 12 MONTHS ENDED DECEMBER 31, 2000</v>
      </c>
      <c r="C78" s="17"/>
      <c r="D78" s="17"/>
      <c r="E78" s="4"/>
      <c r="F78" s="4"/>
      <c r="G78" s="4"/>
      <c r="H78" s="4"/>
      <c r="I78" s="4"/>
      <c r="J78" s="4"/>
      <c r="K78" s="1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3.5" customHeight="1">
      <c r="A79" s="4"/>
      <c r="B79" s="19"/>
      <c r="C79" s="4"/>
      <c r="D79" s="4"/>
      <c r="E79" s="4"/>
      <c r="F79" s="4"/>
      <c r="G79" s="4"/>
      <c r="H79" s="4"/>
      <c r="I79" s="4"/>
      <c r="J79" s="4"/>
      <c r="K79" s="1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3.5" customHeight="1">
      <c r="A80" s="4"/>
      <c r="B80" s="14" t="str">
        <f>IF(E372&lt;&gt;0,+"(WITH FEDERAL INCOME TAXES IMPUTED)",+" (WITHOUT FEDERAL INCOME TAXES IMPUTED)")</f>
        <v>(WITH FEDERAL INCOME TAXES IMPUTED)</v>
      </c>
      <c r="C80" s="17"/>
      <c r="D80" s="17"/>
      <c r="E80" s="24" t="s">
        <v>83</v>
      </c>
      <c r="F80" s="24" t="s">
        <v>9</v>
      </c>
      <c r="G80" s="24" t="s">
        <v>10</v>
      </c>
      <c r="H80" s="24" t="s">
        <v>9</v>
      </c>
      <c r="I80" s="24" t="s">
        <v>11</v>
      </c>
      <c r="J80" s="24" t="s">
        <v>12</v>
      </c>
      <c r="K80" s="23" t="s">
        <v>7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3.5" customHeight="1">
      <c r="A81" s="4"/>
      <c r="B81" s="25" t="s">
        <v>14</v>
      </c>
      <c r="C81" s="17"/>
      <c r="D81" s="17"/>
      <c r="E81" s="24" t="s">
        <v>15</v>
      </c>
      <c r="F81" s="24" t="s">
        <v>16</v>
      </c>
      <c r="G81" s="24" t="s">
        <v>15</v>
      </c>
      <c r="H81" s="24" t="s">
        <v>13</v>
      </c>
      <c r="I81" s="24" t="s">
        <v>15</v>
      </c>
      <c r="J81" s="24" t="s">
        <v>17</v>
      </c>
      <c r="K81" s="23" t="s">
        <v>15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ht="13.5" customHeight="1">
      <c r="A82" s="4"/>
      <c r="B82" s="25" t="s">
        <v>18</v>
      </c>
      <c r="C82" s="22" t="s">
        <v>19</v>
      </c>
      <c r="D82" s="22" t="s">
        <v>20</v>
      </c>
      <c r="E82" s="24" t="s">
        <v>21</v>
      </c>
      <c r="F82" s="24" t="s">
        <v>22</v>
      </c>
      <c r="G82" s="24" t="s">
        <v>21</v>
      </c>
      <c r="H82" s="24" t="s">
        <v>22</v>
      </c>
      <c r="I82" s="24" t="s">
        <v>21</v>
      </c>
      <c r="J82" s="24" t="s">
        <v>24</v>
      </c>
      <c r="K82" s="23" t="s">
        <v>21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ht="13.5" customHeight="1">
      <c r="A83" s="4"/>
      <c r="B83" s="31"/>
      <c r="C83" s="31" t="s">
        <v>25</v>
      </c>
      <c r="D83" s="31" t="s">
        <v>26</v>
      </c>
      <c r="E83" s="31" t="s">
        <v>27</v>
      </c>
      <c r="F83" s="33" t="s">
        <v>28</v>
      </c>
      <c r="G83" s="33" t="s">
        <v>29</v>
      </c>
      <c r="H83" s="33" t="s">
        <v>30</v>
      </c>
      <c r="I83" s="33" t="s">
        <v>31</v>
      </c>
      <c r="J83" s="33" t="s">
        <v>32</v>
      </c>
      <c r="K83" s="34" t="s">
        <v>33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3.5" customHeight="1">
      <c r="A84" s="4"/>
      <c r="B84" s="35"/>
      <c r="C84" s="35"/>
      <c r="D84" s="35"/>
      <c r="E84" s="35"/>
      <c r="F84" s="37"/>
      <c r="G84" s="37"/>
      <c r="H84" s="37"/>
      <c r="I84" s="37"/>
      <c r="J84" s="37"/>
      <c r="K84" s="3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ht="13.5" customHeight="1">
      <c r="A85" s="4"/>
      <c r="B85" s="35"/>
      <c r="C85" s="89" t="s">
        <v>84</v>
      </c>
      <c r="D85" s="41"/>
      <c r="E85" s="40"/>
      <c r="F85" s="4"/>
      <c r="G85" s="4"/>
      <c r="H85" s="4"/>
      <c r="I85" s="4"/>
      <c r="J85" s="4"/>
      <c r="K85" s="1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ht="13.5" customHeight="1">
      <c r="A86" s="4"/>
      <c r="B86" s="41">
        <f>B69+1</f>
        <v>44</v>
      </c>
      <c r="C86" s="42" t="s">
        <v>85</v>
      </c>
      <c r="D86" s="41" t="str">
        <f>"From Ln "&amp;FIXED(+B52,0)</f>
        <v>From Ln 32</v>
      </c>
      <c r="E86" s="75">
        <f>E24-E50</f>
        <v>765610</v>
      </c>
      <c r="F86" s="45">
        <f>E201</f>
        <v>123246</v>
      </c>
      <c r="G86" s="45">
        <f>E86+F86</f>
        <v>888856</v>
      </c>
      <c r="H86" s="45">
        <f>H24-H50</f>
        <v>-339811</v>
      </c>
      <c r="I86" s="45">
        <f>G86+H86</f>
        <v>549045</v>
      </c>
      <c r="J86" s="45">
        <f>J24-J50</f>
        <v>25886.141818181517</v>
      </c>
      <c r="K86" s="46">
        <f>K24-K50</f>
        <v>574931.1418181816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3.5" customHeight="1">
      <c r="A87" s="4"/>
      <c r="B87" s="41">
        <f>B86+1</f>
        <v>45</v>
      </c>
      <c r="C87" s="40" t="s">
        <v>86</v>
      </c>
      <c r="D87" s="35" t="s">
        <v>36</v>
      </c>
      <c r="E87" s="40">
        <v>72094</v>
      </c>
      <c r="F87" s="49">
        <f>E202</f>
        <v>-72094</v>
      </c>
      <c r="G87" s="4">
        <f>E87+F87</f>
        <v>0</v>
      </c>
      <c r="H87" s="1">
        <f>E319</f>
        <v>0</v>
      </c>
      <c r="I87" s="4">
        <f>G87+H87</f>
        <v>0</v>
      </c>
      <c r="J87" s="4">
        <v>0</v>
      </c>
      <c r="K87" s="18">
        <f>I87+J87</f>
        <v>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3.5" customHeight="1">
      <c r="A88" s="4"/>
      <c r="B88" s="41">
        <f>B87+1</f>
        <v>46</v>
      </c>
      <c r="C88" s="42" t="s">
        <v>610</v>
      </c>
      <c r="D88" s="35" t="s">
        <v>36</v>
      </c>
      <c r="E88" s="42">
        <v>-344648</v>
      </c>
      <c r="F88" s="49">
        <f>E203</f>
        <v>0</v>
      </c>
      <c r="G88" s="4">
        <f>E88+F88</f>
        <v>-344648</v>
      </c>
      <c r="H88" s="1">
        <f>E320</f>
        <v>136601</v>
      </c>
      <c r="I88" s="4">
        <f>G88+H88</f>
        <v>-208047</v>
      </c>
      <c r="J88" s="1">
        <v>0</v>
      </c>
      <c r="K88" s="18">
        <f>I88+J88</f>
        <v>-208047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ht="13.5" customHeight="1">
      <c r="A89" s="4"/>
      <c r="B89" s="41">
        <f>B88+1</f>
        <v>47</v>
      </c>
      <c r="C89" s="40" t="s">
        <v>88</v>
      </c>
      <c r="D89" s="41" t="str">
        <f>"Ln "&amp;FIXED(+B86,0)&amp;"+"&amp;FIXED(+B87,0)&amp;"+"&amp;FIXED(+B88,0)</f>
        <v>Ln 44+45+46</v>
      </c>
      <c r="E89" s="42">
        <f aca="true" t="shared" si="21" ref="E89:K89">E86+E87+E88</f>
        <v>493056</v>
      </c>
      <c r="F89" s="49">
        <f t="shared" si="21"/>
        <v>51152</v>
      </c>
      <c r="G89" s="1">
        <f t="shared" si="21"/>
        <v>544208</v>
      </c>
      <c r="H89" s="1">
        <f t="shared" si="21"/>
        <v>-203210</v>
      </c>
      <c r="I89" s="1">
        <f t="shared" si="21"/>
        <v>340998</v>
      </c>
      <c r="J89" s="1">
        <f t="shared" si="21"/>
        <v>25886.141818181517</v>
      </c>
      <c r="K89" s="67">
        <f t="shared" si="21"/>
        <v>366884.1418181816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3.5" customHeight="1">
      <c r="A90" s="4"/>
      <c r="B90" s="35"/>
      <c r="C90" s="40"/>
      <c r="D90" s="40"/>
      <c r="E90" s="40"/>
      <c r="F90" s="4"/>
      <c r="G90" s="4"/>
      <c r="H90" s="4"/>
      <c r="I90" s="4"/>
      <c r="J90" s="4"/>
      <c r="K90" s="18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3.5" customHeight="1">
      <c r="A91" s="4"/>
      <c r="B91" s="41">
        <f>B89+1</f>
        <v>48</v>
      </c>
      <c r="C91" s="42" t="s">
        <v>89</v>
      </c>
      <c r="D91" s="42" t="str">
        <f>"Ln "&amp;FIXED(+B89,0)&amp;" x ("&amp;FIXED(+$E$372*100,2)&amp;"%/100)"</f>
        <v>Ln 47 x (34.00%/100)</v>
      </c>
      <c r="E91" s="90">
        <f aca="true" t="shared" si="22" ref="E91:K91">E89*$E$372</f>
        <v>167639.04000000004</v>
      </c>
      <c r="F91" s="91">
        <f t="shared" si="22"/>
        <v>17391.680000000004</v>
      </c>
      <c r="G91" s="91">
        <f t="shared" si="22"/>
        <v>185030.72000000003</v>
      </c>
      <c r="H91" s="91">
        <f t="shared" si="22"/>
        <v>-69091.40000000002</v>
      </c>
      <c r="I91" s="91">
        <f t="shared" si="22"/>
        <v>115939.32000000002</v>
      </c>
      <c r="J91" s="91">
        <f t="shared" si="22"/>
        <v>8801.288218181719</v>
      </c>
      <c r="K91" s="92">
        <f t="shared" si="22"/>
        <v>124740.60821818178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3.5" customHeight="1">
      <c r="A92" s="4"/>
      <c r="B92" s="35"/>
      <c r="C92" s="40" t="s">
        <v>90</v>
      </c>
      <c r="D92" s="41"/>
      <c r="E92" s="93"/>
      <c r="F92" s="94"/>
      <c r="G92" s="94"/>
      <c r="H92" s="94"/>
      <c r="I92" s="94"/>
      <c r="J92" s="94"/>
      <c r="K92" s="95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3.5" customHeight="1">
      <c r="A93" s="4"/>
      <c r="B93" s="41">
        <f>B91+1</f>
        <v>49</v>
      </c>
      <c r="C93" s="42" t="s">
        <v>91</v>
      </c>
      <c r="D93" s="41" t="s">
        <v>36</v>
      </c>
      <c r="E93" s="90">
        <f>E91</f>
        <v>167639.04000000004</v>
      </c>
      <c r="F93" s="62">
        <f>E208</f>
        <v>17391.680000000008</v>
      </c>
      <c r="G93" s="91">
        <f>E93+F93</f>
        <v>185030.72000000003</v>
      </c>
      <c r="H93" s="62">
        <f>E325</f>
        <v>-69091.40000000001</v>
      </c>
      <c r="I93" s="91">
        <f>G93+H93</f>
        <v>115939.32000000002</v>
      </c>
      <c r="J93" s="91">
        <f>J91</f>
        <v>8801.288218181719</v>
      </c>
      <c r="K93" s="92">
        <f>I93+J93</f>
        <v>124740.60821818173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3.5" customHeight="1">
      <c r="A94" s="4"/>
      <c r="B94" s="35"/>
      <c r="C94" s="40"/>
      <c r="D94" s="40"/>
      <c r="E94" s="40"/>
      <c r="F94" s="4"/>
      <c r="G94" s="4"/>
      <c r="H94" s="4"/>
      <c r="I94" s="4"/>
      <c r="J94" s="4"/>
      <c r="K94" s="1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3.5" customHeight="1">
      <c r="A95" s="4"/>
      <c r="B95" s="35"/>
      <c r="C95" s="89" t="s">
        <v>70</v>
      </c>
      <c r="D95" s="42"/>
      <c r="E95" s="40"/>
      <c r="F95" s="4"/>
      <c r="G95" s="4"/>
      <c r="H95" s="4"/>
      <c r="I95" s="4"/>
      <c r="J95" s="4"/>
      <c r="K95" s="1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3.5" customHeight="1">
      <c r="A96" s="4"/>
      <c r="B96" s="35"/>
      <c r="C96" s="14" t="s">
        <v>92</v>
      </c>
      <c r="D96" s="40"/>
      <c r="E96" s="40"/>
      <c r="F96" s="4"/>
      <c r="G96" s="4"/>
      <c r="H96" s="4"/>
      <c r="I96" s="4"/>
      <c r="J96" s="4"/>
      <c r="K96" s="1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3.5" customHeight="1">
      <c r="A97" s="4"/>
      <c r="B97" s="41">
        <f>B93+1</f>
        <v>50</v>
      </c>
      <c r="C97" s="42" t="s">
        <v>93</v>
      </c>
      <c r="D97" s="41" t="s">
        <v>36</v>
      </c>
      <c r="E97" s="44">
        <v>13051236</v>
      </c>
      <c r="F97" s="45">
        <f>E212</f>
        <v>-416662</v>
      </c>
      <c r="G97" s="45">
        <f>E97+F97</f>
        <v>12634574</v>
      </c>
      <c r="H97" s="45">
        <f>E329</f>
        <v>17097</v>
      </c>
      <c r="I97" s="45">
        <f>G97+H97</f>
        <v>12651671</v>
      </c>
      <c r="J97" s="45">
        <v>0</v>
      </c>
      <c r="K97" s="46">
        <f>I97+J97</f>
        <v>12651671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3.5" customHeight="1">
      <c r="A98" s="4"/>
      <c r="B98" s="41">
        <f>B97+1</f>
        <v>51</v>
      </c>
      <c r="C98" s="42"/>
      <c r="D98" s="41" t="s">
        <v>36</v>
      </c>
      <c r="E98" s="48">
        <v>0</v>
      </c>
      <c r="F98" s="49">
        <f>E213</f>
        <v>0</v>
      </c>
      <c r="G98" s="49">
        <f>E98+F98</f>
        <v>0</v>
      </c>
      <c r="H98" s="49">
        <f>E330</f>
        <v>0</v>
      </c>
      <c r="I98" s="4">
        <f>G98+H98</f>
        <v>0</v>
      </c>
      <c r="J98" s="4">
        <v>0</v>
      </c>
      <c r="K98" s="18">
        <f>I98+J98</f>
        <v>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3.5" customHeight="1">
      <c r="A99" s="4"/>
      <c r="B99" s="41">
        <f>B98+1</f>
        <v>52</v>
      </c>
      <c r="C99" s="42"/>
      <c r="D99" s="41" t="s">
        <v>36</v>
      </c>
      <c r="E99" s="42">
        <v>0</v>
      </c>
      <c r="F99" s="49">
        <f>E214</f>
        <v>0</v>
      </c>
      <c r="G99" s="49">
        <f>E99+F99</f>
        <v>0</v>
      </c>
      <c r="H99" s="49">
        <f>E331</f>
        <v>0</v>
      </c>
      <c r="I99" s="4">
        <f>G99+H99</f>
        <v>0</v>
      </c>
      <c r="J99" s="4">
        <v>0</v>
      </c>
      <c r="K99" s="18">
        <f>I99+J99</f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ht="13.5" customHeight="1">
      <c r="A100" s="4"/>
      <c r="B100" s="41">
        <f>B99+1</f>
        <v>53</v>
      </c>
      <c r="C100" s="42"/>
      <c r="D100" s="41" t="s">
        <v>36</v>
      </c>
      <c r="E100" s="42">
        <v>0</v>
      </c>
      <c r="F100" s="49">
        <f>E215</f>
        <v>0</v>
      </c>
      <c r="G100" s="49">
        <f>E100+F100</f>
        <v>0</v>
      </c>
      <c r="H100" s="49">
        <f>E332</f>
        <v>0</v>
      </c>
      <c r="I100" s="4">
        <f>G100+H100</f>
        <v>0</v>
      </c>
      <c r="J100" s="4">
        <v>0</v>
      </c>
      <c r="K100" s="18">
        <f>I100+J100</f>
        <v>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ht="13.5" customHeight="1">
      <c r="A101" s="4"/>
      <c r="B101" s="41">
        <f>B100+1</f>
        <v>54</v>
      </c>
      <c r="C101" s="42"/>
      <c r="D101" s="41" t="s">
        <v>36</v>
      </c>
      <c r="E101" s="42">
        <v>0</v>
      </c>
      <c r="F101" s="49">
        <f>E216</f>
        <v>0</v>
      </c>
      <c r="G101" s="49">
        <f>E101+F101</f>
        <v>0</v>
      </c>
      <c r="H101" s="49">
        <f>E333</f>
        <v>0</v>
      </c>
      <c r="I101" s="4">
        <f>G101+H101</f>
        <v>0</v>
      </c>
      <c r="J101" s="4">
        <v>0</v>
      </c>
      <c r="K101" s="18">
        <f>I101+J101</f>
        <v>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3.5" customHeight="1">
      <c r="A102" s="4"/>
      <c r="B102" s="41">
        <f>B101+1</f>
        <v>55</v>
      </c>
      <c r="C102" s="14" t="s">
        <v>94</v>
      </c>
      <c r="D102" s="41" t="str">
        <f>"Ln +"&amp;FIXED(+B97,0)&amp;"...+"&amp;FIXED(+B101,0)</f>
        <v>Ln +50...+54</v>
      </c>
      <c r="E102" s="96">
        <f aca="true" t="shared" si="23" ref="E102:K102">SUM(E97:E101)</f>
        <v>13051236</v>
      </c>
      <c r="F102" s="97">
        <f t="shared" si="23"/>
        <v>-416662</v>
      </c>
      <c r="G102" s="97">
        <f t="shared" si="23"/>
        <v>12634574</v>
      </c>
      <c r="H102" s="97">
        <f t="shared" si="23"/>
        <v>17097</v>
      </c>
      <c r="I102" s="97">
        <f t="shared" si="23"/>
        <v>12651671</v>
      </c>
      <c r="J102" s="97">
        <f t="shared" si="23"/>
        <v>0</v>
      </c>
      <c r="K102" s="98">
        <f t="shared" si="23"/>
        <v>12651671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3.5" customHeight="1">
      <c r="A103" s="4"/>
      <c r="B103" s="41"/>
      <c r="C103" s="14"/>
      <c r="D103" s="41"/>
      <c r="E103" s="96"/>
      <c r="F103" s="97"/>
      <c r="G103" s="97"/>
      <c r="H103" s="97"/>
      <c r="I103" s="97"/>
      <c r="J103" s="97"/>
      <c r="K103" s="9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3.5" customHeight="1">
      <c r="A104" s="4"/>
      <c r="B104" s="41">
        <f>B102+1</f>
        <v>56</v>
      </c>
      <c r="C104" s="14" t="s">
        <v>95</v>
      </c>
      <c r="D104" s="41" t="s">
        <v>36</v>
      </c>
      <c r="E104" s="48">
        <v>2669095</v>
      </c>
      <c r="F104" s="49">
        <f>E219</f>
        <v>-292460</v>
      </c>
      <c r="G104" s="4">
        <f>E104+F104</f>
        <v>2376635</v>
      </c>
      <c r="H104" s="49">
        <f>E336</f>
        <v>0</v>
      </c>
      <c r="I104" s="4">
        <f>G104+H104</f>
        <v>2376635</v>
      </c>
      <c r="J104" s="4">
        <v>0</v>
      </c>
      <c r="K104" s="18">
        <f>I104+J104</f>
        <v>2376635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3.5" customHeight="1">
      <c r="A105" s="4"/>
      <c r="B105" s="41">
        <f>B104+1</f>
        <v>57</v>
      </c>
      <c r="C105" s="14" t="s">
        <v>96</v>
      </c>
      <c r="D105" s="41" t="s">
        <v>36</v>
      </c>
      <c r="E105" s="48">
        <v>0</v>
      </c>
      <c r="F105" s="49">
        <f>E220</f>
        <v>0</v>
      </c>
      <c r="G105" s="4">
        <f>E105+F105</f>
        <v>0</v>
      </c>
      <c r="H105" s="49">
        <f>E337</f>
        <v>0</v>
      </c>
      <c r="I105" s="4">
        <f>G105+H105</f>
        <v>0</v>
      </c>
      <c r="J105" s="4">
        <v>0</v>
      </c>
      <c r="K105" s="18">
        <f>I105+J105</f>
        <v>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3.5" customHeight="1">
      <c r="A106" s="4"/>
      <c r="B106" s="41">
        <f>B105+1</f>
        <v>58</v>
      </c>
      <c r="C106" s="14" t="s">
        <v>97</v>
      </c>
      <c r="D106" s="41" t="str">
        <f>"Ln "&amp;FIXED(+B104,0)&amp;"+"&amp;FIXED(+B105,0)</f>
        <v>Ln 56+57</v>
      </c>
      <c r="E106" s="52">
        <f aca="true" t="shared" si="24" ref="E106:K106">E104+E105</f>
        <v>2669095</v>
      </c>
      <c r="F106" s="99">
        <f t="shared" si="24"/>
        <v>-292460</v>
      </c>
      <c r="G106" s="99">
        <f t="shared" si="24"/>
        <v>2376635</v>
      </c>
      <c r="H106" s="99">
        <f t="shared" si="24"/>
        <v>0</v>
      </c>
      <c r="I106" s="99">
        <f t="shared" si="24"/>
        <v>2376635</v>
      </c>
      <c r="J106" s="99">
        <f t="shared" si="24"/>
        <v>0</v>
      </c>
      <c r="K106" s="100">
        <f t="shared" si="24"/>
        <v>2376635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3.5" customHeight="1">
      <c r="A107" s="4"/>
      <c r="B107" s="41">
        <f>B106+1</f>
        <v>59</v>
      </c>
      <c r="C107" s="14" t="s">
        <v>98</v>
      </c>
      <c r="D107" s="41" t="s">
        <v>36</v>
      </c>
      <c r="E107" s="48">
        <v>-5317673</v>
      </c>
      <c r="F107" s="49">
        <f>E222</f>
        <v>24320</v>
      </c>
      <c r="G107" s="4">
        <f>E107+F107</f>
        <v>-5293353</v>
      </c>
      <c r="H107" s="49">
        <f>E339</f>
        <v>0</v>
      </c>
      <c r="I107" s="4">
        <f>G107+H107</f>
        <v>-5293353</v>
      </c>
      <c r="J107" s="4">
        <v>0</v>
      </c>
      <c r="K107" s="18">
        <f>I107+J107</f>
        <v>-5293353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3.5" customHeight="1">
      <c r="A108" s="4"/>
      <c r="B108" s="41">
        <f>B107+1</f>
        <v>60</v>
      </c>
      <c r="C108" s="14" t="s">
        <v>99</v>
      </c>
      <c r="D108" s="41" t="s">
        <v>36</v>
      </c>
      <c r="E108" s="48">
        <v>0</v>
      </c>
      <c r="F108" s="49">
        <f>E223</f>
        <v>0</v>
      </c>
      <c r="G108" s="4">
        <f>E108+F108</f>
        <v>0</v>
      </c>
      <c r="H108" s="49">
        <f>E340</f>
        <v>0</v>
      </c>
      <c r="I108" s="1">
        <f>G108+H108</f>
        <v>0</v>
      </c>
      <c r="J108" s="4">
        <v>0</v>
      </c>
      <c r="K108" s="18">
        <f>I108+J108</f>
        <v>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customHeight="1">
      <c r="A109" s="4"/>
      <c r="B109" s="35"/>
      <c r="C109" s="40"/>
      <c r="D109" s="41"/>
      <c r="E109" s="40"/>
      <c r="F109" s="4"/>
      <c r="G109" s="4"/>
      <c r="H109" s="4"/>
      <c r="I109" s="4"/>
      <c r="J109" s="4"/>
      <c r="K109" s="18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customHeight="1">
      <c r="A110" s="4"/>
      <c r="B110" s="41">
        <f>B108+1</f>
        <v>61</v>
      </c>
      <c r="C110" s="14" t="s">
        <v>100</v>
      </c>
      <c r="D110" s="41" t="s">
        <v>36</v>
      </c>
      <c r="E110" s="48">
        <v>0</v>
      </c>
      <c r="F110" s="49">
        <f>E225</f>
        <v>240945</v>
      </c>
      <c r="G110" s="4">
        <f>E110+F110</f>
        <v>240945</v>
      </c>
      <c r="H110" s="49">
        <f>E342</f>
        <v>0</v>
      </c>
      <c r="I110" s="4">
        <f>G110+H110</f>
        <v>240945</v>
      </c>
      <c r="J110" s="4">
        <v>0</v>
      </c>
      <c r="K110" s="18">
        <f>I110+J110</f>
        <v>240945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customHeight="1">
      <c r="A111" s="4"/>
      <c r="B111" s="41">
        <f>B110+1</f>
        <v>62</v>
      </c>
      <c r="C111" s="42"/>
      <c r="D111" s="41"/>
      <c r="E111" s="48">
        <v>0</v>
      </c>
      <c r="F111" s="49">
        <f>E226</f>
        <v>0</v>
      </c>
      <c r="G111" s="4">
        <f>E111+F111</f>
        <v>0</v>
      </c>
      <c r="H111" s="49">
        <f>E343</f>
        <v>0</v>
      </c>
      <c r="I111" s="4">
        <f>G111+H111</f>
        <v>0</v>
      </c>
      <c r="J111" s="4">
        <v>0</v>
      </c>
      <c r="K111" s="18">
        <f>I111+J111</f>
        <v>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ht="13.5" customHeight="1">
      <c r="A112" s="4"/>
      <c r="B112" s="41">
        <f>B111+1</f>
        <v>63</v>
      </c>
      <c r="C112" s="42"/>
      <c r="D112" s="41"/>
      <c r="E112" s="48">
        <v>0</v>
      </c>
      <c r="F112" s="49">
        <f>E227</f>
        <v>0</v>
      </c>
      <c r="G112" s="4">
        <f>E112+F112</f>
        <v>0</v>
      </c>
      <c r="H112" s="49">
        <f>E344</f>
        <v>0</v>
      </c>
      <c r="I112" s="4">
        <f>G112+H112</f>
        <v>0</v>
      </c>
      <c r="J112" s="4">
        <v>0</v>
      </c>
      <c r="K112" s="18">
        <f>I112+J112</f>
        <v>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customHeight="1">
      <c r="A113" s="4"/>
      <c r="B113" s="41">
        <f>B112+1</f>
        <v>64</v>
      </c>
      <c r="C113" s="42"/>
      <c r="D113" s="41"/>
      <c r="E113" s="48">
        <v>0</v>
      </c>
      <c r="F113" s="49">
        <f>E228</f>
        <v>0</v>
      </c>
      <c r="G113" s="4">
        <f>E113+F113</f>
        <v>0</v>
      </c>
      <c r="H113" s="49">
        <f>E345</f>
        <v>0</v>
      </c>
      <c r="I113" s="4">
        <f>G113+H113</f>
        <v>0</v>
      </c>
      <c r="J113" s="4">
        <v>0</v>
      </c>
      <c r="K113" s="18">
        <f>I113+J113</f>
        <v>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customHeight="1">
      <c r="A114" s="4"/>
      <c r="B114" s="41">
        <f>B113+1</f>
        <v>65</v>
      </c>
      <c r="C114" s="40"/>
      <c r="D114" s="40"/>
      <c r="E114" s="101"/>
      <c r="F114" s="4"/>
      <c r="G114" s="4"/>
      <c r="H114" s="4"/>
      <c r="I114" s="4"/>
      <c r="J114" s="4"/>
      <c r="K114" s="1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ht="13.5" customHeight="1">
      <c r="A115" s="1"/>
      <c r="B115" s="41">
        <f>B114+1</f>
        <v>66</v>
      </c>
      <c r="C115" s="14" t="s">
        <v>101</v>
      </c>
      <c r="D115" s="41" t="str">
        <f>"Ln "&amp;FIXED(+B102,0)&amp;"-"&amp;FIXED(+B106,0)&amp;"+"&amp;FIXED(+B107,0)&amp;"+"&amp;FIXED(+B108,0)&amp;"+"&amp;FIXED(+B110,0)</f>
        <v>Ln 55-58+59+60+61</v>
      </c>
      <c r="E115" s="68">
        <f aca="true" t="shared" si="25" ref="E115:K115">E102-E106+E107+E108+SUM(E110:E114)</f>
        <v>5064468</v>
      </c>
      <c r="F115" s="69">
        <f t="shared" si="25"/>
        <v>141063</v>
      </c>
      <c r="G115" s="69">
        <f t="shared" si="25"/>
        <v>5205531</v>
      </c>
      <c r="H115" s="69">
        <f t="shared" si="25"/>
        <v>17097</v>
      </c>
      <c r="I115" s="69">
        <f t="shared" si="25"/>
        <v>5222628</v>
      </c>
      <c r="J115" s="69">
        <f t="shared" si="25"/>
        <v>0</v>
      </c>
      <c r="K115" s="70">
        <f t="shared" si="25"/>
        <v>5222628</v>
      </c>
      <c r="L115" s="1"/>
      <c r="M115" s="49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ht="13.5" customHeight="1">
      <c r="A116" s="4"/>
      <c r="B116" s="82"/>
      <c r="C116" s="102"/>
      <c r="D116" s="102"/>
      <c r="E116" s="102"/>
      <c r="F116" s="88"/>
      <c r="G116" s="88"/>
      <c r="H116" s="88"/>
      <c r="I116" s="88"/>
      <c r="J116" s="88"/>
      <c r="K116" s="103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1"/>
      <c r="AG116" s="4"/>
      <c r="AH116" s="1"/>
      <c r="AI116" s="4"/>
    </row>
    <row r="117" spans="1:35" ht="13.5" customHeight="1">
      <c r="A117" s="4"/>
      <c r="B117" s="1"/>
      <c r="C117" s="104"/>
      <c r="D117" s="1"/>
      <c r="E117" s="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1"/>
      <c r="AG117" s="1"/>
      <c r="AH117" s="1"/>
      <c r="AI117" s="1"/>
    </row>
    <row r="118" spans="1:35" ht="13.5" customHeight="1">
      <c r="A118" s="4"/>
      <c r="B118" s="4"/>
      <c r="C118" s="4"/>
      <c r="D118" s="4"/>
      <c r="E118" s="4"/>
      <c r="F118" s="4"/>
      <c r="G118" s="5"/>
      <c r="H118" s="4"/>
      <c r="I118" s="5"/>
      <c r="J118" s="4"/>
      <c r="K118" s="4"/>
      <c r="L118" s="4"/>
      <c r="M118" s="5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ht="13.5" customHeight="1">
      <c r="A119" s="1"/>
      <c r="B119" s="8" t="str">
        <f>$B$352</f>
        <v>RAINIER VIEW WATER CO., INC.</v>
      </c>
      <c r="C119" s="9"/>
      <c r="D119" s="9"/>
      <c r="E119" s="9"/>
      <c r="F119" s="12"/>
      <c r="G119" s="12"/>
      <c r="H119" s="12"/>
      <c r="I119" s="12" t="str">
        <f>$G$352</f>
        <v>Appendix A</v>
      </c>
      <c r="J119" s="105"/>
      <c r="K119" s="12"/>
      <c r="L119" s="12"/>
      <c r="M119" s="12"/>
      <c r="N119" s="12"/>
      <c r="O119" s="12" t="str">
        <f>$G$352</f>
        <v>Appendix A</v>
      </c>
      <c r="P119" s="105"/>
      <c r="Q119" s="12"/>
      <c r="R119" s="12"/>
      <c r="S119" s="12"/>
      <c r="T119" s="12"/>
      <c r="U119" s="12" t="str">
        <f>$G$352</f>
        <v>Appendix A</v>
      </c>
      <c r="V119" s="105"/>
      <c r="W119" s="12"/>
      <c r="X119" s="12"/>
      <c r="Y119" s="12"/>
      <c r="Z119" s="12"/>
      <c r="AA119" s="12" t="str">
        <f>$G$352</f>
        <v>Appendix A</v>
      </c>
      <c r="AB119" s="105"/>
      <c r="AC119" s="12"/>
      <c r="AD119" s="12"/>
      <c r="AE119" s="12"/>
      <c r="AF119" s="12"/>
      <c r="AG119" s="12" t="str">
        <f>$G$352</f>
        <v>Appendix A</v>
      </c>
      <c r="AH119" s="105"/>
      <c r="AI119" s="4"/>
    </row>
    <row r="120" spans="1:35" ht="13.5" customHeight="1">
      <c r="A120" s="1" t="s">
        <v>103</v>
      </c>
      <c r="B120" s="19" t="s">
        <v>104</v>
      </c>
      <c r="C120" s="1"/>
      <c r="D120" s="1"/>
      <c r="E120" s="1"/>
      <c r="F120" s="20"/>
      <c r="G120" s="17"/>
      <c r="H120" s="17"/>
      <c r="I120" s="17" t="str">
        <f>$G$353</f>
        <v>Docket No. UW-010877</v>
      </c>
      <c r="J120" s="106"/>
      <c r="K120" s="17"/>
      <c r="L120" s="20"/>
      <c r="M120" s="17"/>
      <c r="N120" s="17"/>
      <c r="O120" s="17" t="str">
        <f>$G$353</f>
        <v>Docket No. UW-010877</v>
      </c>
      <c r="P120" s="106"/>
      <c r="Q120" s="17"/>
      <c r="R120" s="20"/>
      <c r="S120" s="17"/>
      <c r="T120" s="17"/>
      <c r="U120" s="17" t="str">
        <f>$G$353</f>
        <v>Docket No. UW-010877</v>
      </c>
      <c r="V120" s="106"/>
      <c r="W120" s="17"/>
      <c r="X120" s="20"/>
      <c r="Y120" s="17"/>
      <c r="Z120" s="17"/>
      <c r="AA120" s="17" t="str">
        <f>$G$353</f>
        <v>Docket No. UW-010877</v>
      </c>
      <c r="AB120" s="106"/>
      <c r="AC120" s="17"/>
      <c r="AD120" s="20"/>
      <c r="AE120" s="17"/>
      <c r="AF120" s="17"/>
      <c r="AG120" s="17" t="str">
        <f>$G$353</f>
        <v>Docket No. UW-010877</v>
      </c>
      <c r="AH120" s="106"/>
      <c r="AI120" s="4"/>
    </row>
    <row r="121" spans="1:35" ht="13.5" customHeight="1">
      <c r="A121" s="4"/>
      <c r="B121" s="19" t="str">
        <f>$B$354</f>
        <v>FOR THE 12 MONTHS ENDED DECEMBER 31, 2000</v>
      </c>
      <c r="C121" s="4"/>
      <c r="D121" s="4"/>
      <c r="E121" s="1"/>
      <c r="F121" s="17"/>
      <c r="G121" s="17"/>
      <c r="H121" s="17"/>
      <c r="I121" s="3" t="s">
        <v>105</v>
      </c>
      <c r="J121" s="106"/>
      <c r="K121" s="17"/>
      <c r="L121" s="17"/>
      <c r="M121" s="17"/>
      <c r="N121" s="17"/>
      <c r="O121" s="3" t="s">
        <v>106</v>
      </c>
      <c r="P121" s="106"/>
      <c r="Q121" s="17"/>
      <c r="R121" s="17"/>
      <c r="S121" s="17"/>
      <c r="T121" s="17"/>
      <c r="U121" s="3" t="s">
        <v>107</v>
      </c>
      <c r="V121" s="106"/>
      <c r="W121" s="17"/>
      <c r="X121" s="17"/>
      <c r="Y121" s="17"/>
      <c r="Z121" s="17"/>
      <c r="AA121" s="3" t="s">
        <v>108</v>
      </c>
      <c r="AB121" s="106"/>
      <c r="AC121" s="17"/>
      <c r="AD121" s="17"/>
      <c r="AE121" s="17"/>
      <c r="AF121" s="17"/>
      <c r="AG121" s="3" t="s">
        <v>109</v>
      </c>
      <c r="AH121" s="106"/>
      <c r="AI121" s="4"/>
    </row>
    <row r="122" spans="1:35" ht="13.5" customHeight="1">
      <c r="A122" s="4"/>
      <c r="B122" s="19"/>
      <c r="C122" s="4"/>
      <c r="D122" s="4"/>
      <c r="E122" s="1"/>
      <c r="F122" s="17"/>
      <c r="G122" s="17"/>
      <c r="H122" s="17"/>
      <c r="I122" s="17"/>
      <c r="J122" s="106"/>
      <c r="K122" s="17"/>
      <c r="L122" s="17"/>
      <c r="M122" s="17"/>
      <c r="N122" s="17"/>
      <c r="O122" s="17"/>
      <c r="P122" s="106"/>
      <c r="Q122" s="17"/>
      <c r="R122" s="17"/>
      <c r="S122" s="17"/>
      <c r="T122" s="17"/>
      <c r="U122" s="17"/>
      <c r="V122" s="106"/>
      <c r="W122" s="17"/>
      <c r="X122" s="17"/>
      <c r="Y122" s="17"/>
      <c r="Z122" s="17"/>
      <c r="AA122" s="17"/>
      <c r="AB122" s="106"/>
      <c r="AC122" s="17"/>
      <c r="AD122" s="17"/>
      <c r="AE122" s="17"/>
      <c r="AF122" s="17"/>
      <c r="AG122" s="17"/>
      <c r="AH122" s="106"/>
      <c r="AI122" s="4"/>
    </row>
    <row r="123" spans="1:35" ht="13.5" customHeight="1">
      <c r="A123" s="4"/>
      <c r="B123" s="14" t="str">
        <f>IF(E372&lt;&gt;0,+"(WITH FEDERAL INCOME TAXES IMPUTED)",+" (WITHOUT FEDERAL INCOME TAXES IMPUTED)")</f>
        <v>(WITH FEDERAL INCOME TAXES IMPUTED)</v>
      </c>
      <c r="C123" s="17"/>
      <c r="D123" s="17"/>
      <c r="E123" s="22"/>
      <c r="F123" s="22" t="s">
        <v>611</v>
      </c>
      <c r="G123" s="22" t="s">
        <v>612</v>
      </c>
      <c r="H123" s="22" t="s">
        <v>613</v>
      </c>
      <c r="I123" s="22" t="s">
        <v>614</v>
      </c>
      <c r="J123" s="26" t="s">
        <v>615</v>
      </c>
      <c r="K123" s="22" t="s">
        <v>616</v>
      </c>
      <c r="L123" s="22" t="s">
        <v>617</v>
      </c>
      <c r="M123" s="22" t="s">
        <v>618</v>
      </c>
      <c r="N123" s="22" t="s">
        <v>619</v>
      </c>
      <c r="O123" s="22" t="s">
        <v>620</v>
      </c>
      <c r="P123" s="26" t="s">
        <v>621</v>
      </c>
      <c r="Q123" s="22" t="s">
        <v>622</v>
      </c>
      <c r="R123" s="22" t="s">
        <v>623</v>
      </c>
      <c r="S123" s="22" t="s">
        <v>624</v>
      </c>
      <c r="T123" s="22" t="s">
        <v>625</v>
      </c>
      <c r="U123" s="22" t="s">
        <v>183</v>
      </c>
      <c r="V123" s="23"/>
      <c r="W123" s="24" t="s">
        <v>124</v>
      </c>
      <c r="X123" s="24" t="s">
        <v>125</v>
      </c>
      <c r="Y123" s="22" t="s">
        <v>126</v>
      </c>
      <c r="Z123" s="22" t="s">
        <v>126</v>
      </c>
      <c r="AA123" s="22" t="s">
        <v>126</v>
      </c>
      <c r="AB123" s="26" t="s">
        <v>126</v>
      </c>
      <c r="AC123" s="22" t="s">
        <v>126</v>
      </c>
      <c r="AD123" s="22" t="s">
        <v>626</v>
      </c>
      <c r="AE123" s="22" t="s">
        <v>126</v>
      </c>
      <c r="AF123" s="22" t="s">
        <v>126</v>
      </c>
      <c r="AG123" s="22" t="s">
        <v>126</v>
      </c>
      <c r="AH123" s="26" t="s">
        <v>126</v>
      </c>
      <c r="AI123" s="4"/>
    </row>
    <row r="124" spans="1:35" ht="13.5" customHeight="1">
      <c r="A124" s="4"/>
      <c r="B124" s="19"/>
      <c r="C124" s="17"/>
      <c r="D124" s="17"/>
      <c r="E124" s="24" t="s">
        <v>9</v>
      </c>
      <c r="F124" s="22" t="s">
        <v>132</v>
      </c>
      <c r="G124" s="22"/>
      <c r="H124" s="22"/>
      <c r="I124" s="22" t="s">
        <v>627</v>
      </c>
      <c r="J124" s="26"/>
      <c r="K124" s="4"/>
      <c r="L124" s="22"/>
      <c r="M124" s="22" t="s">
        <v>628</v>
      </c>
      <c r="N124" s="22"/>
      <c r="O124" s="24"/>
      <c r="P124" s="26"/>
      <c r="Q124" s="24"/>
      <c r="R124" s="24"/>
      <c r="S124" s="22" t="s">
        <v>133</v>
      </c>
      <c r="T124" s="22" t="s">
        <v>133</v>
      </c>
      <c r="U124" s="22" t="s">
        <v>198</v>
      </c>
      <c r="V124" s="26"/>
      <c r="W124" s="22"/>
      <c r="X124" s="22"/>
      <c r="Y124" s="17"/>
      <c r="Z124" s="17"/>
      <c r="AA124" s="17"/>
      <c r="AB124" s="106"/>
      <c r="AC124" s="22"/>
      <c r="AD124" s="22"/>
      <c r="AE124" s="22"/>
      <c r="AF124" s="22"/>
      <c r="AG124" s="22"/>
      <c r="AH124" s="106"/>
      <c r="AI124" s="4"/>
    </row>
    <row r="125" spans="1:35" ht="13.5" customHeight="1">
      <c r="A125" s="4"/>
      <c r="B125" s="25" t="s">
        <v>14</v>
      </c>
      <c r="C125" s="17"/>
      <c r="D125" s="17"/>
      <c r="E125" s="24" t="s">
        <v>16</v>
      </c>
      <c r="F125" s="22" t="s">
        <v>134</v>
      </c>
      <c r="G125" s="22" t="s">
        <v>629</v>
      </c>
      <c r="H125" s="22" t="s">
        <v>630</v>
      </c>
      <c r="I125" s="22" t="s">
        <v>631</v>
      </c>
      <c r="J125" s="26" t="s">
        <v>632</v>
      </c>
      <c r="K125" s="22" t="s">
        <v>633</v>
      </c>
      <c r="L125" s="22" t="s">
        <v>224</v>
      </c>
      <c r="M125" s="22" t="s">
        <v>634</v>
      </c>
      <c r="N125" s="22" t="s">
        <v>200</v>
      </c>
      <c r="O125" s="22" t="s">
        <v>635</v>
      </c>
      <c r="P125" s="26" t="s">
        <v>636</v>
      </c>
      <c r="Q125" s="22" t="s">
        <v>637</v>
      </c>
      <c r="R125" s="22" t="s">
        <v>365</v>
      </c>
      <c r="S125" s="22" t="s">
        <v>136</v>
      </c>
      <c r="T125" s="22" t="s">
        <v>136</v>
      </c>
      <c r="U125" s="22" t="s">
        <v>210</v>
      </c>
      <c r="V125" s="26"/>
      <c r="W125" s="22"/>
      <c r="X125" s="22"/>
      <c r="Y125" s="17"/>
      <c r="Z125" s="17"/>
      <c r="AA125" s="17"/>
      <c r="AB125" s="106"/>
      <c r="AC125" s="22"/>
      <c r="AD125" s="22"/>
      <c r="AE125" s="22"/>
      <c r="AF125" s="22"/>
      <c r="AG125" s="22"/>
      <c r="AH125" s="106"/>
      <c r="AI125" s="4"/>
    </row>
    <row r="126" spans="1:35" ht="13.5" customHeight="1">
      <c r="A126" s="4"/>
      <c r="B126" s="27" t="s">
        <v>18</v>
      </c>
      <c r="C126" s="28" t="s">
        <v>19</v>
      </c>
      <c r="D126" s="28" t="s">
        <v>20</v>
      </c>
      <c r="E126" s="29" t="s">
        <v>22</v>
      </c>
      <c r="F126" s="28" t="s">
        <v>137</v>
      </c>
      <c r="G126" s="28" t="s">
        <v>638</v>
      </c>
      <c r="H126" s="28" t="s">
        <v>639</v>
      </c>
      <c r="I126" s="28" t="s">
        <v>640</v>
      </c>
      <c r="J126" s="26" t="s">
        <v>641</v>
      </c>
      <c r="K126" s="22" t="s">
        <v>642</v>
      </c>
      <c r="L126" s="22" t="s">
        <v>195</v>
      </c>
      <c r="M126" s="22" t="s">
        <v>216</v>
      </c>
      <c r="N126" s="22" t="s">
        <v>217</v>
      </c>
      <c r="O126" s="28" t="s">
        <v>217</v>
      </c>
      <c r="P126" s="30" t="s">
        <v>643</v>
      </c>
      <c r="Q126" s="28" t="s">
        <v>365</v>
      </c>
      <c r="R126" s="28" t="s">
        <v>580</v>
      </c>
      <c r="S126" s="22" t="s">
        <v>139</v>
      </c>
      <c r="T126" s="22" t="s">
        <v>635</v>
      </c>
      <c r="U126" s="22" t="s">
        <v>222</v>
      </c>
      <c r="V126" s="26"/>
      <c r="W126" s="22"/>
      <c r="X126" s="22"/>
      <c r="Y126" s="17"/>
      <c r="Z126" s="17"/>
      <c r="AA126" s="17"/>
      <c r="AB126" s="106"/>
      <c r="AC126" s="22"/>
      <c r="AD126" s="22"/>
      <c r="AE126" s="22"/>
      <c r="AF126" s="22"/>
      <c r="AG126" s="22"/>
      <c r="AH126" s="106"/>
      <c r="AI126" s="4"/>
    </row>
    <row r="127" spans="1:35" ht="13.5" customHeight="1">
      <c r="A127" s="4"/>
      <c r="B127" s="32"/>
      <c r="C127" s="32" t="s">
        <v>25</v>
      </c>
      <c r="D127" s="32" t="s">
        <v>26</v>
      </c>
      <c r="E127" s="32" t="s">
        <v>27</v>
      </c>
      <c r="F127" s="33" t="s">
        <v>28</v>
      </c>
      <c r="G127" s="33" t="s">
        <v>29</v>
      </c>
      <c r="H127" s="33" t="s">
        <v>30</v>
      </c>
      <c r="I127" s="33" t="s">
        <v>31</v>
      </c>
      <c r="J127" s="34" t="s">
        <v>32</v>
      </c>
      <c r="K127" s="31" t="s">
        <v>33</v>
      </c>
      <c r="L127" s="33" t="s">
        <v>140</v>
      </c>
      <c r="M127" s="33" t="s">
        <v>141</v>
      </c>
      <c r="N127" s="33" t="s">
        <v>142</v>
      </c>
      <c r="O127" s="33" t="s">
        <v>143</v>
      </c>
      <c r="P127" s="34" t="s">
        <v>144</v>
      </c>
      <c r="Q127" s="31" t="s">
        <v>145</v>
      </c>
      <c r="R127" s="33" t="s">
        <v>145</v>
      </c>
      <c r="S127" s="33" t="s">
        <v>148</v>
      </c>
      <c r="T127" s="33" t="s">
        <v>146</v>
      </c>
      <c r="U127" s="33" t="s">
        <v>147</v>
      </c>
      <c r="V127" s="34" t="s">
        <v>144</v>
      </c>
      <c r="W127" s="31" t="s">
        <v>144</v>
      </c>
      <c r="X127" s="33" t="s">
        <v>148</v>
      </c>
      <c r="Y127" s="33" t="s">
        <v>146</v>
      </c>
      <c r="Z127" s="33" t="s">
        <v>149</v>
      </c>
      <c r="AA127" s="33" t="s">
        <v>150</v>
      </c>
      <c r="AB127" s="34" t="s">
        <v>149</v>
      </c>
      <c r="AC127" s="107" t="s">
        <v>151</v>
      </c>
      <c r="AD127" s="108" t="s">
        <v>152</v>
      </c>
      <c r="AE127" s="108" t="s">
        <v>153</v>
      </c>
      <c r="AF127" s="108" t="s">
        <v>154</v>
      </c>
      <c r="AG127" s="108" t="s">
        <v>155</v>
      </c>
      <c r="AH127" s="109" t="s">
        <v>156</v>
      </c>
      <c r="AI127" s="4"/>
    </row>
    <row r="128" spans="1:35" ht="13.5" customHeight="1">
      <c r="A128" s="1"/>
      <c r="B128" s="36"/>
      <c r="C128" s="36"/>
      <c r="D128" s="36"/>
      <c r="E128" s="36"/>
      <c r="F128" s="37"/>
      <c r="G128" s="37"/>
      <c r="H128" s="37"/>
      <c r="I128" s="37"/>
      <c r="J128" s="38"/>
      <c r="K128" s="35"/>
      <c r="L128" s="37"/>
      <c r="M128" s="37"/>
      <c r="N128" s="37"/>
      <c r="O128" s="37"/>
      <c r="P128" s="38"/>
      <c r="Q128" s="35"/>
      <c r="R128" s="37"/>
      <c r="S128" s="37"/>
      <c r="T128" s="37"/>
      <c r="U128" s="37"/>
      <c r="V128" s="38"/>
      <c r="W128" s="35"/>
      <c r="X128" s="37"/>
      <c r="Y128" s="37"/>
      <c r="Z128" s="37"/>
      <c r="AA128" s="37"/>
      <c r="AB128" s="38"/>
      <c r="AC128" s="35"/>
      <c r="AD128" s="37"/>
      <c r="AE128" s="37"/>
      <c r="AF128" s="37"/>
      <c r="AG128" s="37"/>
      <c r="AH128" s="38"/>
      <c r="AI128" s="4"/>
    </row>
    <row r="129" spans="1:35" ht="13.5" customHeight="1">
      <c r="A129" s="4"/>
      <c r="B129" s="35"/>
      <c r="C129" s="14" t="s">
        <v>34</v>
      </c>
      <c r="D129" s="39"/>
      <c r="E129" s="39"/>
      <c r="F129" s="4"/>
      <c r="G129" s="4"/>
      <c r="H129" s="4"/>
      <c r="I129" s="4"/>
      <c r="J129" s="18"/>
      <c r="K129" s="40"/>
      <c r="L129" s="4"/>
      <c r="M129" s="4"/>
      <c r="N129" s="4"/>
      <c r="O129" s="4"/>
      <c r="P129" s="18"/>
      <c r="Q129" s="40"/>
      <c r="R129" s="4"/>
      <c r="S129" s="4"/>
      <c r="T129" s="4"/>
      <c r="U129" s="4"/>
      <c r="V129" s="18"/>
      <c r="W129" s="40"/>
      <c r="X129" s="4"/>
      <c r="Y129" s="4"/>
      <c r="Z129" s="4"/>
      <c r="AA129" s="4"/>
      <c r="AB129" s="18"/>
      <c r="AC129" s="40"/>
      <c r="AD129" s="4"/>
      <c r="AE129" s="4"/>
      <c r="AF129" s="4"/>
      <c r="AG129" s="4"/>
      <c r="AH129" s="18"/>
      <c r="AI129" s="4"/>
    </row>
    <row r="130" spans="1:35" ht="13.5" customHeight="1">
      <c r="A130" s="4"/>
      <c r="B130" s="41">
        <v>1</v>
      </c>
      <c r="C130" s="42" t="s">
        <v>35</v>
      </c>
      <c r="D130" s="43" t="s">
        <v>36</v>
      </c>
      <c r="E130" s="112">
        <f aca="true" t="shared" si="26" ref="E130:E135">SUM(F130:AH130)</f>
        <v>0</v>
      </c>
      <c r="F130" s="113">
        <v>0</v>
      </c>
      <c r="G130" s="113">
        <v>0</v>
      </c>
      <c r="H130" s="113">
        <v>0</v>
      </c>
      <c r="I130" s="113">
        <v>0</v>
      </c>
      <c r="J130" s="114">
        <v>0</v>
      </c>
      <c r="K130" s="44">
        <v>0</v>
      </c>
      <c r="L130" s="113">
        <v>0</v>
      </c>
      <c r="M130" s="113">
        <v>0</v>
      </c>
      <c r="N130" s="113">
        <v>0</v>
      </c>
      <c r="O130" s="113">
        <v>0</v>
      </c>
      <c r="P130" s="114">
        <v>0</v>
      </c>
      <c r="Q130" s="44">
        <v>0</v>
      </c>
      <c r="R130" s="113">
        <v>0</v>
      </c>
      <c r="S130" s="113">
        <v>0</v>
      </c>
      <c r="T130" s="113">
        <v>0</v>
      </c>
      <c r="U130" s="113">
        <v>0</v>
      </c>
      <c r="V130" s="114">
        <v>0</v>
      </c>
      <c r="W130" s="44">
        <v>0</v>
      </c>
      <c r="X130" s="113">
        <v>0</v>
      </c>
      <c r="Y130" s="113">
        <v>0</v>
      </c>
      <c r="Z130" s="113">
        <v>0</v>
      </c>
      <c r="AA130" s="113">
        <v>0</v>
      </c>
      <c r="AB130" s="114">
        <v>0</v>
      </c>
      <c r="AC130" s="44">
        <v>0</v>
      </c>
      <c r="AD130" s="113">
        <v>0</v>
      </c>
      <c r="AE130" s="113">
        <v>0</v>
      </c>
      <c r="AF130" s="113">
        <v>0</v>
      </c>
      <c r="AG130" s="113">
        <v>0</v>
      </c>
      <c r="AH130" s="114">
        <v>0</v>
      </c>
      <c r="AI130" s="4"/>
    </row>
    <row r="131" spans="1:35" ht="13.5" customHeight="1">
      <c r="A131" s="4"/>
      <c r="B131" s="41">
        <f aca="true" t="shared" si="27" ref="B131:B137">B130+1</f>
        <v>2</v>
      </c>
      <c r="C131" s="42" t="s">
        <v>37</v>
      </c>
      <c r="D131" s="43" t="s">
        <v>36</v>
      </c>
      <c r="E131" s="39">
        <f t="shared" si="26"/>
        <v>0</v>
      </c>
      <c r="F131" s="2">
        <v>0</v>
      </c>
      <c r="G131" s="2">
        <v>0</v>
      </c>
      <c r="H131" s="2">
        <v>0</v>
      </c>
      <c r="I131" s="2">
        <v>0</v>
      </c>
      <c r="J131" s="115">
        <v>0</v>
      </c>
      <c r="K131" s="48">
        <v>0</v>
      </c>
      <c r="L131" s="2">
        <v>0</v>
      </c>
      <c r="M131" s="2">
        <v>0</v>
      </c>
      <c r="N131" s="2">
        <v>0</v>
      </c>
      <c r="O131" s="2">
        <v>0</v>
      </c>
      <c r="P131" s="115">
        <v>0</v>
      </c>
      <c r="Q131" s="48">
        <v>0</v>
      </c>
      <c r="R131" s="2">
        <v>0</v>
      </c>
      <c r="S131" s="2">
        <v>0</v>
      </c>
      <c r="T131" s="2">
        <v>0</v>
      </c>
      <c r="U131" s="2">
        <v>0</v>
      </c>
      <c r="V131" s="115">
        <v>0</v>
      </c>
      <c r="W131" s="48">
        <v>0</v>
      </c>
      <c r="X131" s="2">
        <v>0</v>
      </c>
      <c r="Y131" s="2">
        <v>0</v>
      </c>
      <c r="Z131" s="2">
        <v>0</v>
      </c>
      <c r="AA131" s="2">
        <v>0</v>
      </c>
      <c r="AB131" s="115">
        <v>0</v>
      </c>
      <c r="AC131" s="48">
        <v>0</v>
      </c>
      <c r="AD131" s="2">
        <v>0</v>
      </c>
      <c r="AE131" s="2">
        <v>0</v>
      </c>
      <c r="AF131" s="2">
        <v>0</v>
      </c>
      <c r="AG131" s="2">
        <v>0</v>
      </c>
      <c r="AH131" s="115">
        <v>0</v>
      </c>
      <c r="AI131" s="4"/>
    </row>
    <row r="132" spans="1:35" ht="13.5" customHeight="1">
      <c r="A132" s="4"/>
      <c r="B132" s="41">
        <f t="shared" si="27"/>
        <v>3</v>
      </c>
      <c r="C132" s="42" t="s">
        <v>38</v>
      </c>
      <c r="D132" s="43" t="s">
        <v>36</v>
      </c>
      <c r="E132" s="39">
        <f t="shared" si="26"/>
        <v>-190201</v>
      </c>
      <c r="F132" s="2">
        <v>-190201</v>
      </c>
      <c r="G132" s="2">
        <v>0</v>
      </c>
      <c r="H132" s="2">
        <v>0</v>
      </c>
      <c r="I132" s="2">
        <v>0</v>
      </c>
      <c r="J132" s="115">
        <v>0</v>
      </c>
      <c r="K132" s="48">
        <v>0</v>
      </c>
      <c r="L132" s="2">
        <v>0</v>
      </c>
      <c r="M132" s="2">
        <v>0</v>
      </c>
      <c r="N132" s="2">
        <v>0</v>
      </c>
      <c r="O132" s="2">
        <v>0</v>
      </c>
      <c r="P132" s="115">
        <v>0</v>
      </c>
      <c r="Q132" s="48">
        <v>0</v>
      </c>
      <c r="R132" s="2">
        <v>0</v>
      </c>
      <c r="S132" s="2">
        <v>0</v>
      </c>
      <c r="T132" s="2">
        <v>0</v>
      </c>
      <c r="U132" s="2">
        <v>0</v>
      </c>
      <c r="V132" s="115">
        <v>0</v>
      </c>
      <c r="W132" s="48">
        <v>0</v>
      </c>
      <c r="X132" s="2">
        <v>0</v>
      </c>
      <c r="Y132" s="2">
        <v>0</v>
      </c>
      <c r="Z132" s="2">
        <v>0</v>
      </c>
      <c r="AA132" s="2">
        <v>0</v>
      </c>
      <c r="AB132" s="115">
        <v>0</v>
      </c>
      <c r="AC132" s="48">
        <v>0</v>
      </c>
      <c r="AD132" s="2">
        <v>0</v>
      </c>
      <c r="AE132" s="2">
        <v>0</v>
      </c>
      <c r="AF132" s="2">
        <v>0</v>
      </c>
      <c r="AG132" s="2">
        <v>0</v>
      </c>
      <c r="AH132" s="115">
        <v>0</v>
      </c>
      <c r="AI132" s="4"/>
    </row>
    <row r="133" spans="1:35" ht="13.5" customHeight="1">
      <c r="A133" s="4"/>
      <c r="B133" s="41">
        <f t="shared" si="27"/>
        <v>4</v>
      </c>
      <c r="C133" s="42" t="s">
        <v>39</v>
      </c>
      <c r="D133" s="43" t="s">
        <v>36</v>
      </c>
      <c r="E133" s="39">
        <f t="shared" si="26"/>
        <v>0</v>
      </c>
      <c r="F133" s="2">
        <v>0</v>
      </c>
      <c r="G133" s="2">
        <v>0</v>
      </c>
      <c r="H133" s="2">
        <v>0</v>
      </c>
      <c r="I133" s="2">
        <v>0</v>
      </c>
      <c r="J133" s="115">
        <v>0</v>
      </c>
      <c r="K133" s="48">
        <v>0</v>
      </c>
      <c r="L133" s="2">
        <v>0</v>
      </c>
      <c r="M133" s="2">
        <v>0</v>
      </c>
      <c r="N133" s="2">
        <v>0</v>
      </c>
      <c r="O133" s="2">
        <v>0</v>
      </c>
      <c r="P133" s="115">
        <v>0</v>
      </c>
      <c r="Q133" s="48">
        <v>0</v>
      </c>
      <c r="R133" s="2">
        <v>0</v>
      </c>
      <c r="S133" s="2">
        <v>0</v>
      </c>
      <c r="T133" s="2">
        <v>0</v>
      </c>
      <c r="U133" s="2">
        <v>0</v>
      </c>
      <c r="V133" s="115">
        <v>0</v>
      </c>
      <c r="W133" s="48">
        <v>0</v>
      </c>
      <c r="X133" s="2">
        <v>0</v>
      </c>
      <c r="Y133" s="2">
        <v>0</v>
      </c>
      <c r="Z133" s="2">
        <v>0</v>
      </c>
      <c r="AA133" s="2">
        <v>0</v>
      </c>
      <c r="AB133" s="115">
        <v>0</v>
      </c>
      <c r="AC133" s="48">
        <v>0</v>
      </c>
      <c r="AD133" s="2">
        <v>0</v>
      </c>
      <c r="AE133" s="2">
        <v>0</v>
      </c>
      <c r="AF133" s="2">
        <v>0</v>
      </c>
      <c r="AG133" s="2">
        <v>0</v>
      </c>
      <c r="AH133" s="115">
        <v>0</v>
      </c>
      <c r="AI133" s="4"/>
    </row>
    <row r="134" spans="1:35" ht="13.5" customHeight="1">
      <c r="A134" s="4"/>
      <c r="B134" s="41">
        <f t="shared" si="27"/>
        <v>5</v>
      </c>
      <c r="C134" s="42" t="s">
        <v>605</v>
      </c>
      <c r="D134" s="43" t="s">
        <v>36</v>
      </c>
      <c r="E134" s="39">
        <f t="shared" si="26"/>
        <v>154066</v>
      </c>
      <c r="F134" s="2">
        <v>0</v>
      </c>
      <c r="G134" s="2">
        <v>154066</v>
      </c>
      <c r="H134" s="2">
        <v>0</v>
      </c>
      <c r="I134" s="2">
        <v>0</v>
      </c>
      <c r="J134" s="115">
        <v>0</v>
      </c>
      <c r="K134" s="48">
        <v>0</v>
      </c>
      <c r="L134" s="2">
        <v>0</v>
      </c>
      <c r="M134" s="2">
        <v>0</v>
      </c>
      <c r="N134" s="2">
        <v>0</v>
      </c>
      <c r="O134" s="2">
        <v>0</v>
      </c>
      <c r="P134" s="115">
        <v>0</v>
      </c>
      <c r="Q134" s="48">
        <v>0</v>
      </c>
      <c r="R134" s="2">
        <v>0</v>
      </c>
      <c r="S134" s="2">
        <v>0</v>
      </c>
      <c r="T134" s="2">
        <v>0</v>
      </c>
      <c r="U134" s="2">
        <v>0</v>
      </c>
      <c r="V134" s="115">
        <v>0</v>
      </c>
      <c r="W134" s="48">
        <v>0</v>
      </c>
      <c r="X134" s="2">
        <v>0</v>
      </c>
      <c r="Y134" s="2">
        <v>0</v>
      </c>
      <c r="Z134" s="2">
        <v>0</v>
      </c>
      <c r="AA134" s="2">
        <v>0</v>
      </c>
      <c r="AB134" s="115">
        <v>0</v>
      </c>
      <c r="AC134" s="48">
        <v>0</v>
      </c>
      <c r="AD134" s="2">
        <v>0</v>
      </c>
      <c r="AE134" s="2">
        <v>0</v>
      </c>
      <c r="AF134" s="2">
        <v>0</v>
      </c>
      <c r="AG134" s="2">
        <v>0</v>
      </c>
      <c r="AH134" s="115">
        <v>0</v>
      </c>
      <c r="AI134" s="4"/>
    </row>
    <row r="135" spans="1:35" ht="13.5" customHeight="1">
      <c r="A135" s="4"/>
      <c r="B135" s="41">
        <f t="shared" si="27"/>
        <v>6</v>
      </c>
      <c r="C135" s="42" t="s">
        <v>606</v>
      </c>
      <c r="D135" s="43" t="s">
        <v>36</v>
      </c>
      <c r="E135" s="39">
        <f t="shared" si="26"/>
        <v>6708</v>
      </c>
      <c r="F135" s="2">
        <v>0</v>
      </c>
      <c r="G135" s="2">
        <v>0</v>
      </c>
      <c r="H135" s="2">
        <v>6708</v>
      </c>
      <c r="I135" s="2">
        <v>0</v>
      </c>
      <c r="J135" s="115">
        <v>0</v>
      </c>
      <c r="K135" s="48">
        <v>0</v>
      </c>
      <c r="L135" s="2">
        <v>0</v>
      </c>
      <c r="M135" s="2">
        <v>0</v>
      </c>
      <c r="N135" s="2">
        <v>0</v>
      </c>
      <c r="O135" s="2">
        <v>0</v>
      </c>
      <c r="P135" s="115">
        <v>0</v>
      </c>
      <c r="Q135" s="48">
        <v>0</v>
      </c>
      <c r="R135" s="2">
        <v>0</v>
      </c>
      <c r="S135" s="2">
        <v>0</v>
      </c>
      <c r="T135" s="2">
        <v>0</v>
      </c>
      <c r="U135" s="2">
        <v>0</v>
      </c>
      <c r="V135" s="115">
        <v>0</v>
      </c>
      <c r="W135" s="48">
        <v>0</v>
      </c>
      <c r="X135" s="2">
        <v>0</v>
      </c>
      <c r="Y135" s="2">
        <v>0</v>
      </c>
      <c r="Z135" s="2">
        <v>0</v>
      </c>
      <c r="AA135" s="2">
        <v>0</v>
      </c>
      <c r="AB135" s="115">
        <v>0</v>
      </c>
      <c r="AC135" s="48">
        <v>0</v>
      </c>
      <c r="AD135" s="2">
        <v>0</v>
      </c>
      <c r="AE135" s="2">
        <v>0</v>
      </c>
      <c r="AF135" s="2">
        <v>0</v>
      </c>
      <c r="AG135" s="2">
        <v>0</v>
      </c>
      <c r="AH135" s="115">
        <v>0</v>
      </c>
      <c r="AI135" s="4"/>
    </row>
    <row r="136" spans="1:35" ht="13.5" customHeight="1">
      <c r="A136" s="4"/>
      <c r="B136" s="41">
        <f t="shared" si="27"/>
        <v>7</v>
      </c>
      <c r="C136" s="42" t="s">
        <v>40</v>
      </c>
      <c r="D136" s="41" t="str">
        <f>"Ln "&amp;FIXED(+B130,0)&amp;" thru "&amp;FIXED(+B136,0)</f>
        <v>Ln 1 thru 7</v>
      </c>
      <c r="E136" s="116">
        <f aca="true" t="shared" si="28" ref="E136:AH136">SUM(E130:E135)</f>
        <v>-29427</v>
      </c>
      <c r="F136" s="99">
        <f t="shared" si="28"/>
        <v>-190201</v>
      </c>
      <c r="G136" s="99">
        <f t="shared" si="28"/>
        <v>154066</v>
      </c>
      <c r="H136" s="99">
        <f t="shared" si="28"/>
        <v>6708</v>
      </c>
      <c r="I136" s="99">
        <f t="shared" si="28"/>
        <v>0</v>
      </c>
      <c r="J136" s="100">
        <f t="shared" si="28"/>
        <v>0</v>
      </c>
      <c r="K136" s="99">
        <f t="shared" si="28"/>
        <v>0</v>
      </c>
      <c r="L136" s="99">
        <f t="shared" si="28"/>
        <v>0</v>
      </c>
      <c r="M136" s="99">
        <f t="shared" si="28"/>
        <v>0</v>
      </c>
      <c r="N136" s="99">
        <f t="shared" si="28"/>
        <v>0</v>
      </c>
      <c r="O136" s="99">
        <f t="shared" si="28"/>
        <v>0</v>
      </c>
      <c r="P136" s="100">
        <f t="shared" si="28"/>
        <v>0</v>
      </c>
      <c r="Q136" s="99">
        <f t="shared" si="28"/>
        <v>0</v>
      </c>
      <c r="R136" s="99">
        <f t="shared" si="28"/>
        <v>0</v>
      </c>
      <c r="S136" s="99">
        <f t="shared" si="28"/>
        <v>0</v>
      </c>
      <c r="T136" s="99">
        <f t="shared" si="28"/>
        <v>0</v>
      </c>
      <c r="U136" s="99">
        <f t="shared" si="28"/>
        <v>0</v>
      </c>
      <c r="V136" s="100">
        <f t="shared" si="28"/>
        <v>0</v>
      </c>
      <c r="W136" s="99">
        <f t="shared" si="28"/>
        <v>0</v>
      </c>
      <c r="X136" s="99">
        <f t="shared" si="28"/>
        <v>0</v>
      </c>
      <c r="Y136" s="99">
        <f t="shared" si="28"/>
        <v>0</v>
      </c>
      <c r="Z136" s="99">
        <f t="shared" si="28"/>
        <v>0</v>
      </c>
      <c r="AA136" s="99">
        <f t="shared" si="28"/>
        <v>0</v>
      </c>
      <c r="AB136" s="100">
        <f t="shared" si="28"/>
        <v>0</v>
      </c>
      <c r="AC136" s="99">
        <f t="shared" si="28"/>
        <v>0</v>
      </c>
      <c r="AD136" s="99">
        <f t="shared" si="28"/>
        <v>0</v>
      </c>
      <c r="AE136" s="99">
        <f t="shared" si="28"/>
        <v>0</v>
      </c>
      <c r="AF136" s="99">
        <f t="shared" si="28"/>
        <v>0</v>
      </c>
      <c r="AG136" s="99">
        <f t="shared" si="28"/>
        <v>0</v>
      </c>
      <c r="AH136" s="100">
        <f t="shared" si="28"/>
        <v>0</v>
      </c>
      <c r="AI136" s="4"/>
    </row>
    <row r="137" spans="1:35" ht="13.5" customHeight="1">
      <c r="A137" s="4"/>
      <c r="B137" s="41">
        <f t="shared" si="27"/>
        <v>8</v>
      </c>
      <c r="C137" s="42" t="s">
        <v>41</v>
      </c>
      <c r="D137" s="43" t="s">
        <v>36</v>
      </c>
      <c r="E137" s="39">
        <f>SUM(F137:AH137)</f>
        <v>0</v>
      </c>
      <c r="F137" s="1">
        <v>0</v>
      </c>
      <c r="G137" s="1">
        <v>0</v>
      </c>
      <c r="H137" s="1">
        <v>0</v>
      </c>
      <c r="I137" s="1">
        <v>0</v>
      </c>
      <c r="J137" s="67">
        <v>0</v>
      </c>
      <c r="K137" s="42">
        <v>0</v>
      </c>
      <c r="L137" s="1">
        <v>0</v>
      </c>
      <c r="M137" s="1">
        <v>0</v>
      </c>
      <c r="N137" s="1">
        <v>0</v>
      </c>
      <c r="O137" s="1">
        <v>0</v>
      </c>
      <c r="P137" s="67">
        <v>0</v>
      </c>
      <c r="Q137" s="42">
        <v>0</v>
      </c>
      <c r="R137" s="1">
        <v>0</v>
      </c>
      <c r="S137" s="1">
        <v>0</v>
      </c>
      <c r="T137" s="1">
        <v>0</v>
      </c>
      <c r="U137" s="1">
        <v>0</v>
      </c>
      <c r="V137" s="67">
        <v>0</v>
      </c>
      <c r="W137" s="42">
        <v>0</v>
      </c>
      <c r="X137" s="1">
        <v>0</v>
      </c>
      <c r="Y137" s="1">
        <v>0</v>
      </c>
      <c r="Z137" s="1">
        <v>0</v>
      </c>
      <c r="AA137" s="1">
        <v>0</v>
      </c>
      <c r="AB137" s="67">
        <v>0</v>
      </c>
      <c r="AC137" s="42">
        <v>0</v>
      </c>
      <c r="AD137" s="1">
        <v>0</v>
      </c>
      <c r="AE137" s="1">
        <v>0</v>
      </c>
      <c r="AF137" s="1">
        <v>0</v>
      </c>
      <c r="AG137" s="1">
        <v>0</v>
      </c>
      <c r="AH137" s="67">
        <v>0</v>
      </c>
      <c r="AI137" s="4"/>
    </row>
    <row r="138" spans="1:35" ht="13.5" customHeight="1">
      <c r="A138" s="4"/>
      <c r="B138" s="43"/>
      <c r="C138" s="111"/>
      <c r="D138" s="43"/>
      <c r="E138" s="111"/>
      <c r="F138" s="1"/>
      <c r="G138" s="1"/>
      <c r="H138" s="1"/>
      <c r="I138" s="1"/>
      <c r="J138" s="67"/>
      <c r="K138" s="42"/>
      <c r="L138" s="1"/>
      <c r="M138" s="1"/>
      <c r="N138" s="1"/>
      <c r="O138" s="1"/>
      <c r="P138" s="67"/>
      <c r="Q138" s="42"/>
      <c r="R138" s="1"/>
      <c r="S138" s="1"/>
      <c r="T138" s="1"/>
      <c r="U138" s="1"/>
      <c r="V138" s="67"/>
      <c r="W138" s="42"/>
      <c r="X138" s="1"/>
      <c r="Y138" s="1"/>
      <c r="Z138" s="1"/>
      <c r="AA138" s="1"/>
      <c r="AB138" s="67"/>
      <c r="AC138" s="42"/>
      <c r="AD138" s="1"/>
      <c r="AE138" s="1"/>
      <c r="AF138" s="1"/>
      <c r="AG138" s="1"/>
      <c r="AH138" s="67"/>
      <c r="AI138" s="4"/>
    </row>
    <row r="139" spans="1:35" ht="13.5" customHeight="1">
      <c r="A139" s="4"/>
      <c r="B139" s="43">
        <f>B137+1</f>
        <v>9</v>
      </c>
      <c r="C139" s="110" t="s">
        <v>42</v>
      </c>
      <c r="D139" s="43" t="str">
        <f>"Ln "&amp;FIXED(+B136,0)&amp;"+"&amp;FIXED(+B137,0)</f>
        <v>Ln 7+8</v>
      </c>
      <c r="E139" s="117">
        <f aca="true" t="shared" si="29" ref="E139:AH139">E136+E137</f>
        <v>-29427</v>
      </c>
      <c r="F139" s="57">
        <f t="shared" si="29"/>
        <v>-190201</v>
      </c>
      <c r="G139" s="57">
        <f t="shared" si="29"/>
        <v>154066</v>
      </c>
      <c r="H139" s="57">
        <f t="shared" si="29"/>
        <v>6708</v>
      </c>
      <c r="I139" s="57">
        <f t="shared" si="29"/>
        <v>0</v>
      </c>
      <c r="J139" s="58">
        <f t="shared" si="29"/>
        <v>0</v>
      </c>
      <c r="K139" s="8">
        <f t="shared" si="29"/>
        <v>0</v>
      </c>
      <c r="L139" s="57">
        <f t="shared" si="29"/>
        <v>0</v>
      </c>
      <c r="M139" s="57">
        <f t="shared" si="29"/>
        <v>0</v>
      </c>
      <c r="N139" s="57">
        <f t="shared" si="29"/>
        <v>0</v>
      </c>
      <c r="O139" s="57">
        <f t="shared" si="29"/>
        <v>0</v>
      </c>
      <c r="P139" s="58">
        <f t="shared" si="29"/>
        <v>0</v>
      </c>
      <c r="Q139" s="8">
        <f t="shared" si="29"/>
        <v>0</v>
      </c>
      <c r="R139" s="57">
        <f t="shared" si="29"/>
        <v>0</v>
      </c>
      <c r="S139" s="57">
        <f t="shared" si="29"/>
        <v>0</v>
      </c>
      <c r="T139" s="57">
        <f t="shared" si="29"/>
        <v>0</v>
      </c>
      <c r="U139" s="57">
        <f t="shared" si="29"/>
        <v>0</v>
      </c>
      <c r="V139" s="58">
        <f t="shared" si="29"/>
        <v>0</v>
      </c>
      <c r="W139" s="8">
        <f t="shared" si="29"/>
        <v>0</v>
      </c>
      <c r="X139" s="57">
        <f t="shared" si="29"/>
        <v>0</v>
      </c>
      <c r="Y139" s="57">
        <f t="shared" si="29"/>
        <v>0</v>
      </c>
      <c r="Z139" s="57">
        <f t="shared" si="29"/>
        <v>0</v>
      </c>
      <c r="AA139" s="57">
        <f t="shared" si="29"/>
        <v>0</v>
      </c>
      <c r="AB139" s="58">
        <f t="shared" si="29"/>
        <v>0</v>
      </c>
      <c r="AC139" s="8">
        <f t="shared" si="29"/>
        <v>0</v>
      </c>
      <c r="AD139" s="57">
        <f t="shared" si="29"/>
        <v>0</v>
      </c>
      <c r="AE139" s="57">
        <f t="shared" si="29"/>
        <v>0</v>
      </c>
      <c r="AF139" s="57">
        <f t="shared" si="29"/>
        <v>0</v>
      </c>
      <c r="AG139" s="57">
        <f t="shared" si="29"/>
        <v>0</v>
      </c>
      <c r="AH139" s="58">
        <f t="shared" si="29"/>
        <v>0</v>
      </c>
      <c r="AI139" s="4"/>
    </row>
    <row r="140" spans="1:35" ht="13.5" customHeight="1">
      <c r="A140" s="4"/>
      <c r="B140" s="43"/>
      <c r="C140" s="110"/>
      <c r="D140" s="43"/>
      <c r="E140" s="117"/>
      <c r="F140" s="57"/>
      <c r="G140" s="57"/>
      <c r="H140" s="57"/>
      <c r="I140" s="57"/>
      <c r="J140" s="58"/>
      <c r="K140" s="8"/>
      <c r="L140" s="57"/>
      <c r="M140" s="57"/>
      <c r="N140" s="57"/>
      <c r="O140" s="57"/>
      <c r="P140" s="58"/>
      <c r="Q140" s="8"/>
      <c r="R140" s="57"/>
      <c r="S140" s="57"/>
      <c r="T140" s="57"/>
      <c r="U140" s="57"/>
      <c r="V140" s="58"/>
      <c r="W140" s="8"/>
      <c r="X140" s="57"/>
      <c r="Y140" s="57"/>
      <c r="Z140" s="57"/>
      <c r="AA140" s="57"/>
      <c r="AB140" s="58"/>
      <c r="AC140" s="8"/>
      <c r="AD140" s="57"/>
      <c r="AE140" s="57"/>
      <c r="AF140" s="57"/>
      <c r="AG140" s="57"/>
      <c r="AH140" s="58"/>
      <c r="AI140" s="4"/>
    </row>
    <row r="141" spans="1:35" ht="13.5" customHeight="1">
      <c r="A141" s="4"/>
      <c r="B141" s="36"/>
      <c r="C141" s="110" t="s">
        <v>43</v>
      </c>
      <c r="D141" s="39"/>
      <c r="E141" s="39"/>
      <c r="F141" s="4"/>
      <c r="G141" s="4"/>
      <c r="H141" s="4"/>
      <c r="I141" s="4"/>
      <c r="J141" s="18"/>
      <c r="K141" s="40"/>
      <c r="L141" s="4"/>
      <c r="M141" s="4"/>
      <c r="N141" s="4"/>
      <c r="O141" s="4"/>
      <c r="P141" s="18"/>
      <c r="Q141" s="40"/>
      <c r="R141" s="4"/>
      <c r="S141" s="4"/>
      <c r="T141" s="4"/>
      <c r="U141" s="4"/>
      <c r="V141" s="18"/>
      <c r="W141" s="40"/>
      <c r="X141" s="4"/>
      <c r="Y141" s="4"/>
      <c r="Z141" s="4"/>
      <c r="AA141" s="4"/>
      <c r="AB141" s="18"/>
      <c r="AC141" s="40"/>
      <c r="AD141" s="4"/>
      <c r="AE141" s="4"/>
      <c r="AF141" s="4"/>
      <c r="AG141" s="4"/>
      <c r="AH141" s="18"/>
      <c r="AI141" s="4"/>
    </row>
    <row r="142" spans="1:35" ht="13.5" customHeight="1">
      <c r="A142" s="4"/>
      <c r="B142" s="43">
        <f>B139+1</f>
        <v>10</v>
      </c>
      <c r="C142" s="111" t="s">
        <v>44</v>
      </c>
      <c r="D142" s="43" t="s">
        <v>36</v>
      </c>
      <c r="E142" s="39">
        <f aca="true" t="shared" si="30" ref="E142:E164">SUM(F142:AH142)</f>
        <v>0</v>
      </c>
      <c r="F142" s="2">
        <v>0</v>
      </c>
      <c r="G142" s="2">
        <v>0</v>
      </c>
      <c r="H142" s="2">
        <v>0</v>
      </c>
      <c r="I142" s="2">
        <v>0</v>
      </c>
      <c r="J142" s="115">
        <v>0</v>
      </c>
      <c r="K142" s="48">
        <v>0</v>
      </c>
      <c r="L142" s="2">
        <v>0</v>
      </c>
      <c r="M142" s="2">
        <v>0</v>
      </c>
      <c r="N142" s="2">
        <v>0</v>
      </c>
      <c r="O142" s="2">
        <v>0</v>
      </c>
      <c r="P142" s="115">
        <v>0</v>
      </c>
      <c r="Q142" s="48">
        <v>0</v>
      </c>
      <c r="R142" s="2">
        <v>0</v>
      </c>
      <c r="S142" s="2">
        <v>0</v>
      </c>
      <c r="T142" s="2">
        <v>0</v>
      </c>
      <c r="U142" s="2">
        <v>0</v>
      </c>
      <c r="V142" s="115">
        <v>0</v>
      </c>
      <c r="W142" s="48">
        <v>0</v>
      </c>
      <c r="X142" s="2">
        <v>0</v>
      </c>
      <c r="Y142" s="2">
        <v>0</v>
      </c>
      <c r="Z142" s="2">
        <v>0</v>
      </c>
      <c r="AA142" s="2">
        <v>0</v>
      </c>
      <c r="AB142" s="115">
        <v>0</v>
      </c>
      <c r="AC142" s="48">
        <v>0</v>
      </c>
      <c r="AD142" s="2">
        <v>0</v>
      </c>
      <c r="AE142" s="2">
        <v>0</v>
      </c>
      <c r="AF142" s="2">
        <v>0</v>
      </c>
      <c r="AG142" s="2">
        <v>0</v>
      </c>
      <c r="AH142" s="115">
        <v>0</v>
      </c>
      <c r="AI142" s="4"/>
    </row>
    <row r="143" spans="1:35" ht="13.5" customHeight="1">
      <c r="A143" s="4"/>
      <c r="B143" s="43">
        <f aca="true" t="shared" si="31" ref="B143:B165">B142+1</f>
        <v>11</v>
      </c>
      <c r="C143" s="111" t="s">
        <v>45</v>
      </c>
      <c r="D143" s="43" t="s">
        <v>36</v>
      </c>
      <c r="E143" s="39">
        <f t="shared" si="30"/>
        <v>-28957</v>
      </c>
      <c r="F143" s="2">
        <v>0</v>
      </c>
      <c r="G143" s="2">
        <v>0</v>
      </c>
      <c r="H143" s="2">
        <v>0</v>
      </c>
      <c r="I143" s="2">
        <v>-28957</v>
      </c>
      <c r="J143" s="115">
        <v>0</v>
      </c>
      <c r="K143" s="48">
        <v>0</v>
      </c>
      <c r="L143" s="2">
        <v>0</v>
      </c>
      <c r="M143" s="2">
        <v>0</v>
      </c>
      <c r="N143" s="2">
        <v>0</v>
      </c>
      <c r="O143" s="2">
        <v>0</v>
      </c>
      <c r="P143" s="115">
        <v>0</v>
      </c>
      <c r="Q143" s="48">
        <v>0</v>
      </c>
      <c r="R143" s="2">
        <v>0</v>
      </c>
      <c r="S143" s="2">
        <v>0</v>
      </c>
      <c r="T143" s="2">
        <v>0</v>
      </c>
      <c r="U143" s="2">
        <v>0</v>
      </c>
      <c r="V143" s="115">
        <v>0</v>
      </c>
      <c r="W143" s="48">
        <v>0</v>
      </c>
      <c r="X143" s="2">
        <v>0</v>
      </c>
      <c r="Y143" s="2">
        <v>0</v>
      </c>
      <c r="Z143" s="2">
        <v>0</v>
      </c>
      <c r="AA143" s="2">
        <v>0</v>
      </c>
      <c r="AB143" s="115">
        <v>0</v>
      </c>
      <c r="AC143" s="48">
        <v>0</v>
      </c>
      <c r="AD143" s="2">
        <v>0</v>
      </c>
      <c r="AE143" s="2">
        <v>0</v>
      </c>
      <c r="AF143" s="2">
        <v>0</v>
      </c>
      <c r="AG143" s="2">
        <v>0</v>
      </c>
      <c r="AH143" s="115">
        <v>0</v>
      </c>
      <c r="AI143" s="4"/>
    </row>
    <row r="144" spans="1:35" ht="13.5" customHeight="1">
      <c r="A144" s="4"/>
      <c r="B144" s="43">
        <f t="shared" si="31"/>
        <v>12</v>
      </c>
      <c r="C144" s="111" t="s">
        <v>46</v>
      </c>
      <c r="D144" s="43" t="s">
        <v>36</v>
      </c>
      <c r="E144" s="39">
        <f t="shared" si="30"/>
        <v>0</v>
      </c>
      <c r="F144" s="2">
        <v>0</v>
      </c>
      <c r="G144" s="2">
        <v>0</v>
      </c>
      <c r="H144" s="2">
        <v>0</v>
      </c>
      <c r="I144" s="2">
        <v>0</v>
      </c>
      <c r="J144" s="115">
        <v>0</v>
      </c>
      <c r="K144" s="48">
        <v>0</v>
      </c>
      <c r="L144" s="2">
        <v>0</v>
      </c>
      <c r="M144" s="2">
        <v>0</v>
      </c>
      <c r="N144" s="2">
        <v>0</v>
      </c>
      <c r="O144" s="2">
        <v>0</v>
      </c>
      <c r="P144" s="115">
        <v>0</v>
      </c>
      <c r="Q144" s="48">
        <v>0</v>
      </c>
      <c r="R144" s="2">
        <v>0</v>
      </c>
      <c r="S144" s="2">
        <v>0</v>
      </c>
      <c r="T144" s="2">
        <v>0</v>
      </c>
      <c r="U144" s="2">
        <v>0</v>
      </c>
      <c r="V144" s="115">
        <v>0</v>
      </c>
      <c r="W144" s="48">
        <v>0</v>
      </c>
      <c r="X144" s="2">
        <v>0</v>
      </c>
      <c r="Y144" s="2">
        <v>0</v>
      </c>
      <c r="Z144" s="2">
        <v>0</v>
      </c>
      <c r="AA144" s="2">
        <v>0</v>
      </c>
      <c r="AB144" s="115">
        <v>0</v>
      </c>
      <c r="AC144" s="48">
        <v>0</v>
      </c>
      <c r="AD144" s="2">
        <v>0</v>
      </c>
      <c r="AE144" s="2">
        <v>0</v>
      </c>
      <c r="AF144" s="2">
        <v>0</v>
      </c>
      <c r="AG144" s="2">
        <v>0</v>
      </c>
      <c r="AH144" s="115">
        <v>0</v>
      </c>
      <c r="AI144" s="4"/>
    </row>
    <row r="145" spans="1:35" ht="13.5" customHeight="1">
      <c r="A145" s="4"/>
      <c r="B145" s="43">
        <f t="shared" si="31"/>
        <v>13</v>
      </c>
      <c r="C145" s="111" t="s">
        <v>47</v>
      </c>
      <c r="D145" s="43" t="s">
        <v>36</v>
      </c>
      <c r="E145" s="39">
        <f t="shared" si="30"/>
        <v>0</v>
      </c>
      <c r="F145" s="2">
        <v>0</v>
      </c>
      <c r="G145" s="2">
        <v>0</v>
      </c>
      <c r="H145" s="2">
        <v>0</v>
      </c>
      <c r="I145" s="2">
        <v>0</v>
      </c>
      <c r="J145" s="115">
        <v>0</v>
      </c>
      <c r="K145" s="48">
        <v>0</v>
      </c>
      <c r="L145" s="2">
        <v>0</v>
      </c>
      <c r="M145" s="2">
        <v>0</v>
      </c>
      <c r="N145" s="2">
        <v>0</v>
      </c>
      <c r="O145" s="2">
        <v>0</v>
      </c>
      <c r="P145" s="115">
        <v>0</v>
      </c>
      <c r="Q145" s="48">
        <v>0</v>
      </c>
      <c r="R145" s="2">
        <v>0</v>
      </c>
      <c r="S145" s="2">
        <v>0</v>
      </c>
      <c r="T145" s="2">
        <v>0</v>
      </c>
      <c r="U145" s="2">
        <v>0</v>
      </c>
      <c r="V145" s="115">
        <v>0</v>
      </c>
      <c r="W145" s="48">
        <v>0</v>
      </c>
      <c r="X145" s="2">
        <v>0</v>
      </c>
      <c r="Y145" s="2">
        <v>0</v>
      </c>
      <c r="Z145" s="2">
        <v>0</v>
      </c>
      <c r="AA145" s="2">
        <v>0</v>
      </c>
      <c r="AB145" s="115">
        <v>0</v>
      </c>
      <c r="AC145" s="48">
        <v>0</v>
      </c>
      <c r="AD145" s="2">
        <v>0</v>
      </c>
      <c r="AE145" s="2">
        <v>0</v>
      </c>
      <c r="AF145" s="2">
        <v>0</v>
      </c>
      <c r="AG145" s="2">
        <v>0</v>
      </c>
      <c r="AH145" s="115">
        <v>0</v>
      </c>
      <c r="AI145" s="4"/>
    </row>
    <row r="146" spans="1:35" ht="13.5" customHeight="1">
      <c r="A146" s="4"/>
      <c r="B146" s="43">
        <f t="shared" si="31"/>
        <v>14</v>
      </c>
      <c r="C146" s="111" t="s">
        <v>48</v>
      </c>
      <c r="D146" s="43" t="s">
        <v>36</v>
      </c>
      <c r="E146" s="39">
        <f t="shared" si="30"/>
        <v>0</v>
      </c>
      <c r="F146" s="1">
        <v>0</v>
      </c>
      <c r="G146" s="1">
        <v>0</v>
      </c>
      <c r="H146" s="1">
        <v>0</v>
      </c>
      <c r="I146" s="1">
        <v>0</v>
      </c>
      <c r="J146" s="67">
        <v>0</v>
      </c>
      <c r="K146" s="42">
        <v>0</v>
      </c>
      <c r="L146" s="1">
        <v>0</v>
      </c>
      <c r="M146" s="1">
        <v>0</v>
      </c>
      <c r="N146" s="1">
        <v>0</v>
      </c>
      <c r="O146" s="1">
        <v>0</v>
      </c>
      <c r="P146" s="67">
        <v>0</v>
      </c>
      <c r="Q146" s="42">
        <v>0</v>
      </c>
      <c r="R146" s="1">
        <v>0</v>
      </c>
      <c r="S146" s="1">
        <v>0</v>
      </c>
      <c r="T146" s="1">
        <v>0</v>
      </c>
      <c r="U146" s="1">
        <v>0</v>
      </c>
      <c r="V146" s="67">
        <v>0</v>
      </c>
      <c r="W146" s="42">
        <v>0</v>
      </c>
      <c r="X146" s="1">
        <v>0</v>
      </c>
      <c r="Y146" s="1">
        <v>0</v>
      </c>
      <c r="Z146" s="1">
        <v>0</v>
      </c>
      <c r="AA146" s="1">
        <v>0</v>
      </c>
      <c r="AB146" s="67">
        <v>0</v>
      </c>
      <c r="AC146" s="42">
        <v>0</v>
      </c>
      <c r="AD146" s="1">
        <v>0</v>
      </c>
      <c r="AE146" s="1">
        <v>0</v>
      </c>
      <c r="AF146" s="1">
        <v>0</v>
      </c>
      <c r="AG146" s="1">
        <v>0</v>
      </c>
      <c r="AH146" s="67">
        <v>0</v>
      </c>
      <c r="AI146" s="4"/>
    </row>
    <row r="147" spans="1:35" ht="13.5" customHeight="1">
      <c r="A147" s="4"/>
      <c r="B147" s="43">
        <f t="shared" si="31"/>
        <v>15</v>
      </c>
      <c r="C147" s="111" t="s">
        <v>49</v>
      </c>
      <c r="D147" s="43" t="s">
        <v>36</v>
      </c>
      <c r="E147" s="39">
        <f t="shared" si="30"/>
        <v>0</v>
      </c>
      <c r="F147" s="1">
        <v>0</v>
      </c>
      <c r="G147" s="1">
        <v>0</v>
      </c>
      <c r="H147" s="1">
        <v>0</v>
      </c>
      <c r="I147" s="1">
        <v>0</v>
      </c>
      <c r="J147" s="67">
        <v>0</v>
      </c>
      <c r="K147" s="42">
        <v>0</v>
      </c>
      <c r="L147" s="1">
        <v>0</v>
      </c>
      <c r="M147" s="1">
        <v>0</v>
      </c>
      <c r="N147" s="1">
        <v>0</v>
      </c>
      <c r="O147" s="1">
        <v>0</v>
      </c>
      <c r="P147" s="67">
        <v>0</v>
      </c>
      <c r="Q147" s="42">
        <v>0</v>
      </c>
      <c r="R147" s="1">
        <v>0</v>
      </c>
      <c r="S147" s="1">
        <v>0</v>
      </c>
      <c r="T147" s="1">
        <v>0</v>
      </c>
      <c r="U147" s="1">
        <v>0</v>
      </c>
      <c r="V147" s="67">
        <v>0</v>
      </c>
      <c r="W147" s="42">
        <v>0</v>
      </c>
      <c r="X147" s="1">
        <v>0</v>
      </c>
      <c r="Y147" s="1">
        <v>0</v>
      </c>
      <c r="Z147" s="1">
        <v>0</v>
      </c>
      <c r="AA147" s="1">
        <v>0</v>
      </c>
      <c r="AB147" s="67">
        <v>0</v>
      </c>
      <c r="AC147" s="42">
        <v>0</v>
      </c>
      <c r="AD147" s="1">
        <v>0</v>
      </c>
      <c r="AE147" s="1">
        <v>0</v>
      </c>
      <c r="AF147" s="1">
        <v>0</v>
      </c>
      <c r="AG147" s="1">
        <v>0</v>
      </c>
      <c r="AH147" s="67">
        <v>0</v>
      </c>
      <c r="AI147" s="4"/>
    </row>
    <row r="148" spans="1:35" ht="13.5" customHeight="1">
      <c r="A148" s="4"/>
      <c r="B148" s="43">
        <f t="shared" si="31"/>
        <v>16</v>
      </c>
      <c r="C148" s="111" t="s">
        <v>50</v>
      </c>
      <c r="D148" s="43" t="s">
        <v>36</v>
      </c>
      <c r="E148" s="39">
        <f t="shared" si="30"/>
        <v>0</v>
      </c>
      <c r="F148" s="2">
        <v>0</v>
      </c>
      <c r="G148" s="2">
        <v>0</v>
      </c>
      <c r="H148" s="2">
        <v>0</v>
      </c>
      <c r="I148" s="2">
        <v>0</v>
      </c>
      <c r="J148" s="115">
        <v>0</v>
      </c>
      <c r="K148" s="48">
        <v>0</v>
      </c>
      <c r="L148" s="2">
        <v>0</v>
      </c>
      <c r="M148" s="2">
        <v>0</v>
      </c>
      <c r="N148" s="2">
        <v>0</v>
      </c>
      <c r="O148" s="2">
        <v>0</v>
      </c>
      <c r="P148" s="115">
        <v>0</v>
      </c>
      <c r="Q148" s="48">
        <v>0</v>
      </c>
      <c r="R148" s="2">
        <v>0</v>
      </c>
      <c r="S148" s="2">
        <v>0</v>
      </c>
      <c r="T148" s="2">
        <v>0</v>
      </c>
      <c r="U148" s="2">
        <v>0</v>
      </c>
      <c r="V148" s="115">
        <v>0</v>
      </c>
      <c r="W148" s="48">
        <v>0</v>
      </c>
      <c r="X148" s="2">
        <v>0</v>
      </c>
      <c r="Y148" s="2">
        <v>0</v>
      </c>
      <c r="Z148" s="2">
        <v>0</v>
      </c>
      <c r="AA148" s="2">
        <v>0</v>
      </c>
      <c r="AB148" s="115">
        <v>0</v>
      </c>
      <c r="AC148" s="48">
        <v>0</v>
      </c>
      <c r="AD148" s="2">
        <v>0</v>
      </c>
      <c r="AE148" s="2">
        <v>0</v>
      </c>
      <c r="AF148" s="2">
        <v>0</v>
      </c>
      <c r="AG148" s="2">
        <v>0</v>
      </c>
      <c r="AH148" s="115">
        <v>0</v>
      </c>
      <c r="AI148" s="4"/>
    </row>
    <row r="149" spans="1:35" ht="13.5" customHeight="1">
      <c r="A149" s="4"/>
      <c r="B149" s="43">
        <f t="shared" si="31"/>
        <v>17</v>
      </c>
      <c r="C149" s="111" t="s">
        <v>51</v>
      </c>
      <c r="D149" s="43" t="s">
        <v>36</v>
      </c>
      <c r="E149" s="39">
        <f t="shared" si="30"/>
        <v>0</v>
      </c>
      <c r="F149" s="2">
        <v>0</v>
      </c>
      <c r="G149" s="2">
        <v>0</v>
      </c>
      <c r="H149" s="2">
        <v>0</v>
      </c>
      <c r="I149" s="2">
        <v>0</v>
      </c>
      <c r="J149" s="115">
        <v>0</v>
      </c>
      <c r="K149" s="48">
        <v>0</v>
      </c>
      <c r="L149" s="2">
        <v>0</v>
      </c>
      <c r="M149" s="2">
        <v>0</v>
      </c>
      <c r="N149" s="2">
        <v>0</v>
      </c>
      <c r="O149" s="2">
        <v>0</v>
      </c>
      <c r="P149" s="115">
        <v>0</v>
      </c>
      <c r="Q149" s="48">
        <v>0</v>
      </c>
      <c r="R149" s="2">
        <v>0</v>
      </c>
      <c r="S149" s="2">
        <v>0</v>
      </c>
      <c r="T149" s="2">
        <v>0</v>
      </c>
      <c r="U149" s="2">
        <v>0</v>
      </c>
      <c r="V149" s="115">
        <v>0</v>
      </c>
      <c r="W149" s="48">
        <v>0</v>
      </c>
      <c r="X149" s="2">
        <v>0</v>
      </c>
      <c r="Y149" s="2">
        <v>0</v>
      </c>
      <c r="Z149" s="2">
        <v>0</v>
      </c>
      <c r="AA149" s="2">
        <v>0</v>
      </c>
      <c r="AB149" s="115">
        <v>0</v>
      </c>
      <c r="AC149" s="48">
        <v>0</v>
      </c>
      <c r="AD149" s="2">
        <v>0</v>
      </c>
      <c r="AE149" s="2">
        <v>0</v>
      </c>
      <c r="AF149" s="2">
        <v>0</v>
      </c>
      <c r="AG149" s="2">
        <v>0</v>
      </c>
      <c r="AH149" s="115">
        <v>0</v>
      </c>
      <c r="AI149" s="4"/>
    </row>
    <row r="150" spans="1:35" ht="13.5" customHeight="1">
      <c r="A150" s="4"/>
      <c r="B150" s="43">
        <f t="shared" si="31"/>
        <v>18</v>
      </c>
      <c r="C150" s="111" t="s">
        <v>52</v>
      </c>
      <c r="D150" s="43" t="s">
        <v>36</v>
      </c>
      <c r="E150" s="39">
        <f t="shared" si="30"/>
        <v>-1558</v>
      </c>
      <c r="F150" s="2">
        <v>0</v>
      </c>
      <c r="G150" s="2">
        <v>0</v>
      </c>
      <c r="H150" s="2">
        <v>0</v>
      </c>
      <c r="I150" s="2">
        <v>0</v>
      </c>
      <c r="J150" s="115">
        <v>-1558</v>
      </c>
      <c r="K150" s="48">
        <v>0</v>
      </c>
      <c r="L150" s="2">
        <v>0</v>
      </c>
      <c r="M150" s="2">
        <v>0</v>
      </c>
      <c r="N150" s="2">
        <v>0</v>
      </c>
      <c r="O150" s="2">
        <v>0</v>
      </c>
      <c r="P150" s="115">
        <v>0</v>
      </c>
      <c r="Q150" s="48">
        <v>0</v>
      </c>
      <c r="R150" s="2">
        <v>0</v>
      </c>
      <c r="S150" s="2">
        <v>0</v>
      </c>
      <c r="T150" s="2">
        <v>0</v>
      </c>
      <c r="U150" s="2">
        <v>0</v>
      </c>
      <c r="V150" s="115">
        <v>0</v>
      </c>
      <c r="W150" s="48">
        <v>0</v>
      </c>
      <c r="X150" s="2">
        <v>0</v>
      </c>
      <c r="Y150" s="2">
        <v>0</v>
      </c>
      <c r="Z150" s="2">
        <v>0</v>
      </c>
      <c r="AA150" s="2">
        <v>0</v>
      </c>
      <c r="AB150" s="115">
        <v>0</v>
      </c>
      <c r="AC150" s="48">
        <v>0</v>
      </c>
      <c r="AD150" s="2">
        <v>0</v>
      </c>
      <c r="AE150" s="2">
        <v>0</v>
      </c>
      <c r="AF150" s="2">
        <v>0</v>
      </c>
      <c r="AG150" s="2">
        <v>0</v>
      </c>
      <c r="AH150" s="115">
        <v>0</v>
      </c>
      <c r="AI150" s="4"/>
    </row>
    <row r="151" spans="1:35" ht="13.5" customHeight="1">
      <c r="A151" s="4"/>
      <c r="B151" s="43">
        <f t="shared" si="31"/>
        <v>19</v>
      </c>
      <c r="C151" s="111" t="s">
        <v>53</v>
      </c>
      <c r="D151" s="43" t="s">
        <v>36</v>
      </c>
      <c r="E151" s="39">
        <f t="shared" si="30"/>
        <v>0</v>
      </c>
      <c r="F151" s="2">
        <v>0</v>
      </c>
      <c r="G151" s="2">
        <v>0</v>
      </c>
      <c r="H151" s="2">
        <v>0</v>
      </c>
      <c r="I151" s="2">
        <v>0</v>
      </c>
      <c r="J151" s="115">
        <v>0</v>
      </c>
      <c r="K151" s="48">
        <v>0</v>
      </c>
      <c r="L151" s="2">
        <v>0</v>
      </c>
      <c r="M151" s="2">
        <v>0</v>
      </c>
      <c r="N151" s="2">
        <v>0</v>
      </c>
      <c r="O151" s="2">
        <v>0</v>
      </c>
      <c r="P151" s="115">
        <v>0</v>
      </c>
      <c r="Q151" s="48">
        <v>0</v>
      </c>
      <c r="R151" s="2">
        <v>0</v>
      </c>
      <c r="S151" s="2">
        <v>0</v>
      </c>
      <c r="T151" s="2">
        <v>0</v>
      </c>
      <c r="U151" s="2">
        <v>0</v>
      </c>
      <c r="V151" s="115">
        <v>0</v>
      </c>
      <c r="W151" s="48">
        <v>0</v>
      </c>
      <c r="X151" s="2">
        <v>0</v>
      </c>
      <c r="Y151" s="2">
        <v>0</v>
      </c>
      <c r="Z151" s="2">
        <v>0</v>
      </c>
      <c r="AA151" s="2">
        <v>0</v>
      </c>
      <c r="AB151" s="115">
        <v>0</v>
      </c>
      <c r="AC151" s="48">
        <v>0</v>
      </c>
      <c r="AD151" s="2">
        <v>0</v>
      </c>
      <c r="AE151" s="2">
        <v>0</v>
      </c>
      <c r="AF151" s="2">
        <v>0</v>
      </c>
      <c r="AG151" s="2">
        <v>0</v>
      </c>
      <c r="AH151" s="115">
        <v>0</v>
      </c>
      <c r="AI151" s="4"/>
    </row>
    <row r="152" spans="1:35" ht="13.5" customHeight="1">
      <c r="A152" s="4"/>
      <c r="B152" s="43">
        <f t="shared" si="31"/>
        <v>20</v>
      </c>
      <c r="C152" s="42" t="s">
        <v>55</v>
      </c>
      <c r="D152" s="43" t="s">
        <v>36</v>
      </c>
      <c r="E152" s="39">
        <f t="shared" si="30"/>
        <v>0</v>
      </c>
      <c r="F152" s="2">
        <v>0</v>
      </c>
      <c r="G152" s="2">
        <v>0</v>
      </c>
      <c r="H152" s="2">
        <v>0</v>
      </c>
      <c r="I152" s="2">
        <v>0</v>
      </c>
      <c r="J152" s="115">
        <v>0</v>
      </c>
      <c r="K152" s="48">
        <v>0</v>
      </c>
      <c r="L152" s="2">
        <v>0</v>
      </c>
      <c r="M152" s="2">
        <v>0</v>
      </c>
      <c r="N152" s="2">
        <v>0</v>
      </c>
      <c r="O152" s="2">
        <v>0</v>
      </c>
      <c r="P152" s="115">
        <v>0</v>
      </c>
      <c r="Q152" s="48">
        <v>0</v>
      </c>
      <c r="R152" s="2">
        <v>0</v>
      </c>
      <c r="S152" s="2">
        <v>0</v>
      </c>
      <c r="T152" s="2">
        <v>0</v>
      </c>
      <c r="U152" s="2">
        <v>0</v>
      </c>
      <c r="V152" s="115">
        <v>0</v>
      </c>
      <c r="W152" s="48">
        <v>0</v>
      </c>
      <c r="X152" s="2">
        <v>0</v>
      </c>
      <c r="Y152" s="2">
        <v>0</v>
      </c>
      <c r="Z152" s="2">
        <v>0</v>
      </c>
      <c r="AA152" s="2">
        <v>0</v>
      </c>
      <c r="AB152" s="115">
        <v>0</v>
      </c>
      <c r="AC152" s="48">
        <v>0</v>
      </c>
      <c r="AD152" s="2">
        <v>0</v>
      </c>
      <c r="AE152" s="2">
        <v>0</v>
      </c>
      <c r="AF152" s="2">
        <v>0</v>
      </c>
      <c r="AG152" s="2">
        <v>0</v>
      </c>
      <c r="AH152" s="115">
        <v>0</v>
      </c>
      <c r="AI152" s="4"/>
    </row>
    <row r="153" spans="1:35" ht="13.5" customHeight="1">
      <c r="A153" s="4"/>
      <c r="B153" s="43">
        <f t="shared" si="31"/>
        <v>21</v>
      </c>
      <c r="C153" s="42" t="s">
        <v>54</v>
      </c>
      <c r="D153" s="43" t="s">
        <v>36</v>
      </c>
      <c r="E153" s="39">
        <f t="shared" si="30"/>
        <v>0</v>
      </c>
      <c r="F153" s="2">
        <v>0</v>
      </c>
      <c r="G153" s="2">
        <v>0</v>
      </c>
      <c r="H153" s="2">
        <v>0</v>
      </c>
      <c r="I153" s="2">
        <v>0</v>
      </c>
      <c r="J153" s="115">
        <v>0</v>
      </c>
      <c r="K153" s="48">
        <v>0</v>
      </c>
      <c r="L153" s="2">
        <v>0</v>
      </c>
      <c r="M153" s="2">
        <v>0</v>
      </c>
      <c r="N153" s="2">
        <v>0</v>
      </c>
      <c r="O153" s="2">
        <v>0</v>
      </c>
      <c r="P153" s="115">
        <v>0</v>
      </c>
      <c r="Q153" s="48">
        <v>0</v>
      </c>
      <c r="R153" s="2">
        <v>0</v>
      </c>
      <c r="S153" s="2">
        <v>0</v>
      </c>
      <c r="T153" s="2">
        <v>0</v>
      </c>
      <c r="U153" s="2">
        <v>0</v>
      </c>
      <c r="V153" s="115">
        <v>0</v>
      </c>
      <c r="W153" s="48">
        <v>0</v>
      </c>
      <c r="X153" s="2">
        <v>0</v>
      </c>
      <c r="Y153" s="2">
        <v>0</v>
      </c>
      <c r="Z153" s="2">
        <v>0</v>
      </c>
      <c r="AA153" s="2">
        <v>0</v>
      </c>
      <c r="AB153" s="115">
        <v>0</v>
      </c>
      <c r="AC153" s="48">
        <v>0</v>
      </c>
      <c r="AD153" s="2">
        <v>0</v>
      </c>
      <c r="AE153" s="2">
        <v>0</v>
      </c>
      <c r="AF153" s="2">
        <v>0</v>
      </c>
      <c r="AG153" s="2">
        <v>0</v>
      </c>
      <c r="AH153" s="115">
        <v>0</v>
      </c>
      <c r="AI153" s="4"/>
    </row>
    <row r="154" spans="1:35" ht="13.5" customHeight="1">
      <c r="A154" s="4"/>
      <c r="B154" s="43">
        <f t="shared" si="31"/>
        <v>22</v>
      </c>
      <c r="C154" s="111" t="s">
        <v>56</v>
      </c>
      <c r="D154" s="43" t="s">
        <v>36</v>
      </c>
      <c r="E154" s="39">
        <f t="shared" si="30"/>
        <v>0</v>
      </c>
      <c r="F154" s="2">
        <v>0</v>
      </c>
      <c r="G154" s="2">
        <v>0</v>
      </c>
      <c r="H154" s="2">
        <v>0</v>
      </c>
      <c r="I154" s="2">
        <v>0</v>
      </c>
      <c r="J154" s="115">
        <v>0</v>
      </c>
      <c r="K154" s="48">
        <v>0</v>
      </c>
      <c r="L154" s="2">
        <v>0</v>
      </c>
      <c r="M154" s="2">
        <v>0</v>
      </c>
      <c r="N154" s="2">
        <v>0</v>
      </c>
      <c r="O154" s="2">
        <v>0</v>
      </c>
      <c r="P154" s="115">
        <v>0</v>
      </c>
      <c r="Q154" s="48">
        <v>0</v>
      </c>
      <c r="R154" s="2">
        <v>0</v>
      </c>
      <c r="S154" s="2">
        <v>0</v>
      </c>
      <c r="T154" s="2">
        <v>0</v>
      </c>
      <c r="U154" s="2">
        <v>0</v>
      </c>
      <c r="V154" s="115">
        <v>0</v>
      </c>
      <c r="W154" s="48">
        <v>0</v>
      </c>
      <c r="X154" s="2">
        <v>0</v>
      </c>
      <c r="Y154" s="2">
        <v>0</v>
      </c>
      <c r="Z154" s="2">
        <v>0</v>
      </c>
      <c r="AA154" s="2">
        <v>0</v>
      </c>
      <c r="AB154" s="115">
        <v>0</v>
      </c>
      <c r="AC154" s="48">
        <v>0</v>
      </c>
      <c r="AD154" s="2">
        <v>0</v>
      </c>
      <c r="AE154" s="2">
        <v>0</v>
      </c>
      <c r="AF154" s="2">
        <v>0</v>
      </c>
      <c r="AG154" s="2">
        <v>0</v>
      </c>
      <c r="AH154" s="115">
        <v>0</v>
      </c>
      <c r="AI154" s="4"/>
    </row>
    <row r="155" spans="1:35" ht="13.5" customHeight="1">
      <c r="A155" s="4"/>
      <c r="B155" s="43">
        <f t="shared" si="31"/>
        <v>23</v>
      </c>
      <c r="C155" s="111" t="s">
        <v>57</v>
      </c>
      <c r="D155" s="43" t="s">
        <v>36</v>
      </c>
      <c r="E155" s="39">
        <f t="shared" si="30"/>
        <v>-569</v>
      </c>
      <c r="F155" s="2">
        <v>0</v>
      </c>
      <c r="G155" s="2">
        <v>0</v>
      </c>
      <c r="H155" s="2">
        <v>0</v>
      </c>
      <c r="I155" s="2">
        <v>0</v>
      </c>
      <c r="J155" s="115">
        <v>0</v>
      </c>
      <c r="K155" s="48">
        <v>0</v>
      </c>
      <c r="L155" s="2">
        <v>-569</v>
      </c>
      <c r="M155" s="2">
        <v>0</v>
      </c>
      <c r="N155" s="2">
        <v>0</v>
      </c>
      <c r="O155" s="2">
        <v>0</v>
      </c>
      <c r="P155" s="115">
        <v>0</v>
      </c>
      <c r="Q155" s="48">
        <v>0</v>
      </c>
      <c r="R155" s="2">
        <v>0</v>
      </c>
      <c r="S155" s="2">
        <v>0</v>
      </c>
      <c r="T155" s="2">
        <v>0</v>
      </c>
      <c r="U155" s="2">
        <v>0</v>
      </c>
      <c r="V155" s="115">
        <v>0</v>
      </c>
      <c r="W155" s="48">
        <v>0</v>
      </c>
      <c r="X155" s="2">
        <v>0</v>
      </c>
      <c r="Y155" s="2">
        <v>0</v>
      </c>
      <c r="Z155" s="2">
        <v>0</v>
      </c>
      <c r="AA155" s="2">
        <v>0</v>
      </c>
      <c r="AB155" s="115">
        <v>0</v>
      </c>
      <c r="AC155" s="48">
        <v>0</v>
      </c>
      <c r="AD155" s="2">
        <v>0</v>
      </c>
      <c r="AE155" s="2">
        <v>0</v>
      </c>
      <c r="AF155" s="2">
        <v>0</v>
      </c>
      <c r="AG155" s="2">
        <v>0</v>
      </c>
      <c r="AH155" s="115">
        <v>0</v>
      </c>
      <c r="AI155" s="4"/>
    </row>
    <row r="156" spans="1:35" ht="13.5" customHeight="1">
      <c r="A156" s="4"/>
      <c r="B156" s="43">
        <f t="shared" si="31"/>
        <v>24</v>
      </c>
      <c r="C156" s="111" t="s">
        <v>58</v>
      </c>
      <c r="D156" s="43" t="s">
        <v>36</v>
      </c>
      <c r="E156" s="39">
        <f t="shared" si="30"/>
        <v>0</v>
      </c>
      <c r="F156" s="2">
        <v>0</v>
      </c>
      <c r="G156" s="2">
        <v>0</v>
      </c>
      <c r="H156" s="2">
        <v>0</v>
      </c>
      <c r="I156" s="2">
        <v>0</v>
      </c>
      <c r="J156" s="115">
        <v>0</v>
      </c>
      <c r="K156" s="48">
        <v>0</v>
      </c>
      <c r="L156" s="2">
        <v>0</v>
      </c>
      <c r="M156" s="2">
        <v>0</v>
      </c>
      <c r="N156" s="2">
        <v>0</v>
      </c>
      <c r="O156" s="2">
        <v>0</v>
      </c>
      <c r="P156" s="115">
        <v>0</v>
      </c>
      <c r="Q156" s="48">
        <v>0</v>
      </c>
      <c r="R156" s="2">
        <v>0</v>
      </c>
      <c r="S156" s="2">
        <v>0</v>
      </c>
      <c r="T156" s="2">
        <v>0</v>
      </c>
      <c r="U156" s="2">
        <v>0</v>
      </c>
      <c r="V156" s="115">
        <v>0</v>
      </c>
      <c r="W156" s="48">
        <v>0</v>
      </c>
      <c r="X156" s="2">
        <v>0</v>
      </c>
      <c r="Y156" s="2">
        <v>0</v>
      </c>
      <c r="Z156" s="2">
        <v>0</v>
      </c>
      <c r="AA156" s="2">
        <v>0</v>
      </c>
      <c r="AB156" s="115">
        <v>0</v>
      </c>
      <c r="AC156" s="48">
        <v>0</v>
      </c>
      <c r="AD156" s="2">
        <v>0</v>
      </c>
      <c r="AE156" s="2">
        <v>0</v>
      </c>
      <c r="AF156" s="2">
        <v>0</v>
      </c>
      <c r="AG156" s="2">
        <v>0</v>
      </c>
      <c r="AH156" s="115">
        <v>0</v>
      </c>
      <c r="AI156" s="4"/>
    </row>
    <row r="157" spans="1:35" ht="13.5" customHeight="1">
      <c r="A157" s="4"/>
      <c r="B157" s="43">
        <f t="shared" si="31"/>
        <v>25</v>
      </c>
      <c r="C157" s="111" t="s">
        <v>59</v>
      </c>
      <c r="D157" s="43" t="s">
        <v>36</v>
      </c>
      <c r="E157" s="39">
        <f t="shared" si="30"/>
        <v>918</v>
      </c>
      <c r="F157" s="1">
        <v>0</v>
      </c>
      <c r="G157" s="1">
        <v>0</v>
      </c>
      <c r="H157" s="1">
        <v>0</v>
      </c>
      <c r="I157" s="1">
        <v>0</v>
      </c>
      <c r="J157" s="67">
        <v>0</v>
      </c>
      <c r="K157" s="42">
        <v>0</v>
      </c>
      <c r="L157" s="1">
        <v>0</v>
      </c>
      <c r="M157" s="1">
        <v>918</v>
      </c>
      <c r="N157" s="1">
        <v>0</v>
      </c>
      <c r="O157" s="1">
        <v>0</v>
      </c>
      <c r="P157" s="67">
        <v>0</v>
      </c>
      <c r="Q157" s="42">
        <v>0</v>
      </c>
      <c r="R157" s="1">
        <v>0</v>
      </c>
      <c r="S157" s="1">
        <v>0</v>
      </c>
      <c r="T157" s="1">
        <v>0</v>
      </c>
      <c r="U157" s="1">
        <v>0</v>
      </c>
      <c r="V157" s="67">
        <v>0</v>
      </c>
      <c r="W157" s="42">
        <v>0</v>
      </c>
      <c r="X157" s="1">
        <v>0</v>
      </c>
      <c r="Y157" s="1">
        <v>0</v>
      </c>
      <c r="Z157" s="1">
        <v>0</v>
      </c>
      <c r="AA157" s="1">
        <v>0</v>
      </c>
      <c r="AB157" s="67">
        <v>0</v>
      </c>
      <c r="AC157" s="42">
        <v>0</v>
      </c>
      <c r="AD157" s="1">
        <v>0</v>
      </c>
      <c r="AE157" s="1">
        <v>0</v>
      </c>
      <c r="AF157" s="1">
        <v>0</v>
      </c>
      <c r="AG157" s="1">
        <v>0</v>
      </c>
      <c r="AH157" s="67">
        <v>0</v>
      </c>
      <c r="AI157" s="4"/>
    </row>
    <row r="158" spans="1:35" ht="13.5" customHeight="1">
      <c r="A158" s="4"/>
      <c r="B158" s="43">
        <f t="shared" si="31"/>
        <v>26</v>
      </c>
      <c r="C158" s="111" t="s">
        <v>60</v>
      </c>
      <c r="D158" s="43" t="s">
        <v>36</v>
      </c>
      <c r="E158" s="39">
        <f t="shared" si="30"/>
        <v>0</v>
      </c>
      <c r="F158" s="1">
        <v>0</v>
      </c>
      <c r="G158" s="1">
        <v>0</v>
      </c>
      <c r="H158" s="1">
        <v>0</v>
      </c>
      <c r="I158" s="1">
        <v>0</v>
      </c>
      <c r="J158" s="67">
        <v>0</v>
      </c>
      <c r="K158" s="42">
        <v>0</v>
      </c>
      <c r="L158" s="1">
        <v>0</v>
      </c>
      <c r="M158" s="1">
        <v>0</v>
      </c>
      <c r="N158" s="1">
        <v>0</v>
      </c>
      <c r="O158" s="1">
        <v>0</v>
      </c>
      <c r="P158" s="67">
        <v>0</v>
      </c>
      <c r="Q158" s="42">
        <v>0</v>
      </c>
      <c r="R158" s="1">
        <v>0</v>
      </c>
      <c r="S158" s="1">
        <v>0</v>
      </c>
      <c r="T158" s="1">
        <v>0</v>
      </c>
      <c r="U158" s="1">
        <v>0</v>
      </c>
      <c r="V158" s="67">
        <v>0</v>
      </c>
      <c r="W158" s="42">
        <v>0</v>
      </c>
      <c r="X158" s="1">
        <v>0</v>
      </c>
      <c r="Y158" s="1">
        <v>0</v>
      </c>
      <c r="Z158" s="1">
        <v>0</v>
      </c>
      <c r="AA158" s="1">
        <v>0</v>
      </c>
      <c r="AB158" s="67">
        <v>0</v>
      </c>
      <c r="AC158" s="42">
        <v>0</v>
      </c>
      <c r="AD158" s="1">
        <v>0</v>
      </c>
      <c r="AE158" s="1">
        <v>0</v>
      </c>
      <c r="AF158" s="1">
        <v>0</v>
      </c>
      <c r="AG158" s="1">
        <v>0</v>
      </c>
      <c r="AH158" s="67">
        <v>0</v>
      </c>
      <c r="AI158" s="4"/>
    </row>
    <row r="159" spans="1:35" ht="13.5" customHeight="1">
      <c r="A159" s="4"/>
      <c r="B159" s="43">
        <f t="shared" si="31"/>
        <v>27</v>
      </c>
      <c r="C159" s="111" t="s">
        <v>607</v>
      </c>
      <c r="D159" s="43" t="s">
        <v>36</v>
      </c>
      <c r="E159" s="39">
        <f t="shared" si="30"/>
        <v>-115266</v>
      </c>
      <c r="F159" s="1">
        <v>0</v>
      </c>
      <c r="G159" s="1">
        <v>0</v>
      </c>
      <c r="H159" s="1">
        <v>0</v>
      </c>
      <c r="I159" s="1">
        <v>0</v>
      </c>
      <c r="J159" s="67">
        <v>0</v>
      </c>
      <c r="K159" s="42">
        <v>0</v>
      </c>
      <c r="L159" s="1">
        <v>0</v>
      </c>
      <c r="M159" s="1">
        <v>0</v>
      </c>
      <c r="N159" s="1">
        <f>-119040+3774</f>
        <v>-115266</v>
      </c>
      <c r="O159" s="1">
        <v>0</v>
      </c>
      <c r="P159" s="67">
        <v>0</v>
      </c>
      <c r="Q159" s="42">
        <v>0</v>
      </c>
      <c r="R159" s="1">
        <v>0</v>
      </c>
      <c r="S159" s="1">
        <v>0</v>
      </c>
      <c r="T159" s="1">
        <v>0</v>
      </c>
      <c r="U159" s="1">
        <v>0</v>
      </c>
      <c r="V159" s="67">
        <v>0</v>
      </c>
      <c r="W159" s="42">
        <v>0</v>
      </c>
      <c r="X159" s="1">
        <v>0</v>
      </c>
      <c r="Y159" s="1">
        <v>0</v>
      </c>
      <c r="Z159" s="1">
        <v>0</v>
      </c>
      <c r="AA159" s="1">
        <v>0</v>
      </c>
      <c r="AB159" s="67">
        <v>0</v>
      </c>
      <c r="AC159" s="42">
        <v>0</v>
      </c>
      <c r="AD159" s="1">
        <v>0</v>
      </c>
      <c r="AE159" s="1">
        <v>0</v>
      </c>
      <c r="AF159" s="1">
        <v>0</v>
      </c>
      <c r="AG159" s="1">
        <v>0</v>
      </c>
      <c r="AH159" s="67">
        <v>0</v>
      </c>
      <c r="AI159" s="4"/>
    </row>
    <row r="160" spans="1:35" ht="13.5" customHeight="1">
      <c r="A160" s="4"/>
      <c r="B160" s="43">
        <f t="shared" si="31"/>
        <v>28</v>
      </c>
      <c r="C160" s="111" t="s">
        <v>608</v>
      </c>
      <c r="D160" s="43" t="s">
        <v>36</v>
      </c>
      <c r="E160" s="39">
        <f t="shared" si="30"/>
        <v>0</v>
      </c>
      <c r="F160" s="1">
        <v>0</v>
      </c>
      <c r="G160" s="1">
        <v>0</v>
      </c>
      <c r="H160" s="1">
        <v>0</v>
      </c>
      <c r="I160" s="1">
        <v>0</v>
      </c>
      <c r="J160" s="67">
        <v>0</v>
      </c>
      <c r="K160" s="42">
        <v>0</v>
      </c>
      <c r="L160" s="1">
        <v>0</v>
      </c>
      <c r="M160" s="1">
        <v>0</v>
      </c>
      <c r="N160" s="1">
        <v>0</v>
      </c>
      <c r="O160" s="1">
        <v>0</v>
      </c>
      <c r="P160" s="67">
        <v>0</v>
      </c>
      <c r="Q160" s="42">
        <v>0</v>
      </c>
      <c r="R160" s="1">
        <v>0</v>
      </c>
      <c r="S160" s="1">
        <v>0</v>
      </c>
      <c r="T160" s="1">
        <v>0</v>
      </c>
      <c r="U160" s="1">
        <v>0</v>
      </c>
      <c r="V160" s="67">
        <v>0</v>
      </c>
      <c r="W160" s="42">
        <v>0</v>
      </c>
      <c r="X160" s="1">
        <v>0</v>
      </c>
      <c r="Y160" s="1">
        <v>0</v>
      </c>
      <c r="Z160" s="1">
        <v>0</v>
      </c>
      <c r="AA160" s="1">
        <v>0</v>
      </c>
      <c r="AB160" s="67">
        <v>0</v>
      </c>
      <c r="AC160" s="42">
        <v>0</v>
      </c>
      <c r="AD160" s="1">
        <v>0</v>
      </c>
      <c r="AE160" s="1">
        <v>0</v>
      </c>
      <c r="AF160" s="1">
        <v>0</v>
      </c>
      <c r="AG160" s="1">
        <v>0</v>
      </c>
      <c r="AH160" s="67">
        <v>0</v>
      </c>
      <c r="AI160" s="4"/>
    </row>
    <row r="161" spans="1:35" ht="13.5" customHeight="1">
      <c r="A161" s="4"/>
      <c r="B161" s="43">
        <f t="shared" si="31"/>
        <v>29</v>
      </c>
      <c r="C161" s="111" t="s">
        <v>609</v>
      </c>
      <c r="D161" s="43" t="s">
        <v>36</v>
      </c>
      <c r="E161" s="39">
        <f t="shared" si="30"/>
        <v>0</v>
      </c>
      <c r="F161" s="1">
        <v>0</v>
      </c>
      <c r="G161" s="1">
        <v>0</v>
      </c>
      <c r="H161" s="1">
        <v>0</v>
      </c>
      <c r="I161" s="1">
        <v>0</v>
      </c>
      <c r="J161" s="67">
        <v>0</v>
      </c>
      <c r="K161" s="42">
        <v>0</v>
      </c>
      <c r="L161" s="1">
        <v>0</v>
      </c>
      <c r="M161" s="1">
        <v>0</v>
      </c>
      <c r="N161" s="1">
        <v>0</v>
      </c>
      <c r="O161" s="1">
        <v>0</v>
      </c>
      <c r="P161" s="67">
        <v>0</v>
      </c>
      <c r="Q161" s="42">
        <v>0</v>
      </c>
      <c r="R161" s="1">
        <v>0</v>
      </c>
      <c r="S161" s="1">
        <v>0</v>
      </c>
      <c r="T161" s="1">
        <v>0</v>
      </c>
      <c r="U161" s="1">
        <v>0</v>
      </c>
      <c r="V161" s="67">
        <v>0</v>
      </c>
      <c r="W161" s="42">
        <v>0</v>
      </c>
      <c r="X161" s="1">
        <v>0</v>
      </c>
      <c r="Y161" s="1">
        <v>0</v>
      </c>
      <c r="Z161" s="1">
        <v>0</v>
      </c>
      <c r="AA161" s="1">
        <v>0</v>
      </c>
      <c r="AB161" s="67">
        <v>0</v>
      </c>
      <c r="AC161" s="42">
        <v>0</v>
      </c>
      <c r="AD161" s="1">
        <v>0</v>
      </c>
      <c r="AE161" s="1">
        <v>0</v>
      </c>
      <c r="AF161" s="1">
        <v>0</v>
      </c>
      <c r="AG161" s="1">
        <v>0</v>
      </c>
      <c r="AH161" s="67">
        <v>0</v>
      </c>
      <c r="AI161" s="4"/>
    </row>
    <row r="162" spans="1:35" ht="13.5" customHeight="1">
      <c r="A162" s="4"/>
      <c r="B162" s="43">
        <f t="shared" si="31"/>
        <v>30</v>
      </c>
      <c r="C162" s="111" t="s">
        <v>62</v>
      </c>
      <c r="D162" s="43" t="s">
        <v>36</v>
      </c>
      <c r="E162" s="39">
        <f t="shared" si="30"/>
        <v>0</v>
      </c>
      <c r="F162" s="1">
        <v>0</v>
      </c>
      <c r="G162" s="1">
        <v>0</v>
      </c>
      <c r="H162" s="1">
        <v>0</v>
      </c>
      <c r="I162" s="1">
        <v>0</v>
      </c>
      <c r="J162" s="67">
        <v>0</v>
      </c>
      <c r="K162" s="42">
        <v>0</v>
      </c>
      <c r="L162" s="1">
        <v>0</v>
      </c>
      <c r="M162" s="1">
        <v>0</v>
      </c>
      <c r="N162" s="1">
        <v>0</v>
      </c>
      <c r="O162" s="1">
        <v>0</v>
      </c>
      <c r="P162" s="67">
        <v>0</v>
      </c>
      <c r="Q162" s="42">
        <v>0</v>
      </c>
      <c r="R162" s="1">
        <v>0</v>
      </c>
      <c r="S162" s="1">
        <v>0</v>
      </c>
      <c r="T162" s="1">
        <v>0</v>
      </c>
      <c r="U162" s="1">
        <v>0</v>
      </c>
      <c r="V162" s="67">
        <v>0</v>
      </c>
      <c r="W162" s="42">
        <v>0</v>
      </c>
      <c r="X162" s="1">
        <v>0</v>
      </c>
      <c r="Y162" s="1">
        <v>0</v>
      </c>
      <c r="Z162" s="1">
        <v>0</v>
      </c>
      <c r="AA162" s="1">
        <v>0</v>
      </c>
      <c r="AB162" s="67">
        <v>0</v>
      </c>
      <c r="AC162" s="42">
        <v>0</v>
      </c>
      <c r="AD162" s="1">
        <v>0</v>
      </c>
      <c r="AE162" s="1">
        <v>0</v>
      </c>
      <c r="AF162" s="1">
        <v>0</v>
      </c>
      <c r="AG162" s="1">
        <v>0</v>
      </c>
      <c r="AH162" s="67">
        <v>0</v>
      </c>
      <c r="AI162" s="4"/>
    </row>
    <row r="163" spans="1:35" ht="13.5" customHeight="1">
      <c r="A163" s="4"/>
      <c r="B163" s="43">
        <f t="shared" si="31"/>
        <v>31</v>
      </c>
      <c r="C163" s="111" t="s">
        <v>63</v>
      </c>
      <c r="D163" s="43" t="s">
        <v>36</v>
      </c>
      <c r="E163" s="39">
        <f t="shared" si="30"/>
        <v>-7241</v>
      </c>
      <c r="F163" s="1">
        <v>-9565</v>
      </c>
      <c r="G163" s="1">
        <v>5437</v>
      </c>
      <c r="H163" s="1">
        <v>0</v>
      </c>
      <c r="I163" s="1">
        <v>-3113</v>
      </c>
      <c r="J163" s="67">
        <v>0</v>
      </c>
      <c r="K163" s="42">
        <v>0</v>
      </c>
      <c r="L163" s="1">
        <v>0</v>
      </c>
      <c r="M163" s="1">
        <v>0</v>
      </c>
      <c r="N163" s="1">
        <v>0</v>
      </c>
      <c r="O163" s="1">
        <v>0</v>
      </c>
      <c r="P163" s="67">
        <v>0</v>
      </c>
      <c r="Q163" s="42">
        <v>0</v>
      </c>
      <c r="R163" s="1">
        <v>0</v>
      </c>
      <c r="S163" s="1">
        <v>0</v>
      </c>
      <c r="T163" s="1">
        <v>0</v>
      </c>
      <c r="U163" s="1">
        <v>0</v>
      </c>
      <c r="V163" s="67">
        <v>0</v>
      </c>
      <c r="W163" s="42">
        <v>0</v>
      </c>
      <c r="X163" s="1">
        <v>0</v>
      </c>
      <c r="Y163" s="1">
        <v>0</v>
      </c>
      <c r="Z163" s="1">
        <v>0</v>
      </c>
      <c r="AA163" s="1">
        <v>0</v>
      </c>
      <c r="AB163" s="67">
        <v>0</v>
      </c>
      <c r="AC163" s="42">
        <v>0</v>
      </c>
      <c r="AD163" s="1">
        <v>0</v>
      </c>
      <c r="AE163" s="1">
        <v>0</v>
      </c>
      <c r="AF163" s="1">
        <v>0</v>
      </c>
      <c r="AG163" s="1">
        <v>0</v>
      </c>
      <c r="AH163" s="67">
        <v>0</v>
      </c>
      <c r="AI163" s="4"/>
    </row>
    <row r="164" spans="1:35" ht="13.5" customHeight="1">
      <c r="A164" s="4"/>
      <c r="B164" s="43">
        <f t="shared" si="31"/>
        <v>32</v>
      </c>
      <c r="C164" s="111" t="s">
        <v>64</v>
      </c>
      <c r="D164" s="43" t="s">
        <v>36</v>
      </c>
      <c r="E164" s="39">
        <f t="shared" si="30"/>
        <v>0</v>
      </c>
      <c r="F164" s="2">
        <v>0</v>
      </c>
      <c r="G164" s="2">
        <v>0</v>
      </c>
      <c r="H164" s="2">
        <v>0</v>
      </c>
      <c r="I164" s="2">
        <v>0</v>
      </c>
      <c r="J164" s="115">
        <v>0</v>
      </c>
      <c r="K164" s="48">
        <v>0</v>
      </c>
      <c r="L164" s="2">
        <v>0</v>
      </c>
      <c r="M164" s="2">
        <v>0</v>
      </c>
      <c r="N164" s="2">
        <v>0</v>
      </c>
      <c r="O164" s="2">
        <v>0</v>
      </c>
      <c r="P164" s="115">
        <v>0</v>
      </c>
      <c r="Q164" s="48">
        <v>0</v>
      </c>
      <c r="R164" s="2">
        <v>0</v>
      </c>
      <c r="S164" s="2">
        <v>0</v>
      </c>
      <c r="T164" s="2">
        <v>0</v>
      </c>
      <c r="U164" s="2">
        <v>0</v>
      </c>
      <c r="V164" s="115">
        <v>0</v>
      </c>
      <c r="W164" s="48">
        <v>0</v>
      </c>
      <c r="X164" s="2">
        <v>0</v>
      </c>
      <c r="Y164" s="2">
        <v>0</v>
      </c>
      <c r="Z164" s="2">
        <v>0</v>
      </c>
      <c r="AA164" s="2">
        <v>0</v>
      </c>
      <c r="AB164" s="115">
        <v>0</v>
      </c>
      <c r="AC164" s="48">
        <v>0</v>
      </c>
      <c r="AD164" s="2">
        <v>0</v>
      </c>
      <c r="AE164" s="2">
        <v>0</v>
      </c>
      <c r="AF164" s="2">
        <v>0</v>
      </c>
      <c r="AG164" s="2">
        <v>0</v>
      </c>
      <c r="AH164" s="115">
        <v>0</v>
      </c>
      <c r="AI164" s="4"/>
    </row>
    <row r="165" spans="1:35" ht="13.5" customHeight="1">
      <c r="A165" s="4"/>
      <c r="B165" s="43">
        <f t="shared" si="31"/>
        <v>33</v>
      </c>
      <c r="C165" s="110" t="s">
        <v>65</v>
      </c>
      <c r="D165" s="43" t="str">
        <f>"+Ln "&amp;FIXED(+B142,0)&amp;" thru "&amp;FIXED(+B164,0)</f>
        <v>+Ln 10 thru 32</v>
      </c>
      <c r="E165" s="118">
        <f aca="true" t="shared" si="32" ref="E165:AH165">SUM(E142:E164)</f>
        <v>-152673</v>
      </c>
      <c r="F165" s="62">
        <f t="shared" si="32"/>
        <v>-9565</v>
      </c>
      <c r="G165" s="62">
        <f t="shared" si="32"/>
        <v>5437</v>
      </c>
      <c r="H165" s="62">
        <f t="shared" si="32"/>
        <v>0</v>
      </c>
      <c r="I165" s="62">
        <f t="shared" si="32"/>
        <v>-32070</v>
      </c>
      <c r="J165" s="63">
        <f t="shared" si="32"/>
        <v>-1558</v>
      </c>
      <c r="K165" s="62">
        <f t="shared" si="32"/>
        <v>0</v>
      </c>
      <c r="L165" s="62">
        <f t="shared" si="32"/>
        <v>-569</v>
      </c>
      <c r="M165" s="62">
        <f t="shared" si="32"/>
        <v>918</v>
      </c>
      <c r="N165" s="62">
        <f t="shared" si="32"/>
        <v>-115266</v>
      </c>
      <c r="O165" s="62">
        <f t="shared" si="32"/>
        <v>0</v>
      </c>
      <c r="P165" s="63">
        <f t="shared" si="32"/>
        <v>0</v>
      </c>
      <c r="Q165" s="62">
        <f t="shared" si="32"/>
        <v>0</v>
      </c>
      <c r="R165" s="62">
        <f t="shared" si="32"/>
        <v>0</v>
      </c>
      <c r="S165" s="62">
        <f t="shared" si="32"/>
        <v>0</v>
      </c>
      <c r="T165" s="62">
        <f t="shared" si="32"/>
        <v>0</v>
      </c>
      <c r="U165" s="62">
        <f t="shared" si="32"/>
        <v>0</v>
      </c>
      <c r="V165" s="63">
        <f t="shared" si="32"/>
        <v>0</v>
      </c>
      <c r="W165" s="62">
        <f t="shared" si="32"/>
        <v>0</v>
      </c>
      <c r="X165" s="62">
        <f t="shared" si="32"/>
        <v>0</v>
      </c>
      <c r="Y165" s="62">
        <f t="shared" si="32"/>
        <v>0</v>
      </c>
      <c r="Z165" s="62">
        <f t="shared" si="32"/>
        <v>0</v>
      </c>
      <c r="AA165" s="62">
        <f t="shared" si="32"/>
        <v>0</v>
      </c>
      <c r="AB165" s="63">
        <f t="shared" si="32"/>
        <v>0</v>
      </c>
      <c r="AC165" s="62">
        <f t="shared" si="32"/>
        <v>0</v>
      </c>
      <c r="AD165" s="62">
        <f t="shared" si="32"/>
        <v>0</v>
      </c>
      <c r="AE165" s="62">
        <f t="shared" si="32"/>
        <v>0</v>
      </c>
      <c r="AF165" s="62">
        <f t="shared" si="32"/>
        <v>0</v>
      </c>
      <c r="AG165" s="62">
        <f t="shared" si="32"/>
        <v>0</v>
      </c>
      <c r="AH165" s="63">
        <f t="shared" si="32"/>
        <v>0</v>
      </c>
      <c r="AI165" s="4"/>
    </row>
    <row r="166" spans="1:35" ht="13.5" customHeight="1">
      <c r="A166" s="4"/>
      <c r="B166" s="43"/>
      <c r="C166" s="111"/>
      <c r="D166" s="43"/>
      <c r="E166" s="111"/>
      <c r="F166" s="1"/>
      <c r="G166" s="1"/>
      <c r="H166" s="1"/>
      <c r="I166" s="1"/>
      <c r="J166" s="67"/>
      <c r="K166" s="42"/>
      <c r="L166" s="1"/>
      <c r="M166" s="1"/>
      <c r="N166" s="1"/>
      <c r="O166" s="1"/>
      <c r="P166" s="67"/>
      <c r="Q166" s="42"/>
      <c r="R166" s="1"/>
      <c r="S166" s="1"/>
      <c r="T166" s="1"/>
      <c r="U166" s="1"/>
      <c r="V166" s="67"/>
      <c r="W166" s="42"/>
      <c r="X166" s="1"/>
      <c r="Y166" s="1"/>
      <c r="Z166" s="1"/>
      <c r="AA166" s="1"/>
      <c r="AB166" s="67"/>
      <c r="AC166" s="42"/>
      <c r="AD166" s="1"/>
      <c r="AE166" s="1"/>
      <c r="AF166" s="1"/>
      <c r="AG166" s="1"/>
      <c r="AH166" s="67"/>
      <c r="AI166" s="4"/>
    </row>
    <row r="167" spans="1:35" ht="13.5" customHeight="1">
      <c r="A167" s="4"/>
      <c r="B167" s="43">
        <f>B165+1</f>
        <v>34</v>
      </c>
      <c r="C167" s="110" t="s">
        <v>66</v>
      </c>
      <c r="D167" s="43" t="str">
        <f>"Ln "&amp;FIXED(+B139,0)&amp;"-"&amp;FIXED(+B165,0)</f>
        <v>Ln 9-33</v>
      </c>
      <c r="E167" s="119">
        <f aca="true" t="shared" si="33" ref="E167:AH167">E139-E165</f>
        <v>123246</v>
      </c>
      <c r="F167" s="65">
        <f t="shared" si="33"/>
        <v>-180636</v>
      </c>
      <c r="G167" s="65">
        <f t="shared" si="33"/>
        <v>148629</v>
      </c>
      <c r="H167" s="65">
        <f t="shared" si="33"/>
        <v>6708</v>
      </c>
      <c r="I167" s="65">
        <f t="shared" si="33"/>
        <v>32070</v>
      </c>
      <c r="J167" s="120">
        <f t="shared" si="33"/>
        <v>1558</v>
      </c>
      <c r="K167" s="64">
        <f t="shared" si="33"/>
        <v>0</v>
      </c>
      <c r="L167" s="65">
        <f t="shared" si="33"/>
        <v>569</v>
      </c>
      <c r="M167" s="65">
        <f t="shared" si="33"/>
        <v>-918</v>
      </c>
      <c r="N167" s="65">
        <f t="shared" si="33"/>
        <v>115266</v>
      </c>
      <c r="O167" s="65">
        <f t="shared" si="33"/>
        <v>0</v>
      </c>
      <c r="P167" s="120">
        <f t="shared" si="33"/>
        <v>0</v>
      </c>
      <c r="Q167" s="64">
        <f t="shared" si="33"/>
        <v>0</v>
      </c>
      <c r="R167" s="65">
        <f t="shared" si="33"/>
        <v>0</v>
      </c>
      <c r="S167" s="65">
        <f t="shared" si="33"/>
        <v>0</v>
      </c>
      <c r="T167" s="65">
        <f t="shared" si="33"/>
        <v>0</v>
      </c>
      <c r="U167" s="65">
        <f t="shared" si="33"/>
        <v>0</v>
      </c>
      <c r="V167" s="120">
        <f t="shared" si="33"/>
        <v>0</v>
      </c>
      <c r="W167" s="64">
        <f t="shared" si="33"/>
        <v>0</v>
      </c>
      <c r="X167" s="65">
        <f t="shared" si="33"/>
        <v>0</v>
      </c>
      <c r="Y167" s="65">
        <f t="shared" si="33"/>
        <v>0</v>
      </c>
      <c r="Z167" s="65">
        <f t="shared" si="33"/>
        <v>0</v>
      </c>
      <c r="AA167" s="65">
        <f t="shared" si="33"/>
        <v>0</v>
      </c>
      <c r="AB167" s="120">
        <f t="shared" si="33"/>
        <v>0</v>
      </c>
      <c r="AC167" s="64">
        <f t="shared" si="33"/>
        <v>0</v>
      </c>
      <c r="AD167" s="65">
        <f t="shared" si="33"/>
        <v>0</v>
      </c>
      <c r="AE167" s="65">
        <f t="shared" si="33"/>
        <v>0</v>
      </c>
      <c r="AF167" s="65">
        <f t="shared" si="33"/>
        <v>0</v>
      </c>
      <c r="AG167" s="65">
        <f t="shared" si="33"/>
        <v>0</v>
      </c>
      <c r="AH167" s="120">
        <f t="shared" si="33"/>
        <v>0</v>
      </c>
      <c r="AI167" s="4"/>
    </row>
    <row r="168" spans="1:35" ht="13.5" customHeight="1">
      <c r="A168" s="4"/>
      <c r="B168" s="43"/>
      <c r="C168" s="110"/>
      <c r="D168" s="43"/>
      <c r="E168" s="111"/>
      <c r="F168" s="1"/>
      <c r="G168" s="1"/>
      <c r="H168" s="1"/>
      <c r="I168" s="1"/>
      <c r="J168" s="67"/>
      <c r="K168" s="42"/>
      <c r="L168" s="1"/>
      <c r="M168" s="1"/>
      <c r="N168" s="1"/>
      <c r="O168" s="1"/>
      <c r="P168" s="67"/>
      <c r="Q168" s="42"/>
      <c r="R168" s="1"/>
      <c r="S168" s="1"/>
      <c r="T168" s="1"/>
      <c r="U168" s="1"/>
      <c r="V168" s="67"/>
      <c r="W168" s="42"/>
      <c r="X168" s="1"/>
      <c r="Y168" s="1"/>
      <c r="Z168" s="1"/>
      <c r="AA168" s="1"/>
      <c r="AB168" s="67"/>
      <c r="AC168" s="42"/>
      <c r="AD168" s="1"/>
      <c r="AE168" s="1"/>
      <c r="AF168" s="1"/>
      <c r="AG168" s="1"/>
      <c r="AH168" s="67"/>
      <c r="AI168" s="4"/>
    </row>
    <row r="169" spans="1:35" ht="13.5" customHeight="1">
      <c r="A169" s="4"/>
      <c r="B169" s="43">
        <f>B167+1</f>
        <v>35</v>
      </c>
      <c r="C169" s="110" t="s">
        <v>67</v>
      </c>
      <c r="D169" s="43" t="str">
        <f>"From Ln "&amp;FIXED(+B206,0)&amp;" or "&amp;FIXED(+B208,0)</f>
        <v>From Ln 49 or 50</v>
      </c>
      <c r="E169" s="39">
        <f>SUM(F169:AH169)</f>
        <v>17391.680000000008</v>
      </c>
      <c r="F169" s="1">
        <f aca="true" t="shared" si="34" ref="F169:AH169">IF(+F208=0,+F206,+F208)</f>
        <v>-61416.24000000001</v>
      </c>
      <c r="G169" s="1">
        <f t="shared" si="34"/>
        <v>50533.860000000015</v>
      </c>
      <c r="H169" s="1">
        <f t="shared" si="34"/>
        <v>2280.7200000000007</v>
      </c>
      <c r="I169" s="1">
        <f t="shared" si="34"/>
        <v>10903.800000000003</v>
      </c>
      <c r="J169" s="67">
        <f t="shared" si="34"/>
        <v>529.7200000000001</v>
      </c>
      <c r="K169" s="42">
        <f t="shared" si="34"/>
        <v>0</v>
      </c>
      <c r="L169" s="1">
        <f t="shared" si="34"/>
        <v>193.46000000000004</v>
      </c>
      <c r="M169" s="1">
        <f t="shared" si="34"/>
        <v>-312.12000000000006</v>
      </c>
      <c r="N169" s="1">
        <f t="shared" si="34"/>
        <v>39190.44000000001</v>
      </c>
      <c r="O169" s="1">
        <f t="shared" si="34"/>
        <v>0</v>
      </c>
      <c r="P169" s="67">
        <f t="shared" si="34"/>
        <v>0</v>
      </c>
      <c r="Q169" s="42">
        <f t="shared" si="34"/>
        <v>-24511.960000000006</v>
      </c>
      <c r="R169" s="1">
        <f t="shared" si="34"/>
        <v>0</v>
      </c>
      <c r="S169" s="1">
        <f t="shared" si="34"/>
        <v>0</v>
      </c>
      <c r="T169" s="1">
        <f t="shared" si="34"/>
        <v>0</v>
      </c>
      <c r="U169" s="1">
        <f t="shared" si="34"/>
        <v>0</v>
      </c>
      <c r="V169" s="67">
        <f t="shared" si="34"/>
        <v>0</v>
      </c>
      <c r="W169" s="42">
        <f t="shared" si="34"/>
        <v>0</v>
      </c>
      <c r="X169" s="1">
        <f t="shared" si="34"/>
        <v>0</v>
      </c>
      <c r="Y169" s="1">
        <f t="shared" si="34"/>
        <v>0</v>
      </c>
      <c r="Z169" s="1">
        <f t="shared" si="34"/>
        <v>0</v>
      </c>
      <c r="AA169" s="1">
        <f t="shared" si="34"/>
        <v>0</v>
      </c>
      <c r="AB169" s="67">
        <f t="shared" si="34"/>
        <v>0</v>
      </c>
      <c r="AC169" s="42">
        <f t="shared" si="34"/>
        <v>0</v>
      </c>
      <c r="AD169" s="1">
        <f t="shared" si="34"/>
        <v>0</v>
      </c>
      <c r="AE169" s="1">
        <f t="shared" si="34"/>
        <v>0</v>
      </c>
      <c r="AF169" s="1">
        <f t="shared" si="34"/>
        <v>0</v>
      </c>
      <c r="AG169" s="1">
        <f t="shared" si="34"/>
        <v>0</v>
      </c>
      <c r="AH169" s="67">
        <f t="shared" si="34"/>
        <v>0</v>
      </c>
      <c r="AI169" s="4"/>
    </row>
    <row r="170" spans="1:35" ht="13.5" customHeight="1">
      <c r="A170" s="4"/>
      <c r="B170" s="43"/>
      <c r="C170" s="111"/>
      <c r="D170" s="43"/>
      <c r="E170" s="39"/>
      <c r="F170" s="4"/>
      <c r="G170" s="4"/>
      <c r="H170" s="4"/>
      <c r="I170" s="4"/>
      <c r="J170" s="18"/>
      <c r="K170" s="40"/>
      <c r="L170" s="4"/>
      <c r="M170" s="4"/>
      <c r="N170" s="4"/>
      <c r="O170" s="4"/>
      <c r="P170" s="18"/>
      <c r="Q170" s="40"/>
      <c r="R170" s="4"/>
      <c r="S170" s="4"/>
      <c r="T170" s="4"/>
      <c r="U170" s="4"/>
      <c r="V170" s="18"/>
      <c r="W170" s="40"/>
      <c r="X170" s="4"/>
      <c r="Y170" s="4"/>
      <c r="Z170" s="4"/>
      <c r="AA170" s="4"/>
      <c r="AB170" s="18"/>
      <c r="AC170" s="40"/>
      <c r="AD170" s="4"/>
      <c r="AE170" s="4"/>
      <c r="AF170" s="4"/>
      <c r="AG170" s="4"/>
      <c r="AH170" s="18"/>
      <c r="AI170" s="4"/>
    </row>
    <row r="171" spans="1:35" ht="13.5" customHeight="1">
      <c r="A171" s="4"/>
      <c r="B171" s="43">
        <f>B169+1</f>
        <v>36</v>
      </c>
      <c r="C171" s="110" t="s">
        <v>68</v>
      </c>
      <c r="D171" s="43" t="str">
        <f>"Ln "&amp;FIXED(+B165,0)&amp;"+"&amp;FIXED(+B169,0)</f>
        <v>Ln 33+35</v>
      </c>
      <c r="E171" s="118">
        <f aca="true" t="shared" si="35" ref="E171:AH171">E165+E169</f>
        <v>-135281.32</v>
      </c>
      <c r="F171" s="62">
        <f t="shared" si="35"/>
        <v>-70981.24000000002</v>
      </c>
      <c r="G171" s="62">
        <f t="shared" si="35"/>
        <v>55970.860000000015</v>
      </c>
      <c r="H171" s="62">
        <f t="shared" si="35"/>
        <v>2280.7200000000007</v>
      </c>
      <c r="I171" s="62">
        <f t="shared" si="35"/>
        <v>-21166.199999999997</v>
      </c>
      <c r="J171" s="63">
        <f t="shared" si="35"/>
        <v>-1028.2799999999997</v>
      </c>
      <c r="K171" s="62">
        <f t="shared" si="35"/>
        <v>0</v>
      </c>
      <c r="L171" s="62">
        <f t="shared" si="35"/>
        <v>-375.53999999999996</v>
      </c>
      <c r="M171" s="62">
        <f t="shared" si="35"/>
        <v>605.8799999999999</v>
      </c>
      <c r="N171" s="62">
        <f t="shared" si="35"/>
        <v>-76075.56</v>
      </c>
      <c r="O171" s="62">
        <f t="shared" si="35"/>
        <v>0</v>
      </c>
      <c r="P171" s="63">
        <f t="shared" si="35"/>
        <v>0</v>
      </c>
      <c r="Q171" s="62">
        <f t="shared" si="35"/>
        <v>-24511.960000000006</v>
      </c>
      <c r="R171" s="62">
        <f t="shared" si="35"/>
        <v>0</v>
      </c>
      <c r="S171" s="62">
        <f t="shared" si="35"/>
        <v>0</v>
      </c>
      <c r="T171" s="62">
        <f t="shared" si="35"/>
        <v>0</v>
      </c>
      <c r="U171" s="62">
        <f t="shared" si="35"/>
        <v>0</v>
      </c>
      <c r="V171" s="63">
        <f t="shared" si="35"/>
        <v>0</v>
      </c>
      <c r="W171" s="62">
        <f t="shared" si="35"/>
        <v>0</v>
      </c>
      <c r="X171" s="62">
        <f t="shared" si="35"/>
        <v>0</v>
      </c>
      <c r="Y171" s="62">
        <f t="shared" si="35"/>
        <v>0</v>
      </c>
      <c r="Z171" s="62">
        <f t="shared" si="35"/>
        <v>0</v>
      </c>
      <c r="AA171" s="62">
        <f t="shared" si="35"/>
        <v>0</v>
      </c>
      <c r="AB171" s="63">
        <f t="shared" si="35"/>
        <v>0</v>
      </c>
      <c r="AC171" s="62">
        <f t="shared" si="35"/>
        <v>0</v>
      </c>
      <c r="AD171" s="62">
        <f t="shared" si="35"/>
        <v>0</v>
      </c>
      <c r="AE171" s="62">
        <f t="shared" si="35"/>
        <v>0</v>
      </c>
      <c r="AF171" s="62">
        <f t="shared" si="35"/>
        <v>0</v>
      </c>
      <c r="AG171" s="62">
        <f t="shared" si="35"/>
        <v>0</v>
      </c>
      <c r="AH171" s="63">
        <f t="shared" si="35"/>
        <v>0</v>
      </c>
      <c r="AI171" s="4"/>
    </row>
    <row r="172" spans="1:35" ht="13.5" customHeight="1">
      <c r="A172" s="1"/>
      <c r="B172" s="43">
        <f>B171+1</f>
        <v>37</v>
      </c>
      <c r="C172" s="110" t="s">
        <v>69</v>
      </c>
      <c r="D172" s="43" t="str">
        <f>"Ln "&amp;FIXED(+B139,0)&amp;"-"&amp;FIXED(+B171,0)</f>
        <v>Ln 9-36</v>
      </c>
      <c r="E172" s="121">
        <f aca="true" t="shared" si="36" ref="E172:AH172">E139-E171</f>
        <v>105854.32</v>
      </c>
      <c r="F172" s="69">
        <f t="shared" si="36"/>
        <v>-119219.75999999998</v>
      </c>
      <c r="G172" s="69">
        <f t="shared" si="36"/>
        <v>98095.13999999998</v>
      </c>
      <c r="H172" s="69">
        <f t="shared" si="36"/>
        <v>4427.279999999999</v>
      </c>
      <c r="I172" s="69">
        <f t="shared" si="36"/>
        <v>21166.199999999997</v>
      </c>
      <c r="J172" s="70">
        <f t="shared" si="36"/>
        <v>1028.2799999999997</v>
      </c>
      <c r="K172" s="69">
        <f t="shared" si="36"/>
        <v>0</v>
      </c>
      <c r="L172" s="69">
        <f t="shared" si="36"/>
        <v>375.53999999999996</v>
      </c>
      <c r="M172" s="69">
        <f t="shared" si="36"/>
        <v>-605.8799999999999</v>
      </c>
      <c r="N172" s="69">
        <f t="shared" si="36"/>
        <v>76075.56</v>
      </c>
      <c r="O172" s="69">
        <f t="shared" si="36"/>
        <v>0</v>
      </c>
      <c r="P172" s="70">
        <f t="shared" si="36"/>
        <v>0</v>
      </c>
      <c r="Q172" s="69">
        <f t="shared" si="36"/>
        <v>24511.960000000006</v>
      </c>
      <c r="R172" s="69">
        <f t="shared" si="36"/>
        <v>0</v>
      </c>
      <c r="S172" s="69">
        <f t="shared" si="36"/>
        <v>0</v>
      </c>
      <c r="T172" s="69">
        <f t="shared" si="36"/>
        <v>0</v>
      </c>
      <c r="U172" s="69">
        <f t="shared" si="36"/>
        <v>0</v>
      </c>
      <c r="V172" s="70">
        <f t="shared" si="36"/>
        <v>0</v>
      </c>
      <c r="W172" s="69">
        <f t="shared" si="36"/>
        <v>0</v>
      </c>
      <c r="X172" s="69">
        <f t="shared" si="36"/>
        <v>0</v>
      </c>
      <c r="Y172" s="69">
        <f t="shared" si="36"/>
        <v>0</v>
      </c>
      <c r="Z172" s="69">
        <f t="shared" si="36"/>
        <v>0</v>
      </c>
      <c r="AA172" s="69">
        <f t="shared" si="36"/>
        <v>0</v>
      </c>
      <c r="AB172" s="70">
        <f t="shared" si="36"/>
        <v>0</v>
      </c>
      <c r="AC172" s="69">
        <f t="shared" si="36"/>
        <v>0</v>
      </c>
      <c r="AD172" s="69">
        <f t="shared" si="36"/>
        <v>0</v>
      </c>
      <c r="AE172" s="69">
        <f t="shared" si="36"/>
        <v>0</v>
      </c>
      <c r="AF172" s="69">
        <f t="shared" si="36"/>
        <v>0</v>
      </c>
      <c r="AG172" s="69">
        <f t="shared" si="36"/>
        <v>0</v>
      </c>
      <c r="AH172" s="70">
        <f t="shared" si="36"/>
        <v>0</v>
      </c>
      <c r="AI172" s="4"/>
    </row>
    <row r="173" spans="1:35" ht="13.5" customHeight="1">
      <c r="A173" s="4"/>
      <c r="B173" s="36"/>
      <c r="C173" s="111"/>
      <c r="D173" s="36"/>
      <c r="E173" s="122"/>
      <c r="F173" s="72"/>
      <c r="G173" s="72"/>
      <c r="H173" s="72"/>
      <c r="I173" s="72"/>
      <c r="J173" s="73"/>
      <c r="K173" s="71"/>
      <c r="L173" s="72"/>
      <c r="M173" s="72"/>
      <c r="N173" s="72"/>
      <c r="O173" s="72"/>
      <c r="P173" s="73"/>
      <c r="Q173" s="71"/>
      <c r="R173" s="72"/>
      <c r="S173" s="72"/>
      <c r="T173" s="72"/>
      <c r="U173" s="72"/>
      <c r="V173" s="73"/>
      <c r="W173" s="71"/>
      <c r="X173" s="72"/>
      <c r="Y173" s="72"/>
      <c r="Z173" s="72"/>
      <c r="AA173" s="72"/>
      <c r="AB173" s="73"/>
      <c r="AC173" s="71"/>
      <c r="AD173" s="72"/>
      <c r="AE173" s="72"/>
      <c r="AF173" s="72"/>
      <c r="AG173" s="72"/>
      <c r="AH173" s="73"/>
      <c r="AI173" s="4"/>
    </row>
    <row r="174" spans="1:35" ht="13.5" customHeight="1">
      <c r="A174" s="4"/>
      <c r="B174" s="43"/>
      <c r="C174" s="110" t="s">
        <v>70</v>
      </c>
      <c r="D174" s="43"/>
      <c r="E174" s="123"/>
      <c r="F174" s="124"/>
      <c r="G174" s="124"/>
      <c r="H174" s="124"/>
      <c r="I174" s="124"/>
      <c r="J174" s="125"/>
      <c r="K174" s="74"/>
      <c r="L174" s="124"/>
      <c r="M174" s="124"/>
      <c r="N174" s="124"/>
      <c r="O174" s="124"/>
      <c r="P174" s="125"/>
      <c r="Q174" s="74"/>
      <c r="R174" s="124"/>
      <c r="S174" s="124"/>
      <c r="T174" s="124"/>
      <c r="U174" s="124"/>
      <c r="V174" s="125"/>
      <c r="W174" s="74"/>
      <c r="X174" s="124"/>
      <c r="Y174" s="124"/>
      <c r="Z174" s="124"/>
      <c r="AA174" s="124"/>
      <c r="AB174" s="125"/>
      <c r="AC174" s="74"/>
      <c r="AD174" s="124"/>
      <c r="AE174" s="124"/>
      <c r="AF174" s="124"/>
      <c r="AG174" s="124"/>
      <c r="AH174" s="125"/>
      <c r="AI174" s="4"/>
    </row>
    <row r="175" spans="1:35" ht="13.5" customHeight="1">
      <c r="A175" s="4"/>
      <c r="B175" s="43">
        <f>B172+1</f>
        <v>38</v>
      </c>
      <c r="C175" s="111" t="s">
        <v>71</v>
      </c>
      <c r="D175" s="43" t="str">
        <f>"From Ln "&amp;FIXED(+B217,0)</f>
        <v>From Ln 56</v>
      </c>
      <c r="E175" s="39">
        <f>SUM(F175:AH175)</f>
        <v>-416662</v>
      </c>
      <c r="F175" s="45">
        <f aca="true" t="shared" si="37" ref="F175:AH175">F217</f>
        <v>0</v>
      </c>
      <c r="G175" s="45">
        <f t="shared" si="37"/>
        <v>0</v>
      </c>
      <c r="H175" s="45">
        <f t="shared" si="37"/>
        <v>0</v>
      </c>
      <c r="I175" s="45">
        <f t="shared" si="37"/>
        <v>0</v>
      </c>
      <c r="J175" s="46">
        <f t="shared" si="37"/>
        <v>0</v>
      </c>
      <c r="K175" s="75">
        <f t="shared" si="37"/>
        <v>0</v>
      </c>
      <c r="L175" s="45">
        <f t="shared" si="37"/>
        <v>0</v>
      </c>
      <c r="M175" s="45">
        <f t="shared" si="37"/>
        <v>0</v>
      </c>
      <c r="N175" s="45">
        <f t="shared" si="37"/>
        <v>0</v>
      </c>
      <c r="O175" s="45">
        <f t="shared" si="37"/>
        <v>0</v>
      </c>
      <c r="P175" s="46">
        <f t="shared" si="37"/>
        <v>0</v>
      </c>
      <c r="Q175" s="75">
        <f t="shared" si="37"/>
        <v>0</v>
      </c>
      <c r="R175" s="45">
        <f t="shared" si="37"/>
        <v>0</v>
      </c>
      <c r="S175" s="45">
        <f t="shared" si="37"/>
        <v>-416662</v>
      </c>
      <c r="T175" s="45">
        <f t="shared" si="37"/>
        <v>0</v>
      </c>
      <c r="U175" s="45">
        <f t="shared" si="37"/>
        <v>0</v>
      </c>
      <c r="V175" s="46">
        <f t="shared" si="37"/>
        <v>0</v>
      </c>
      <c r="W175" s="75">
        <f t="shared" si="37"/>
        <v>0</v>
      </c>
      <c r="X175" s="45">
        <f t="shared" si="37"/>
        <v>0</v>
      </c>
      <c r="Y175" s="45">
        <f t="shared" si="37"/>
        <v>0</v>
      </c>
      <c r="Z175" s="45">
        <f t="shared" si="37"/>
        <v>0</v>
      </c>
      <c r="AA175" s="45">
        <f t="shared" si="37"/>
        <v>0</v>
      </c>
      <c r="AB175" s="46">
        <f t="shared" si="37"/>
        <v>0</v>
      </c>
      <c r="AC175" s="75">
        <f t="shared" si="37"/>
        <v>0</v>
      </c>
      <c r="AD175" s="45">
        <f t="shared" si="37"/>
        <v>0</v>
      </c>
      <c r="AE175" s="45">
        <f t="shared" si="37"/>
        <v>0</v>
      </c>
      <c r="AF175" s="45">
        <f t="shared" si="37"/>
        <v>0</v>
      </c>
      <c r="AG175" s="45">
        <f t="shared" si="37"/>
        <v>0</v>
      </c>
      <c r="AH175" s="46">
        <f t="shared" si="37"/>
        <v>0</v>
      </c>
      <c r="AI175" s="4"/>
    </row>
    <row r="176" spans="1:35" ht="13.5" customHeight="1">
      <c r="A176" s="4"/>
      <c r="B176" s="43">
        <f>B175+1</f>
        <v>39</v>
      </c>
      <c r="C176" s="111" t="s">
        <v>72</v>
      </c>
      <c r="D176" s="43" t="str">
        <f>"From Ln "&amp;FIXED(+B221,0)</f>
        <v>From Ln 59</v>
      </c>
      <c r="E176" s="39">
        <f>SUM(F176:AH176)</f>
        <v>-292460</v>
      </c>
      <c r="F176" s="49">
        <f aca="true" t="shared" si="38" ref="F176:AH176">F221</f>
        <v>0</v>
      </c>
      <c r="G176" s="49">
        <f t="shared" si="38"/>
        <v>0</v>
      </c>
      <c r="H176" s="49">
        <f t="shared" si="38"/>
        <v>0</v>
      </c>
      <c r="I176" s="49">
        <f t="shared" si="38"/>
        <v>0</v>
      </c>
      <c r="J176" s="50">
        <f t="shared" si="38"/>
        <v>0</v>
      </c>
      <c r="K176" s="76">
        <f t="shared" si="38"/>
        <v>0</v>
      </c>
      <c r="L176" s="49">
        <f t="shared" si="38"/>
        <v>0</v>
      </c>
      <c r="M176" s="49">
        <f t="shared" si="38"/>
        <v>0</v>
      </c>
      <c r="N176" s="49">
        <f t="shared" si="38"/>
        <v>0</v>
      </c>
      <c r="O176" s="49">
        <f t="shared" si="38"/>
        <v>0</v>
      </c>
      <c r="P176" s="50">
        <f t="shared" si="38"/>
        <v>0</v>
      </c>
      <c r="Q176" s="76">
        <f t="shared" si="38"/>
        <v>0</v>
      </c>
      <c r="R176" s="49">
        <f t="shared" si="38"/>
        <v>0</v>
      </c>
      <c r="S176" s="49">
        <f t="shared" si="38"/>
        <v>-292460</v>
      </c>
      <c r="T176" s="49">
        <f t="shared" si="38"/>
        <v>0</v>
      </c>
      <c r="U176" s="49">
        <f t="shared" si="38"/>
        <v>0</v>
      </c>
      <c r="V176" s="50">
        <f t="shared" si="38"/>
        <v>0</v>
      </c>
      <c r="W176" s="76">
        <f t="shared" si="38"/>
        <v>0</v>
      </c>
      <c r="X176" s="49">
        <f t="shared" si="38"/>
        <v>0</v>
      </c>
      <c r="Y176" s="49">
        <f t="shared" si="38"/>
        <v>0</v>
      </c>
      <c r="Z176" s="49">
        <f t="shared" si="38"/>
        <v>0</v>
      </c>
      <c r="AA176" s="49">
        <f t="shared" si="38"/>
        <v>0</v>
      </c>
      <c r="AB176" s="50">
        <f t="shared" si="38"/>
        <v>0</v>
      </c>
      <c r="AC176" s="76">
        <f t="shared" si="38"/>
        <v>0</v>
      </c>
      <c r="AD176" s="49">
        <f t="shared" si="38"/>
        <v>0</v>
      </c>
      <c r="AE176" s="49">
        <f t="shared" si="38"/>
        <v>0</v>
      </c>
      <c r="AF176" s="49">
        <f t="shared" si="38"/>
        <v>0</v>
      </c>
      <c r="AG176" s="49">
        <f t="shared" si="38"/>
        <v>0</v>
      </c>
      <c r="AH176" s="50">
        <f t="shared" si="38"/>
        <v>0</v>
      </c>
      <c r="AI176" s="4"/>
    </row>
    <row r="177" spans="1:35" ht="13.5" customHeight="1">
      <c r="A177" s="4"/>
      <c r="B177" s="43">
        <f>B176+1</f>
        <v>40</v>
      </c>
      <c r="C177" s="111" t="s">
        <v>73</v>
      </c>
      <c r="D177" s="43" t="str">
        <f>"Ln "&amp;FIXED(+B175,0)&amp;"-"&amp;FIXED(+B176,0)</f>
        <v>Ln 38-39</v>
      </c>
      <c r="E177" s="126">
        <f aca="true" t="shared" si="39" ref="E177:AH177">E175-E176</f>
        <v>-124202</v>
      </c>
      <c r="F177" s="54">
        <f t="shared" si="39"/>
        <v>0</v>
      </c>
      <c r="G177" s="54">
        <f t="shared" si="39"/>
        <v>0</v>
      </c>
      <c r="H177" s="54">
        <f t="shared" si="39"/>
        <v>0</v>
      </c>
      <c r="I177" s="54">
        <f t="shared" si="39"/>
        <v>0</v>
      </c>
      <c r="J177" s="55">
        <f t="shared" si="39"/>
        <v>0</v>
      </c>
      <c r="K177" s="77">
        <f t="shared" si="39"/>
        <v>0</v>
      </c>
      <c r="L177" s="54">
        <f t="shared" si="39"/>
        <v>0</v>
      </c>
      <c r="M177" s="54">
        <f t="shared" si="39"/>
        <v>0</v>
      </c>
      <c r="N177" s="54">
        <f t="shared" si="39"/>
        <v>0</v>
      </c>
      <c r="O177" s="54">
        <f t="shared" si="39"/>
        <v>0</v>
      </c>
      <c r="P177" s="55">
        <f t="shared" si="39"/>
        <v>0</v>
      </c>
      <c r="Q177" s="77">
        <f t="shared" si="39"/>
        <v>0</v>
      </c>
      <c r="R177" s="54">
        <f t="shared" si="39"/>
        <v>0</v>
      </c>
      <c r="S177" s="54">
        <f t="shared" si="39"/>
        <v>-124202</v>
      </c>
      <c r="T177" s="54">
        <f t="shared" si="39"/>
        <v>0</v>
      </c>
      <c r="U177" s="54">
        <f t="shared" si="39"/>
        <v>0</v>
      </c>
      <c r="V177" s="55">
        <f t="shared" si="39"/>
        <v>0</v>
      </c>
      <c r="W177" s="77">
        <f t="shared" si="39"/>
        <v>0</v>
      </c>
      <c r="X177" s="54">
        <f t="shared" si="39"/>
        <v>0</v>
      </c>
      <c r="Y177" s="54">
        <f t="shared" si="39"/>
        <v>0</v>
      </c>
      <c r="Z177" s="54">
        <f t="shared" si="39"/>
        <v>0</v>
      </c>
      <c r="AA177" s="54">
        <f t="shared" si="39"/>
        <v>0</v>
      </c>
      <c r="AB177" s="55">
        <f t="shared" si="39"/>
        <v>0</v>
      </c>
      <c r="AC177" s="77">
        <f t="shared" si="39"/>
        <v>0</v>
      </c>
      <c r="AD177" s="54">
        <f t="shared" si="39"/>
        <v>0</v>
      </c>
      <c r="AE177" s="54">
        <f t="shared" si="39"/>
        <v>0</v>
      </c>
      <c r="AF177" s="54">
        <f t="shared" si="39"/>
        <v>0</v>
      </c>
      <c r="AG177" s="54">
        <f t="shared" si="39"/>
        <v>0</v>
      </c>
      <c r="AH177" s="55">
        <f t="shared" si="39"/>
        <v>0</v>
      </c>
      <c r="AI177" s="4"/>
    </row>
    <row r="178" spans="1:35" ht="13.5" customHeight="1">
      <c r="A178" s="4"/>
      <c r="B178" s="43">
        <f>B177+1</f>
        <v>41</v>
      </c>
      <c r="C178" s="42" t="s">
        <v>74</v>
      </c>
      <c r="D178" s="43" t="str">
        <f>"From Ln "&amp;FIXED(+B222,0)</f>
        <v>From Ln 60</v>
      </c>
      <c r="E178" s="39">
        <f>SUM(F178:AH178)</f>
        <v>24320</v>
      </c>
      <c r="F178" s="49">
        <f aca="true" t="shared" si="40" ref="F178:AH178">F222</f>
        <v>0</v>
      </c>
      <c r="G178" s="49">
        <f t="shared" si="40"/>
        <v>0</v>
      </c>
      <c r="H178" s="49">
        <f t="shared" si="40"/>
        <v>0</v>
      </c>
      <c r="I178" s="49">
        <f t="shared" si="40"/>
        <v>0</v>
      </c>
      <c r="J178" s="50">
        <f t="shared" si="40"/>
        <v>0</v>
      </c>
      <c r="K178" s="76">
        <f t="shared" si="40"/>
        <v>0</v>
      </c>
      <c r="L178" s="49">
        <f t="shared" si="40"/>
        <v>0</v>
      </c>
      <c r="M178" s="49">
        <f t="shared" si="40"/>
        <v>0</v>
      </c>
      <c r="N178" s="49">
        <f t="shared" si="40"/>
        <v>0</v>
      </c>
      <c r="O178" s="49">
        <f t="shared" si="40"/>
        <v>0</v>
      </c>
      <c r="P178" s="50">
        <f t="shared" si="40"/>
        <v>0</v>
      </c>
      <c r="Q178" s="76">
        <f t="shared" si="40"/>
        <v>0</v>
      </c>
      <c r="R178" s="49">
        <f t="shared" si="40"/>
        <v>0</v>
      </c>
      <c r="S178" s="49">
        <f t="shared" si="40"/>
        <v>0</v>
      </c>
      <c r="T178" s="49">
        <f t="shared" si="40"/>
        <v>24320</v>
      </c>
      <c r="U178" s="49">
        <f t="shared" si="40"/>
        <v>0</v>
      </c>
      <c r="V178" s="50">
        <f t="shared" si="40"/>
        <v>0</v>
      </c>
      <c r="W178" s="76">
        <f t="shared" si="40"/>
        <v>0</v>
      </c>
      <c r="X178" s="49">
        <f t="shared" si="40"/>
        <v>0</v>
      </c>
      <c r="Y178" s="49">
        <f t="shared" si="40"/>
        <v>0</v>
      </c>
      <c r="Z178" s="49">
        <f t="shared" si="40"/>
        <v>0</v>
      </c>
      <c r="AA178" s="49">
        <f t="shared" si="40"/>
        <v>0</v>
      </c>
      <c r="AB178" s="50">
        <f t="shared" si="40"/>
        <v>0</v>
      </c>
      <c r="AC178" s="76">
        <f t="shared" si="40"/>
        <v>0</v>
      </c>
      <c r="AD178" s="49">
        <f t="shared" si="40"/>
        <v>0</v>
      </c>
      <c r="AE178" s="49">
        <f t="shared" si="40"/>
        <v>0</v>
      </c>
      <c r="AF178" s="49">
        <f t="shared" si="40"/>
        <v>0</v>
      </c>
      <c r="AG178" s="49">
        <f t="shared" si="40"/>
        <v>0</v>
      </c>
      <c r="AH178" s="50">
        <f t="shared" si="40"/>
        <v>0</v>
      </c>
      <c r="AI178" s="4"/>
    </row>
    <row r="179" spans="1:35" ht="13.5" customHeight="1">
      <c r="A179" s="4"/>
      <c r="B179" s="43">
        <f>B178+1</f>
        <v>42</v>
      </c>
      <c r="C179" s="111" t="s">
        <v>75</v>
      </c>
      <c r="D179" s="43" t="str">
        <f>"From Ln "&amp;FIXED(+B223,0)</f>
        <v>From Ln 61</v>
      </c>
      <c r="E179" s="39">
        <f>SUM(F179:AH179)</f>
        <v>0</v>
      </c>
      <c r="F179" s="49">
        <f aca="true" t="shared" si="41" ref="F179:AH179">F223</f>
        <v>0</v>
      </c>
      <c r="G179" s="49">
        <f t="shared" si="41"/>
        <v>0</v>
      </c>
      <c r="H179" s="49">
        <f t="shared" si="41"/>
        <v>0</v>
      </c>
      <c r="I179" s="49">
        <f t="shared" si="41"/>
        <v>0</v>
      </c>
      <c r="J179" s="50">
        <f t="shared" si="41"/>
        <v>0</v>
      </c>
      <c r="K179" s="76">
        <f t="shared" si="41"/>
        <v>0</v>
      </c>
      <c r="L179" s="49">
        <f t="shared" si="41"/>
        <v>0</v>
      </c>
      <c r="M179" s="49">
        <f t="shared" si="41"/>
        <v>0</v>
      </c>
      <c r="N179" s="49">
        <f t="shared" si="41"/>
        <v>0</v>
      </c>
      <c r="O179" s="49">
        <f t="shared" si="41"/>
        <v>0</v>
      </c>
      <c r="P179" s="50">
        <f t="shared" si="41"/>
        <v>0</v>
      </c>
      <c r="Q179" s="76">
        <f t="shared" si="41"/>
        <v>0</v>
      </c>
      <c r="R179" s="49">
        <f t="shared" si="41"/>
        <v>0</v>
      </c>
      <c r="S179" s="49">
        <f t="shared" si="41"/>
        <v>0</v>
      </c>
      <c r="T179" s="49">
        <f t="shared" si="41"/>
        <v>0</v>
      </c>
      <c r="U179" s="49">
        <f t="shared" si="41"/>
        <v>0</v>
      </c>
      <c r="V179" s="50">
        <f t="shared" si="41"/>
        <v>0</v>
      </c>
      <c r="W179" s="76">
        <f t="shared" si="41"/>
        <v>0</v>
      </c>
      <c r="X179" s="49">
        <f t="shared" si="41"/>
        <v>0</v>
      </c>
      <c r="Y179" s="49">
        <f t="shared" si="41"/>
        <v>0</v>
      </c>
      <c r="Z179" s="49">
        <f t="shared" si="41"/>
        <v>0</v>
      </c>
      <c r="AA179" s="49">
        <f t="shared" si="41"/>
        <v>0</v>
      </c>
      <c r="AB179" s="50">
        <f t="shared" si="41"/>
        <v>0</v>
      </c>
      <c r="AC179" s="76">
        <f t="shared" si="41"/>
        <v>0</v>
      </c>
      <c r="AD179" s="49">
        <f t="shared" si="41"/>
        <v>0</v>
      </c>
      <c r="AE179" s="49">
        <f t="shared" si="41"/>
        <v>0</v>
      </c>
      <c r="AF179" s="49">
        <f t="shared" si="41"/>
        <v>0</v>
      </c>
      <c r="AG179" s="49">
        <f t="shared" si="41"/>
        <v>0</v>
      </c>
      <c r="AH179" s="50">
        <f t="shared" si="41"/>
        <v>0</v>
      </c>
      <c r="AI179" s="4"/>
    </row>
    <row r="180" spans="1:35" ht="13.5" customHeight="1">
      <c r="A180" s="4"/>
      <c r="B180" s="43">
        <f>B179+1</f>
        <v>43</v>
      </c>
      <c r="C180" s="111" t="s">
        <v>76</v>
      </c>
      <c r="D180" s="43" t="str">
        <f>"From Ln "&amp;FIXED(+B225,0)</f>
        <v>From Ln 62</v>
      </c>
      <c r="E180" s="39">
        <f>SUM(F180:AH180)</f>
        <v>240945</v>
      </c>
      <c r="F180" s="49">
        <f aca="true" t="shared" si="42" ref="F180:AH180">F225</f>
        <v>0</v>
      </c>
      <c r="G180" s="49">
        <f t="shared" si="42"/>
        <v>0</v>
      </c>
      <c r="H180" s="49">
        <f t="shared" si="42"/>
        <v>0</v>
      </c>
      <c r="I180" s="49">
        <f t="shared" si="42"/>
        <v>0</v>
      </c>
      <c r="J180" s="50">
        <f t="shared" si="42"/>
        <v>0</v>
      </c>
      <c r="K180" s="76">
        <f t="shared" si="42"/>
        <v>0</v>
      </c>
      <c r="L180" s="49">
        <f t="shared" si="42"/>
        <v>0</v>
      </c>
      <c r="M180" s="49">
        <f t="shared" si="42"/>
        <v>0</v>
      </c>
      <c r="N180" s="49">
        <f t="shared" si="42"/>
        <v>0</v>
      </c>
      <c r="O180" s="49">
        <f t="shared" si="42"/>
        <v>0</v>
      </c>
      <c r="P180" s="50">
        <f t="shared" si="42"/>
        <v>0</v>
      </c>
      <c r="Q180" s="76">
        <f t="shared" si="42"/>
        <v>0</v>
      </c>
      <c r="R180" s="49">
        <f t="shared" si="42"/>
        <v>0</v>
      </c>
      <c r="S180" s="49">
        <f t="shared" si="42"/>
        <v>0</v>
      </c>
      <c r="T180" s="49">
        <f t="shared" si="42"/>
        <v>0</v>
      </c>
      <c r="U180" s="49">
        <f t="shared" si="42"/>
        <v>240945</v>
      </c>
      <c r="V180" s="50">
        <f t="shared" si="42"/>
        <v>0</v>
      </c>
      <c r="W180" s="76">
        <f t="shared" si="42"/>
        <v>0</v>
      </c>
      <c r="X180" s="49">
        <f t="shared" si="42"/>
        <v>0</v>
      </c>
      <c r="Y180" s="49">
        <f t="shared" si="42"/>
        <v>0</v>
      </c>
      <c r="Z180" s="49">
        <f t="shared" si="42"/>
        <v>0</v>
      </c>
      <c r="AA180" s="49">
        <f t="shared" si="42"/>
        <v>0</v>
      </c>
      <c r="AB180" s="50">
        <f t="shared" si="42"/>
        <v>0</v>
      </c>
      <c r="AC180" s="76">
        <f t="shared" si="42"/>
        <v>0</v>
      </c>
      <c r="AD180" s="49">
        <f t="shared" si="42"/>
        <v>0</v>
      </c>
      <c r="AE180" s="49">
        <f t="shared" si="42"/>
        <v>0</v>
      </c>
      <c r="AF180" s="49">
        <f t="shared" si="42"/>
        <v>0</v>
      </c>
      <c r="AG180" s="49">
        <f t="shared" si="42"/>
        <v>0</v>
      </c>
      <c r="AH180" s="50">
        <f t="shared" si="42"/>
        <v>0</v>
      </c>
      <c r="AI180" s="4"/>
    </row>
    <row r="181" spans="1:35" ht="13.5" customHeight="1">
      <c r="A181" s="4"/>
      <c r="B181" s="43"/>
      <c r="C181" s="111"/>
      <c r="D181" s="43"/>
      <c r="E181" s="127"/>
      <c r="F181" s="128"/>
      <c r="G181" s="128"/>
      <c r="H181" s="128"/>
      <c r="I181" s="128"/>
      <c r="J181" s="129"/>
      <c r="K181" s="78"/>
      <c r="L181" s="128"/>
      <c r="M181" s="128"/>
      <c r="N181" s="128"/>
      <c r="O181" s="128"/>
      <c r="P181" s="129"/>
      <c r="Q181" s="78"/>
      <c r="R181" s="128"/>
      <c r="S181" s="128"/>
      <c r="T181" s="128"/>
      <c r="U181" s="128"/>
      <c r="V181" s="129"/>
      <c r="W181" s="78"/>
      <c r="X181" s="128"/>
      <c r="Y181" s="128"/>
      <c r="Z181" s="128"/>
      <c r="AA181" s="128"/>
      <c r="AB181" s="129"/>
      <c r="AC181" s="78"/>
      <c r="AD181" s="128"/>
      <c r="AE181" s="128"/>
      <c r="AF181" s="128"/>
      <c r="AG181" s="128"/>
      <c r="AH181" s="129"/>
      <c r="AI181" s="4"/>
    </row>
    <row r="182" spans="1:35" ht="13.5" customHeight="1">
      <c r="A182" s="1"/>
      <c r="B182" s="43">
        <f>B180+1</f>
        <v>44</v>
      </c>
      <c r="C182" s="110" t="s">
        <v>77</v>
      </c>
      <c r="D182" s="43" t="str">
        <f>"Ln "&amp;FIXED(+B177,0)&amp;"+"&amp;FIXED(+B178,0)&amp;"+"&amp;FIXED(+B179,0)&amp;"+"&amp;FIXED(+B180,0)</f>
        <v>Ln 40+41+42+43</v>
      </c>
      <c r="E182" s="121">
        <f aca="true" t="shared" si="43" ref="E182:AH182">E177+E178+E179+E180</f>
        <v>141063</v>
      </c>
      <c r="F182" s="68">
        <f t="shared" si="43"/>
        <v>0</v>
      </c>
      <c r="G182" s="69">
        <f t="shared" si="43"/>
        <v>0</v>
      </c>
      <c r="H182" s="69">
        <f t="shared" si="43"/>
        <v>0</v>
      </c>
      <c r="I182" s="69">
        <f t="shared" si="43"/>
        <v>0</v>
      </c>
      <c r="J182" s="70">
        <f t="shared" si="43"/>
        <v>0</v>
      </c>
      <c r="K182" s="68">
        <f t="shared" si="43"/>
        <v>0</v>
      </c>
      <c r="L182" s="69">
        <f t="shared" si="43"/>
        <v>0</v>
      </c>
      <c r="M182" s="69">
        <f t="shared" si="43"/>
        <v>0</v>
      </c>
      <c r="N182" s="69">
        <f t="shared" si="43"/>
        <v>0</v>
      </c>
      <c r="O182" s="69">
        <f t="shared" si="43"/>
        <v>0</v>
      </c>
      <c r="P182" s="70">
        <f t="shared" si="43"/>
        <v>0</v>
      </c>
      <c r="Q182" s="68">
        <f t="shared" si="43"/>
        <v>0</v>
      </c>
      <c r="R182" s="69">
        <f t="shared" si="43"/>
        <v>0</v>
      </c>
      <c r="S182" s="69">
        <f t="shared" si="43"/>
        <v>-124202</v>
      </c>
      <c r="T182" s="69">
        <f t="shared" si="43"/>
        <v>24320</v>
      </c>
      <c r="U182" s="69">
        <f t="shared" si="43"/>
        <v>240945</v>
      </c>
      <c r="V182" s="70">
        <f t="shared" si="43"/>
        <v>0</v>
      </c>
      <c r="W182" s="68">
        <f t="shared" si="43"/>
        <v>0</v>
      </c>
      <c r="X182" s="69">
        <f t="shared" si="43"/>
        <v>0</v>
      </c>
      <c r="Y182" s="69">
        <f t="shared" si="43"/>
        <v>0</v>
      </c>
      <c r="Z182" s="69">
        <f t="shared" si="43"/>
        <v>0</v>
      </c>
      <c r="AA182" s="69">
        <f t="shared" si="43"/>
        <v>0</v>
      </c>
      <c r="AB182" s="70">
        <f t="shared" si="43"/>
        <v>0</v>
      </c>
      <c r="AC182" s="68">
        <f t="shared" si="43"/>
        <v>0</v>
      </c>
      <c r="AD182" s="69">
        <f t="shared" si="43"/>
        <v>0</v>
      </c>
      <c r="AE182" s="69">
        <f t="shared" si="43"/>
        <v>0</v>
      </c>
      <c r="AF182" s="69">
        <f t="shared" si="43"/>
        <v>0</v>
      </c>
      <c r="AG182" s="69">
        <f t="shared" si="43"/>
        <v>0</v>
      </c>
      <c r="AH182" s="70">
        <f t="shared" si="43"/>
        <v>0</v>
      </c>
      <c r="AI182" s="4"/>
    </row>
    <row r="183" spans="1:35" ht="13.5" customHeight="1">
      <c r="A183" s="4"/>
      <c r="B183" s="36"/>
      <c r="C183" s="111"/>
      <c r="D183" s="43"/>
      <c r="E183" s="122"/>
      <c r="F183" s="72"/>
      <c r="G183" s="72"/>
      <c r="H183" s="72"/>
      <c r="I183" s="72"/>
      <c r="J183" s="73"/>
      <c r="K183" s="71"/>
      <c r="L183" s="72"/>
      <c r="M183" s="72"/>
      <c r="N183" s="72"/>
      <c r="O183" s="72"/>
      <c r="P183" s="73"/>
      <c r="Q183" s="71"/>
      <c r="R183" s="72"/>
      <c r="S183" s="72"/>
      <c r="T183" s="72"/>
      <c r="U183" s="72"/>
      <c r="V183" s="73"/>
      <c r="W183" s="71"/>
      <c r="X183" s="72"/>
      <c r="Y183" s="72"/>
      <c r="Z183" s="72"/>
      <c r="AA183" s="72"/>
      <c r="AB183" s="73"/>
      <c r="AC183" s="71"/>
      <c r="AD183" s="72"/>
      <c r="AE183" s="72"/>
      <c r="AF183" s="72"/>
      <c r="AG183" s="72"/>
      <c r="AH183" s="73"/>
      <c r="AI183" s="4"/>
    </row>
    <row r="184" spans="1:35" ht="13.5" customHeight="1">
      <c r="A184" s="4"/>
      <c r="B184" s="43"/>
      <c r="C184" s="110"/>
      <c r="D184" s="43" t="str">
        <f>"(Ln "&amp;FIXED(+B172,0)&amp;"/"&amp;FIXED(+B182,0)&amp;") x 100"</f>
        <v>(Ln 37/44) x 100</v>
      </c>
      <c r="E184" s="130"/>
      <c r="F184" s="131"/>
      <c r="G184" s="131"/>
      <c r="H184" s="131"/>
      <c r="I184" s="131"/>
      <c r="J184" s="132"/>
      <c r="K184" s="131"/>
      <c r="L184" s="131"/>
      <c r="M184" s="131"/>
      <c r="N184" s="131"/>
      <c r="O184" s="131"/>
      <c r="P184" s="132"/>
      <c r="Q184" s="131"/>
      <c r="R184" s="131"/>
      <c r="S184" s="131"/>
      <c r="T184" s="131"/>
      <c r="U184" s="131"/>
      <c r="V184" s="132"/>
      <c r="W184" s="131"/>
      <c r="X184" s="131"/>
      <c r="Y184" s="131"/>
      <c r="Z184" s="131"/>
      <c r="AA184" s="131"/>
      <c r="AB184" s="132"/>
      <c r="AC184" s="131"/>
      <c r="AD184" s="131"/>
      <c r="AE184" s="131"/>
      <c r="AF184" s="131"/>
      <c r="AG184" s="131"/>
      <c r="AH184" s="132"/>
      <c r="AI184" s="4"/>
    </row>
    <row r="185" spans="1:35" ht="13.5" customHeight="1">
      <c r="A185" s="4"/>
      <c r="B185" s="133"/>
      <c r="C185" s="84"/>
      <c r="D185" s="84"/>
      <c r="E185" s="134"/>
      <c r="F185" s="135"/>
      <c r="G185" s="135"/>
      <c r="H185" s="135"/>
      <c r="I185" s="135"/>
      <c r="J185" s="136"/>
      <c r="K185" s="135"/>
      <c r="L185" s="135"/>
      <c r="M185" s="135"/>
      <c r="N185" s="135"/>
      <c r="O185" s="135"/>
      <c r="P185" s="136"/>
      <c r="Q185" s="135"/>
      <c r="R185" s="135"/>
      <c r="S185" s="135"/>
      <c r="T185" s="135"/>
      <c r="U185" s="135"/>
      <c r="V185" s="136"/>
      <c r="W185" s="135"/>
      <c r="X185" s="135"/>
      <c r="Y185" s="135"/>
      <c r="Z185" s="135"/>
      <c r="AA185" s="135"/>
      <c r="AB185" s="136"/>
      <c r="AC185" s="135"/>
      <c r="AD185" s="135"/>
      <c r="AE185" s="135"/>
      <c r="AF185" s="135"/>
      <c r="AG185" s="135"/>
      <c r="AH185" s="136"/>
      <c r="AI185" s="4"/>
    </row>
    <row r="186" spans="1:35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1:35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spans="1:35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1:35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spans="1:35" ht="13.5" customHeight="1">
      <c r="A190" s="4"/>
      <c r="B190" s="8" t="str">
        <f>$B$352</f>
        <v>RAINIER VIEW WATER CO., INC.</v>
      </c>
      <c r="C190" s="9"/>
      <c r="D190" s="12"/>
      <c r="E190" s="11"/>
      <c r="F190" s="11"/>
      <c r="G190" s="11"/>
      <c r="H190" s="11"/>
      <c r="I190" s="12" t="str">
        <f>$G$352</f>
        <v>Appendix A</v>
      </c>
      <c r="J190" s="13"/>
      <c r="K190" s="11"/>
      <c r="L190" s="11"/>
      <c r="M190" s="11"/>
      <c r="N190" s="11"/>
      <c r="O190" s="12" t="str">
        <f>$G$352</f>
        <v>Appendix A</v>
      </c>
      <c r="P190" s="13"/>
      <c r="Q190" s="11"/>
      <c r="R190" s="11"/>
      <c r="S190" s="11"/>
      <c r="T190" s="11"/>
      <c r="U190" s="12" t="str">
        <f>$G$352</f>
        <v>Appendix A</v>
      </c>
      <c r="V190" s="13"/>
      <c r="W190" s="11"/>
      <c r="X190" s="11"/>
      <c r="Y190" s="11"/>
      <c r="Z190" s="11"/>
      <c r="AA190" s="12" t="str">
        <f>$G$352</f>
        <v>Appendix A</v>
      </c>
      <c r="AB190" s="13"/>
      <c r="AC190" s="11"/>
      <c r="AD190" s="11"/>
      <c r="AE190" s="11"/>
      <c r="AF190" s="11"/>
      <c r="AG190" s="12" t="str">
        <f>$G$352</f>
        <v>Appendix A</v>
      </c>
      <c r="AH190" s="13"/>
      <c r="AI190" s="4"/>
    </row>
    <row r="191" spans="1:35" ht="13.5" customHeight="1">
      <c r="A191" s="1" t="s">
        <v>157</v>
      </c>
      <c r="B191" s="14" t="s">
        <v>158</v>
      </c>
      <c r="C191" s="1"/>
      <c r="D191" s="17"/>
      <c r="E191" s="4"/>
      <c r="F191" s="4"/>
      <c r="G191" s="4"/>
      <c r="H191" s="4"/>
      <c r="I191" s="17" t="str">
        <f>$G$353</f>
        <v>Docket No. UW-010877</v>
      </c>
      <c r="J191" s="18"/>
      <c r="K191" s="4"/>
      <c r="L191" s="4"/>
      <c r="M191" s="4"/>
      <c r="N191" s="4"/>
      <c r="O191" s="17" t="str">
        <f>$G$353</f>
        <v>Docket No. UW-010877</v>
      </c>
      <c r="P191" s="18"/>
      <c r="Q191" s="4"/>
      <c r="R191" s="4"/>
      <c r="S191" s="4"/>
      <c r="T191" s="4"/>
      <c r="U191" s="17" t="str">
        <f>$G$353</f>
        <v>Docket No. UW-010877</v>
      </c>
      <c r="V191" s="18"/>
      <c r="W191" s="4"/>
      <c r="X191" s="4"/>
      <c r="Y191" s="4"/>
      <c r="Z191" s="4"/>
      <c r="AA191" s="17" t="str">
        <f>$G$353</f>
        <v>Docket No. UW-010877</v>
      </c>
      <c r="AB191" s="18"/>
      <c r="AC191" s="4"/>
      <c r="AD191" s="4"/>
      <c r="AE191" s="4"/>
      <c r="AF191" s="4"/>
      <c r="AG191" s="17" t="str">
        <f>$G$353</f>
        <v>Docket No. UW-010877</v>
      </c>
      <c r="AH191" s="18"/>
      <c r="AI191" s="4"/>
    </row>
    <row r="192" spans="1:35" ht="13.5" customHeight="1">
      <c r="A192" s="4"/>
      <c r="B192" s="14" t="s">
        <v>159</v>
      </c>
      <c r="C192" s="4"/>
      <c r="D192" s="17"/>
      <c r="E192" s="4"/>
      <c r="F192" s="4"/>
      <c r="G192" s="4"/>
      <c r="H192" s="4"/>
      <c r="I192" s="3" t="s">
        <v>160</v>
      </c>
      <c r="J192" s="18"/>
      <c r="K192" s="4"/>
      <c r="L192" s="4"/>
      <c r="M192" s="4"/>
      <c r="N192" s="4"/>
      <c r="O192" s="3" t="s">
        <v>161</v>
      </c>
      <c r="P192" s="18"/>
      <c r="Q192" s="4"/>
      <c r="R192" s="4"/>
      <c r="S192" s="4"/>
      <c r="T192" s="4"/>
      <c r="U192" s="3" t="s">
        <v>162</v>
      </c>
      <c r="V192" s="18"/>
      <c r="W192" s="4"/>
      <c r="X192" s="4"/>
      <c r="Y192" s="4"/>
      <c r="Z192" s="4"/>
      <c r="AA192" s="3" t="s">
        <v>163</v>
      </c>
      <c r="AB192" s="18"/>
      <c r="AC192" s="4"/>
      <c r="AD192" s="4"/>
      <c r="AE192" s="4"/>
      <c r="AF192" s="4"/>
      <c r="AG192" s="3" t="s">
        <v>164</v>
      </c>
      <c r="AH192" s="18"/>
      <c r="AI192" s="4"/>
    </row>
    <row r="193" spans="1:35" ht="13.5" customHeight="1">
      <c r="A193" s="4"/>
      <c r="B193" s="19" t="str">
        <f>$B$354</f>
        <v>FOR THE 12 MONTHS ENDED DECEMBER 31, 2000</v>
      </c>
      <c r="C193" s="4"/>
      <c r="D193" s="17"/>
      <c r="E193" s="4"/>
      <c r="F193" s="4"/>
      <c r="G193" s="4"/>
      <c r="H193" s="4"/>
      <c r="I193" s="4"/>
      <c r="J193" s="18"/>
      <c r="K193" s="4"/>
      <c r="L193" s="4"/>
      <c r="M193" s="4"/>
      <c r="N193" s="4"/>
      <c r="O193" s="4"/>
      <c r="P193" s="18"/>
      <c r="Q193" s="4"/>
      <c r="R193" s="4"/>
      <c r="S193" s="4"/>
      <c r="T193" s="4"/>
      <c r="U193" s="4"/>
      <c r="V193" s="18"/>
      <c r="W193" s="4"/>
      <c r="X193" s="4"/>
      <c r="Y193" s="4"/>
      <c r="Z193" s="4"/>
      <c r="AA193" s="4"/>
      <c r="AB193" s="18"/>
      <c r="AC193" s="4"/>
      <c r="AD193" s="4"/>
      <c r="AE193" s="4"/>
      <c r="AF193" s="4"/>
      <c r="AG193" s="4"/>
      <c r="AH193" s="18"/>
      <c r="AI193" s="4"/>
    </row>
    <row r="194" spans="1:35" ht="13.5" customHeight="1">
      <c r="A194" s="4"/>
      <c r="B194" s="19"/>
      <c r="C194" s="4"/>
      <c r="D194" s="17"/>
      <c r="E194" s="22"/>
      <c r="F194" s="22" t="s">
        <v>611</v>
      </c>
      <c r="G194" s="22" t="s">
        <v>612</v>
      </c>
      <c r="H194" s="22" t="s">
        <v>613</v>
      </c>
      <c r="I194" s="22" t="s">
        <v>614</v>
      </c>
      <c r="J194" s="26" t="s">
        <v>615</v>
      </c>
      <c r="K194" s="22" t="s">
        <v>616</v>
      </c>
      <c r="L194" s="22" t="s">
        <v>617</v>
      </c>
      <c r="M194" s="22" t="s">
        <v>618</v>
      </c>
      <c r="N194" s="22" t="s">
        <v>619</v>
      </c>
      <c r="O194" s="22" t="s">
        <v>620</v>
      </c>
      <c r="P194" s="26" t="s">
        <v>621</v>
      </c>
      <c r="Q194" s="22" t="s">
        <v>622</v>
      </c>
      <c r="R194" s="22" t="s">
        <v>623</v>
      </c>
      <c r="S194" s="22" t="s">
        <v>624</v>
      </c>
      <c r="T194" s="22" t="s">
        <v>625</v>
      </c>
      <c r="U194" s="22" t="s">
        <v>183</v>
      </c>
      <c r="V194" s="23"/>
      <c r="W194" s="24" t="s">
        <v>124</v>
      </c>
      <c r="X194" s="24" t="s">
        <v>125</v>
      </c>
      <c r="Y194" s="22" t="s">
        <v>126</v>
      </c>
      <c r="Z194" s="22" t="s">
        <v>126</v>
      </c>
      <c r="AA194" s="22" t="s">
        <v>126</v>
      </c>
      <c r="AB194" s="26" t="s">
        <v>126</v>
      </c>
      <c r="AC194" s="22" t="s">
        <v>126</v>
      </c>
      <c r="AD194" s="22" t="s">
        <v>626</v>
      </c>
      <c r="AE194" s="22" t="s">
        <v>126</v>
      </c>
      <c r="AF194" s="22" t="s">
        <v>126</v>
      </c>
      <c r="AG194" s="22" t="s">
        <v>126</v>
      </c>
      <c r="AH194" s="26" t="s">
        <v>126</v>
      </c>
      <c r="AI194" s="4"/>
    </row>
    <row r="195" spans="1:35" ht="13.5" customHeight="1">
      <c r="A195" s="4"/>
      <c r="B195" s="14" t="str">
        <f>IF(E372&lt;&gt;0,+"(WITH FEDERAL INCOME TAXES IMPUTED)",+" (WITHOUT FEDERAL INCOME TAXES IMPUTED)")</f>
        <v>(WITH FEDERAL INCOME TAXES IMPUTED)</v>
      </c>
      <c r="C195" s="17"/>
      <c r="D195" s="17"/>
      <c r="E195" s="24" t="s">
        <v>9</v>
      </c>
      <c r="F195" s="22" t="s">
        <v>132</v>
      </c>
      <c r="G195" s="22"/>
      <c r="H195" s="22"/>
      <c r="I195" s="22"/>
      <c r="J195" s="26"/>
      <c r="K195" s="4"/>
      <c r="L195" s="22"/>
      <c r="M195" s="22" t="s">
        <v>628</v>
      </c>
      <c r="N195" s="22"/>
      <c r="O195" s="24"/>
      <c r="P195" s="26"/>
      <c r="Q195" s="24"/>
      <c r="R195" s="24"/>
      <c r="S195" s="22" t="s">
        <v>133</v>
      </c>
      <c r="T195" s="22" t="s">
        <v>133</v>
      </c>
      <c r="U195" s="22" t="s">
        <v>198</v>
      </c>
      <c r="V195" s="26"/>
      <c r="W195" s="22"/>
      <c r="X195" s="22"/>
      <c r="Y195" s="17"/>
      <c r="Z195" s="17"/>
      <c r="AA195" s="17"/>
      <c r="AB195" s="106"/>
      <c r="AC195" s="22"/>
      <c r="AD195" s="22"/>
      <c r="AE195" s="22"/>
      <c r="AF195" s="22"/>
      <c r="AG195" s="22"/>
      <c r="AH195" s="106"/>
      <c r="AI195" s="4"/>
    </row>
    <row r="196" spans="1:35" ht="13.5" customHeight="1">
      <c r="A196" s="4"/>
      <c r="B196" s="25" t="s">
        <v>14</v>
      </c>
      <c r="C196" s="17"/>
      <c r="D196" s="17"/>
      <c r="E196" s="24" t="s">
        <v>16</v>
      </c>
      <c r="F196" s="22" t="s">
        <v>134</v>
      </c>
      <c r="G196" s="22" t="s">
        <v>629</v>
      </c>
      <c r="H196" s="22" t="s">
        <v>630</v>
      </c>
      <c r="I196" s="22" t="s">
        <v>627</v>
      </c>
      <c r="J196" s="26" t="s">
        <v>632</v>
      </c>
      <c r="K196" s="22" t="s">
        <v>633</v>
      </c>
      <c r="L196" s="22" t="s">
        <v>224</v>
      </c>
      <c r="M196" s="22" t="s">
        <v>634</v>
      </c>
      <c r="N196" s="22" t="s">
        <v>200</v>
      </c>
      <c r="O196" s="22" t="s">
        <v>635</v>
      </c>
      <c r="P196" s="26" t="s">
        <v>636</v>
      </c>
      <c r="Q196" s="22" t="s">
        <v>637</v>
      </c>
      <c r="R196" s="22" t="s">
        <v>365</v>
      </c>
      <c r="S196" s="22" t="s">
        <v>136</v>
      </c>
      <c r="T196" s="22" t="s">
        <v>136</v>
      </c>
      <c r="U196" s="22" t="s">
        <v>210</v>
      </c>
      <c r="V196" s="26"/>
      <c r="W196" s="22"/>
      <c r="X196" s="22"/>
      <c r="Y196" s="17"/>
      <c r="Z196" s="17"/>
      <c r="AA196" s="17"/>
      <c r="AB196" s="106"/>
      <c r="AC196" s="22"/>
      <c r="AD196" s="22"/>
      <c r="AE196" s="22"/>
      <c r="AF196" s="22"/>
      <c r="AG196" s="22"/>
      <c r="AH196" s="106"/>
      <c r="AI196" s="4"/>
    </row>
    <row r="197" spans="1:35" ht="13.5" customHeight="1">
      <c r="A197" s="4"/>
      <c r="B197" s="27" t="s">
        <v>18</v>
      </c>
      <c r="C197" s="28" t="s">
        <v>19</v>
      </c>
      <c r="D197" s="28" t="s">
        <v>20</v>
      </c>
      <c r="E197" s="29" t="s">
        <v>22</v>
      </c>
      <c r="F197" s="28" t="s">
        <v>137</v>
      </c>
      <c r="G197" s="28" t="s">
        <v>638</v>
      </c>
      <c r="H197" s="28" t="s">
        <v>639</v>
      </c>
      <c r="I197" s="28" t="s">
        <v>631</v>
      </c>
      <c r="J197" s="26" t="s">
        <v>641</v>
      </c>
      <c r="K197" s="22" t="s">
        <v>642</v>
      </c>
      <c r="L197" s="22" t="s">
        <v>195</v>
      </c>
      <c r="M197" s="22" t="s">
        <v>216</v>
      </c>
      <c r="N197" s="22" t="s">
        <v>217</v>
      </c>
      <c r="O197" s="28" t="s">
        <v>217</v>
      </c>
      <c r="P197" s="30" t="s">
        <v>643</v>
      </c>
      <c r="Q197" s="28" t="s">
        <v>365</v>
      </c>
      <c r="R197" s="28" t="s">
        <v>580</v>
      </c>
      <c r="S197" s="22" t="s">
        <v>139</v>
      </c>
      <c r="T197" s="22" t="s">
        <v>635</v>
      </c>
      <c r="U197" s="22" t="s">
        <v>222</v>
      </c>
      <c r="V197" s="26"/>
      <c r="W197" s="22"/>
      <c r="X197" s="22"/>
      <c r="Y197" s="17"/>
      <c r="Z197" s="17"/>
      <c r="AA197" s="17"/>
      <c r="AB197" s="106"/>
      <c r="AC197" s="22"/>
      <c r="AD197" s="22"/>
      <c r="AE197" s="22"/>
      <c r="AF197" s="22"/>
      <c r="AG197" s="22"/>
      <c r="AH197" s="106"/>
      <c r="AI197" s="4"/>
    </row>
    <row r="198" spans="1:35" ht="13.5" customHeight="1">
      <c r="A198" s="4"/>
      <c r="B198" s="31"/>
      <c r="C198" s="31" t="s">
        <v>25</v>
      </c>
      <c r="D198" s="31" t="s">
        <v>26</v>
      </c>
      <c r="E198" s="32" t="s">
        <v>27</v>
      </c>
      <c r="F198" s="33" t="s">
        <v>28</v>
      </c>
      <c r="G198" s="33" t="s">
        <v>29</v>
      </c>
      <c r="H198" s="33" t="s">
        <v>30</v>
      </c>
      <c r="I198" s="33" t="s">
        <v>31</v>
      </c>
      <c r="J198" s="34" t="s">
        <v>32</v>
      </c>
      <c r="K198" s="31" t="s">
        <v>33</v>
      </c>
      <c r="L198" s="33" t="s">
        <v>140</v>
      </c>
      <c r="M198" s="33" t="s">
        <v>141</v>
      </c>
      <c r="N198" s="33" t="s">
        <v>142</v>
      </c>
      <c r="O198" s="33" t="s">
        <v>143</v>
      </c>
      <c r="P198" s="34" t="s">
        <v>144</v>
      </c>
      <c r="Q198" s="31" t="s">
        <v>145</v>
      </c>
      <c r="R198" s="33" t="s">
        <v>145</v>
      </c>
      <c r="S198" s="33" t="s">
        <v>148</v>
      </c>
      <c r="T198" s="33" t="s">
        <v>146</v>
      </c>
      <c r="U198" s="33" t="s">
        <v>147</v>
      </c>
      <c r="V198" s="34" t="s">
        <v>144</v>
      </c>
      <c r="W198" s="31" t="s">
        <v>144</v>
      </c>
      <c r="X198" s="33" t="s">
        <v>148</v>
      </c>
      <c r="Y198" s="33" t="s">
        <v>146</v>
      </c>
      <c r="Z198" s="33" t="s">
        <v>149</v>
      </c>
      <c r="AA198" s="33" t="s">
        <v>150</v>
      </c>
      <c r="AB198" s="34" t="s">
        <v>149</v>
      </c>
      <c r="AC198" s="107" t="s">
        <v>151</v>
      </c>
      <c r="AD198" s="108" t="s">
        <v>152</v>
      </c>
      <c r="AE198" s="108" t="s">
        <v>153</v>
      </c>
      <c r="AF198" s="108" t="s">
        <v>154</v>
      </c>
      <c r="AG198" s="108" t="s">
        <v>155</v>
      </c>
      <c r="AH198" s="109" t="s">
        <v>156</v>
      </c>
      <c r="AI198" s="4"/>
    </row>
    <row r="199" spans="1:35" ht="13.5" customHeight="1">
      <c r="A199" s="4"/>
      <c r="B199" s="35"/>
      <c r="C199" s="35"/>
      <c r="D199" s="35"/>
      <c r="E199" s="36"/>
      <c r="F199" s="37"/>
      <c r="G199" s="37"/>
      <c r="H199" s="4"/>
      <c r="I199" s="4"/>
      <c r="J199" s="18"/>
      <c r="K199" s="40"/>
      <c r="L199" s="4"/>
      <c r="M199" s="4"/>
      <c r="N199" s="4"/>
      <c r="O199" s="4"/>
      <c r="P199" s="18"/>
      <c r="Q199" s="40"/>
      <c r="R199" s="4"/>
      <c r="S199" s="4"/>
      <c r="T199" s="4"/>
      <c r="U199" s="4"/>
      <c r="V199" s="18"/>
      <c r="W199" s="40"/>
      <c r="X199" s="4"/>
      <c r="Y199" s="4"/>
      <c r="Z199" s="4"/>
      <c r="AA199" s="4"/>
      <c r="AB199" s="18"/>
      <c r="AC199" s="40"/>
      <c r="AD199" s="4"/>
      <c r="AE199" s="4"/>
      <c r="AF199" s="4"/>
      <c r="AG199" s="4"/>
      <c r="AH199" s="18"/>
      <c r="AI199" s="4"/>
    </row>
    <row r="200" spans="1:35" ht="13.5" customHeight="1">
      <c r="A200" s="4"/>
      <c r="B200" s="35"/>
      <c r="C200" s="89" t="s">
        <v>84</v>
      </c>
      <c r="D200" s="41"/>
      <c r="E200" s="39"/>
      <c r="F200" s="4"/>
      <c r="G200" s="4"/>
      <c r="H200" s="4"/>
      <c r="I200" s="4"/>
      <c r="J200" s="18"/>
      <c r="K200" s="40"/>
      <c r="L200" s="4"/>
      <c r="M200" s="4"/>
      <c r="N200" s="4"/>
      <c r="O200" s="4"/>
      <c r="P200" s="18"/>
      <c r="Q200" s="40"/>
      <c r="R200" s="4"/>
      <c r="S200" s="4"/>
      <c r="T200" s="4"/>
      <c r="U200" s="4"/>
      <c r="V200" s="18"/>
      <c r="W200" s="40"/>
      <c r="X200" s="4"/>
      <c r="Y200" s="4"/>
      <c r="Z200" s="4"/>
      <c r="AA200" s="4"/>
      <c r="AB200" s="18"/>
      <c r="AC200" s="40"/>
      <c r="AD200" s="4"/>
      <c r="AE200" s="4"/>
      <c r="AF200" s="4"/>
      <c r="AG200" s="4"/>
      <c r="AH200" s="18"/>
      <c r="AI200" s="4"/>
    </row>
    <row r="201" spans="1:35" ht="13.5" customHeight="1">
      <c r="A201" s="4"/>
      <c r="B201" s="41">
        <f>B182+1</f>
        <v>45</v>
      </c>
      <c r="C201" s="42" t="s">
        <v>85</v>
      </c>
      <c r="D201" s="41" t="str">
        <f>"From Ln "&amp;FIXED(+B167,0)</f>
        <v>From Ln 34</v>
      </c>
      <c r="E201" s="112">
        <f>SUM(F201:AH201)</f>
        <v>123246</v>
      </c>
      <c r="F201" s="45">
        <f aca="true" t="shared" si="44" ref="F201:AH201">F139-F165</f>
        <v>-180636</v>
      </c>
      <c r="G201" s="45">
        <f t="shared" si="44"/>
        <v>148629</v>
      </c>
      <c r="H201" s="45">
        <f t="shared" si="44"/>
        <v>6708</v>
      </c>
      <c r="I201" s="45">
        <f t="shared" si="44"/>
        <v>32070</v>
      </c>
      <c r="J201" s="46">
        <f t="shared" si="44"/>
        <v>1558</v>
      </c>
      <c r="K201" s="75">
        <f t="shared" si="44"/>
        <v>0</v>
      </c>
      <c r="L201" s="45">
        <f t="shared" si="44"/>
        <v>569</v>
      </c>
      <c r="M201" s="45">
        <f t="shared" si="44"/>
        <v>-918</v>
      </c>
      <c r="N201" s="45">
        <f t="shared" si="44"/>
        <v>115266</v>
      </c>
      <c r="O201" s="45">
        <f t="shared" si="44"/>
        <v>0</v>
      </c>
      <c r="P201" s="46">
        <f t="shared" si="44"/>
        <v>0</v>
      </c>
      <c r="Q201" s="75">
        <f t="shared" si="44"/>
        <v>0</v>
      </c>
      <c r="R201" s="45">
        <f t="shared" si="44"/>
        <v>0</v>
      </c>
      <c r="S201" s="45">
        <f t="shared" si="44"/>
        <v>0</v>
      </c>
      <c r="T201" s="45">
        <f t="shared" si="44"/>
        <v>0</v>
      </c>
      <c r="U201" s="45">
        <f t="shared" si="44"/>
        <v>0</v>
      </c>
      <c r="V201" s="46">
        <f t="shared" si="44"/>
        <v>0</v>
      </c>
      <c r="W201" s="75">
        <f t="shared" si="44"/>
        <v>0</v>
      </c>
      <c r="X201" s="45">
        <f t="shared" si="44"/>
        <v>0</v>
      </c>
      <c r="Y201" s="45">
        <f t="shared" si="44"/>
        <v>0</v>
      </c>
      <c r="Z201" s="45">
        <f t="shared" si="44"/>
        <v>0</v>
      </c>
      <c r="AA201" s="45">
        <f t="shared" si="44"/>
        <v>0</v>
      </c>
      <c r="AB201" s="46">
        <f t="shared" si="44"/>
        <v>0</v>
      </c>
      <c r="AC201" s="75">
        <f t="shared" si="44"/>
        <v>0</v>
      </c>
      <c r="AD201" s="45">
        <f t="shared" si="44"/>
        <v>0</v>
      </c>
      <c r="AE201" s="45">
        <f t="shared" si="44"/>
        <v>0</v>
      </c>
      <c r="AF201" s="45">
        <f t="shared" si="44"/>
        <v>0</v>
      </c>
      <c r="AG201" s="45">
        <f t="shared" si="44"/>
        <v>0</v>
      </c>
      <c r="AH201" s="46">
        <f t="shared" si="44"/>
        <v>0</v>
      </c>
      <c r="AI201" s="4"/>
    </row>
    <row r="202" spans="1:35" ht="13.5" customHeight="1">
      <c r="A202" s="4"/>
      <c r="B202" s="41">
        <f>B201+1</f>
        <v>46</v>
      </c>
      <c r="C202" s="40" t="s">
        <v>165</v>
      </c>
      <c r="D202" s="35" t="s">
        <v>36</v>
      </c>
      <c r="E202" s="39">
        <f>SUM(F202:AH202)</f>
        <v>-72094</v>
      </c>
      <c r="F202" s="4">
        <v>0</v>
      </c>
      <c r="G202" s="4">
        <v>0</v>
      </c>
      <c r="H202" s="4">
        <v>0</v>
      </c>
      <c r="I202" s="4">
        <v>0</v>
      </c>
      <c r="J202" s="18">
        <v>0</v>
      </c>
      <c r="K202" s="40">
        <v>0</v>
      </c>
      <c r="L202" s="4">
        <v>0</v>
      </c>
      <c r="M202" s="4">
        <v>0</v>
      </c>
      <c r="N202" s="4">
        <v>0</v>
      </c>
      <c r="O202" s="4">
        <v>0</v>
      </c>
      <c r="P202" s="18">
        <v>0</v>
      </c>
      <c r="Q202" s="42">
        <v>-72094</v>
      </c>
      <c r="R202" s="4">
        <v>0</v>
      </c>
      <c r="S202" s="4">
        <v>0</v>
      </c>
      <c r="T202" s="4">
        <v>0</v>
      </c>
      <c r="U202" s="4">
        <v>0</v>
      </c>
      <c r="V202" s="18">
        <v>0</v>
      </c>
      <c r="W202" s="40">
        <v>0</v>
      </c>
      <c r="X202" s="4">
        <v>0</v>
      </c>
      <c r="Y202" s="4">
        <v>0</v>
      </c>
      <c r="Z202" s="4">
        <v>0</v>
      </c>
      <c r="AA202" s="4">
        <v>0</v>
      </c>
      <c r="AB202" s="18">
        <v>0</v>
      </c>
      <c r="AC202" s="40">
        <v>0</v>
      </c>
      <c r="AD202" s="4">
        <v>0</v>
      </c>
      <c r="AE202" s="4">
        <v>0</v>
      </c>
      <c r="AF202" s="4">
        <v>0</v>
      </c>
      <c r="AG202" s="4">
        <v>0</v>
      </c>
      <c r="AH202" s="18">
        <v>0</v>
      </c>
      <c r="AI202" s="4"/>
    </row>
    <row r="203" spans="1:35" ht="13.5" customHeight="1">
      <c r="A203" s="4"/>
      <c r="B203" s="41">
        <f>B202+1</f>
        <v>47</v>
      </c>
      <c r="C203" s="40" t="s">
        <v>87</v>
      </c>
      <c r="D203" s="35" t="s">
        <v>36</v>
      </c>
      <c r="E203" s="39">
        <f>SUM(F203:AH203)</f>
        <v>0</v>
      </c>
      <c r="F203" s="1">
        <v>0</v>
      </c>
      <c r="G203" s="1">
        <v>0</v>
      </c>
      <c r="H203" s="1">
        <v>0</v>
      </c>
      <c r="I203" s="1">
        <v>0</v>
      </c>
      <c r="J203" s="67">
        <v>0</v>
      </c>
      <c r="K203" s="42">
        <v>0</v>
      </c>
      <c r="L203" s="1">
        <v>0</v>
      </c>
      <c r="M203" s="1">
        <v>0</v>
      </c>
      <c r="N203" s="1">
        <v>0</v>
      </c>
      <c r="O203" s="1">
        <v>0</v>
      </c>
      <c r="P203" s="67">
        <v>0</v>
      </c>
      <c r="Q203" s="42">
        <v>0</v>
      </c>
      <c r="R203" s="1">
        <v>0</v>
      </c>
      <c r="S203" s="1">
        <v>0</v>
      </c>
      <c r="T203" s="1">
        <v>0</v>
      </c>
      <c r="U203" s="1">
        <v>0</v>
      </c>
      <c r="V203" s="67">
        <v>0</v>
      </c>
      <c r="W203" s="42">
        <v>0</v>
      </c>
      <c r="X203" s="1">
        <v>0</v>
      </c>
      <c r="Y203" s="1">
        <v>0</v>
      </c>
      <c r="Z203" s="1">
        <v>0</v>
      </c>
      <c r="AA203" s="1">
        <v>0</v>
      </c>
      <c r="AB203" s="67">
        <v>0</v>
      </c>
      <c r="AC203" s="42">
        <v>0</v>
      </c>
      <c r="AD203" s="1">
        <v>0</v>
      </c>
      <c r="AE203" s="1">
        <v>0</v>
      </c>
      <c r="AF203" s="1">
        <v>0</v>
      </c>
      <c r="AG203" s="1">
        <v>0</v>
      </c>
      <c r="AH203" s="67">
        <v>0</v>
      </c>
      <c r="AI203" s="4"/>
    </row>
    <row r="204" spans="1:35" ht="13.5" customHeight="1">
      <c r="A204" s="4"/>
      <c r="B204" s="41">
        <f>B203+1</f>
        <v>48</v>
      </c>
      <c r="C204" s="40" t="s">
        <v>88</v>
      </c>
      <c r="D204" s="41" t="str">
        <f>"Ln "&amp;FIXED(+B201,0)&amp;"+"&amp;FIXED(+B202,0)&amp;"+"&amp;FIXED(+B203,0)</f>
        <v>Ln 45+46+47</v>
      </c>
      <c r="E204" s="111">
        <f aca="true" t="shared" si="45" ref="E204:AH204">E201+E202+E203</f>
        <v>51152</v>
      </c>
      <c r="F204" s="42">
        <f t="shared" si="45"/>
        <v>-180636</v>
      </c>
      <c r="G204" s="1">
        <f t="shared" si="45"/>
        <v>148629</v>
      </c>
      <c r="H204" s="1">
        <f t="shared" si="45"/>
        <v>6708</v>
      </c>
      <c r="I204" s="1">
        <f t="shared" si="45"/>
        <v>32070</v>
      </c>
      <c r="J204" s="67">
        <f t="shared" si="45"/>
        <v>1558</v>
      </c>
      <c r="K204" s="42">
        <f t="shared" si="45"/>
        <v>0</v>
      </c>
      <c r="L204" s="1">
        <f t="shared" si="45"/>
        <v>569</v>
      </c>
      <c r="M204" s="1">
        <f t="shared" si="45"/>
        <v>-918</v>
      </c>
      <c r="N204" s="1">
        <f t="shared" si="45"/>
        <v>115266</v>
      </c>
      <c r="O204" s="1">
        <f t="shared" si="45"/>
        <v>0</v>
      </c>
      <c r="P204" s="67">
        <f t="shared" si="45"/>
        <v>0</v>
      </c>
      <c r="Q204" s="42">
        <f t="shared" si="45"/>
        <v>-72094</v>
      </c>
      <c r="R204" s="1">
        <f t="shared" si="45"/>
        <v>0</v>
      </c>
      <c r="S204" s="1">
        <f t="shared" si="45"/>
        <v>0</v>
      </c>
      <c r="T204" s="1">
        <f t="shared" si="45"/>
        <v>0</v>
      </c>
      <c r="U204" s="1">
        <f t="shared" si="45"/>
        <v>0</v>
      </c>
      <c r="V204" s="67">
        <f t="shared" si="45"/>
        <v>0</v>
      </c>
      <c r="W204" s="42">
        <f t="shared" si="45"/>
        <v>0</v>
      </c>
      <c r="X204" s="1">
        <f t="shared" si="45"/>
        <v>0</v>
      </c>
      <c r="Y204" s="1">
        <f t="shared" si="45"/>
        <v>0</v>
      </c>
      <c r="Z204" s="1">
        <f t="shared" si="45"/>
        <v>0</v>
      </c>
      <c r="AA204" s="1">
        <f t="shared" si="45"/>
        <v>0</v>
      </c>
      <c r="AB204" s="67">
        <f t="shared" si="45"/>
        <v>0</v>
      </c>
      <c r="AC204" s="42">
        <f t="shared" si="45"/>
        <v>0</v>
      </c>
      <c r="AD204" s="1">
        <f t="shared" si="45"/>
        <v>0</v>
      </c>
      <c r="AE204" s="1">
        <f t="shared" si="45"/>
        <v>0</v>
      </c>
      <c r="AF204" s="1">
        <f t="shared" si="45"/>
        <v>0</v>
      </c>
      <c r="AG204" s="1">
        <f t="shared" si="45"/>
        <v>0</v>
      </c>
      <c r="AH204" s="67">
        <f t="shared" si="45"/>
        <v>0</v>
      </c>
      <c r="AI204" s="4"/>
    </row>
    <row r="205" spans="1:35" ht="13.5" customHeight="1">
      <c r="A205" s="4"/>
      <c r="B205" s="35"/>
      <c r="C205" s="40"/>
      <c r="D205" s="40"/>
      <c r="E205" s="39"/>
      <c r="F205" s="4"/>
      <c r="G205" s="4"/>
      <c r="H205" s="4"/>
      <c r="I205" s="4"/>
      <c r="J205" s="18"/>
      <c r="K205" s="40"/>
      <c r="L205" s="4"/>
      <c r="M205" s="4"/>
      <c r="N205" s="4"/>
      <c r="O205" s="4"/>
      <c r="P205" s="18"/>
      <c r="Q205" s="40"/>
      <c r="R205" s="4"/>
      <c r="S205" s="4"/>
      <c r="T205" s="4"/>
      <c r="U205" s="4"/>
      <c r="V205" s="18"/>
      <c r="W205" s="40"/>
      <c r="X205" s="4"/>
      <c r="Y205" s="4"/>
      <c r="Z205" s="4"/>
      <c r="AA205" s="4"/>
      <c r="AB205" s="18"/>
      <c r="AC205" s="40"/>
      <c r="AD205" s="4"/>
      <c r="AE205" s="4"/>
      <c r="AF205" s="4"/>
      <c r="AG205" s="4"/>
      <c r="AH205" s="18"/>
      <c r="AI205" s="4"/>
    </row>
    <row r="206" spans="1:35" ht="13.5" customHeight="1">
      <c r="A206" s="4"/>
      <c r="B206" s="41">
        <f>B204+1</f>
        <v>49</v>
      </c>
      <c r="C206" s="42" t="s">
        <v>89</v>
      </c>
      <c r="D206" s="42" t="str">
        <f>"Ln "&amp;FIXED(+B204,0)&amp;" x ("&amp;FIXED(+$E$372*100,2)&amp;"%/100)"</f>
        <v>Ln 48 x (34.00%/100)</v>
      </c>
      <c r="E206" s="137">
        <f aca="true" t="shared" si="46" ref="E206:AH206">E204*$E$372</f>
        <v>17391.680000000004</v>
      </c>
      <c r="F206" s="138">
        <f t="shared" si="46"/>
        <v>-61416.24000000001</v>
      </c>
      <c r="G206" s="138">
        <f t="shared" si="46"/>
        <v>50533.860000000015</v>
      </c>
      <c r="H206" s="138">
        <f t="shared" si="46"/>
        <v>2280.7200000000007</v>
      </c>
      <c r="I206" s="138">
        <f t="shared" si="46"/>
        <v>10903.800000000003</v>
      </c>
      <c r="J206" s="139">
        <f t="shared" si="46"/>
        <v>529.7200000000001</v>
      </c>
      <c r="K206" s="140">
        <f t="shared" si="46"/>
        <v>0</v>
      </c>
      <c r="L206" s="138">
        <f t="shared" si="46"/>
        <v>193.46000000000004</v>
      </c>
      <c r="M206" s="138">
        <f t="shared" si="46"/>
        <v>-312.12000000000006</v>
      </c>
      <c r="N206" s="138">
        <f t="shared" si="46"/>
        <v>39190.44000000001</v>
      </c>
      <c r="O206" s="138">
        <f t="shared" si="46"/>
        <v>0</v>
      </c>
      <c r="P206" s="139">
        <f t="shared" si="46"/>
        <v>0</v>
      </c>
      <c r="Q206" s="140">
        <f t="shared" si="46"/>
        <v>-24511.960000000006</v>
      </c>
      <c r="R206" s="138">
        <f t="shared" si="46"/>
        <v>0</v>
      </c>
      <c r="S206" s="138">
        <f t="shared" si="46"/>
        <v>0</v>
      </c>
      <c r="T206" s="138">
        <f t="shared" si="46"/>
        <v>0</v>
      </c>
      <c r="U206" s="138">
        <f t="shared" si="46"/>
        <v>0</v>
      </c>
      <c r="V206" s="139">
        <f t="shared" si="46"/>
        <v>0</v>
      </c>
      <c r="W206" s="140">
        <f t="shared" si="46"/>
        <v>0</v>
      </c>
      <c r="X206" s="138">
        <f t="shared" si="46"/>
        <v>0</v>
      </c>
      <c r="Y206" s="138">
        <f t="shared" si="46"/>
        <v>0</v>
      </c>
      <c r="Z206" s="138">
        <f t="shared" si="46"/>
        <v>0</v>
      </c>
      <c r="AA206" s="138">
        <f t="shared" si="46"/>
        <v>0</v>
      </c>
      <c r="AB206" s="139">
        <f t="shared" si="46"/>
        <v>0</v>
      </c>
      <c r="AC206" s="140">
        <f t="shared" si="46"/>
        <v>0</v>
      </c>
      <c r="AD206" s="138">
        <f t="shared" si="46"/>
        <v>0</v>
      </c>
      <c r="AE206" s="138">
        <f t="shared" si="46"/>
        <v>0</v>
      </c>
      <c r="AF206" s="138">
        <f t="shared" si="46"/>
        <v>0</v>
      </c>
      <c r="AG206" s="138">
        <f t="shared" si="46"/>
        <v>0</v>
      </c>
      <c r="AH206" s="139">
        <f t="shared" si="46"/>
        <v>0</v>
      </c>
      <c r="AI206" s="4"/>
    </row>
    <row r="207" spans="1:35" ht="13.5" customHeight="1">
      <c r="A207" s="4"/>
      <c r="B207" s="35"/>
      <c r="C207" s="40" t="s">
        <v>90</v>
      </c>
      <c r="D207" s="41"/>
      <c r="E207" s="141"/>
      <c r="F207" s="94"/>
      <c r="G207" s="94"/>
      <c r="H207" s="94"/>
      <c r="I207" s="94"/>
      <c r="J207" s="95"/>
      <c r="K207" s="93"/>
      <c r="L207" s="94"/>
      <c r="M207" s="94"/>
      <c r="N207" s="94"/>
      <c r="O207" s="94"/>
      <c r="P207" s="95"/>
      <c r="Q207" s="93"/>
      <c r="R207" s="94"/>
      <c r="S207" s="94"/>
      <c r="T207" s="94"/>
      <c r="U207" s="94"/>
      <c r="V207" s="95"/>
      <c r="W207" s="93"/>
      <c r="X207" s="94"/>
      <c r="Y207" s="94"/>
      <c r="Z207" s="94"/>
      <c r="AA207" s="94"/>
      <c r="AB207" s="95"/>
      <c r="AC207" s="93"/>
      <c r="AD207" s="94"/>
      <c r="AE207" s="94"/>
      <c r="AF207" s="94"/>
      <c r="AG207" s="94"/>
      <c r="AH207" s="95"/>
      <c r="AI207" s="4"/>
    </row>
    <row r="208" spans="1:35" ht="13.5" customHeight="1">
      <c r="A208" s="4"/>
      <c r="B208" s="41">
        <f>B206+1</f>
        <v>50</v>
      </c>
      <c r="C208" s="42" t="s">
        <v>91</v>
      </c>
      <c r="D208" s="41" t="s">
        <v>36</v>
      </c>
      <c r="E208" s="137">
        <f>SUM(F208:AH208)</f>
        <v>17391.680000000008</v>
      </c>
      <c r="F208" s="91">
        <f aca="true" t="shared" si="47" ref="F208:AH208">F206</f>
        <v>-61416.24000000001</v>
      </c>
      <c r="G208" s="91">
        <f t="shared" si="47"/>
        <v>50533.860000000015</v>
      </c>
      <c r="H208" s="91">
        <f t="shared" si="47"/>
        <v>2280.7200000000007</v>
      </c>
      <c r="I208" s="91">
        <f t="shared" si="47"/>
        <v>10903.800000000003</v>
      </c>
      <c r="J208" s="92">
        <f t="shared" si="47"/>
        <v>529.7200000000001</v>
      </c>
      <c r="K208" s="91">
        <f t="shared" si="47"/>
        <v>0</v>
      </c>
      <c r="L208" s="91">
        <f t="shared" si="47"/>
        <v>193.46000000000004</v>
      </c>
      <c r="M208" s="91">
        <f t="shared" si="47"/>
        <v>-312.12000000000006</v>
      </c>
      <c r="N208" s="91">
        <f t="shared" si="47"/>
        <v>39190.44000000001</v>
      </c>
      <c r="O208" s="91">
        <f t="shared" si="47"/>
        <v>0</v>
      </c>
      <c r="P208" s="92">
        <f t="shared" si="47"/>
        <v>0</v>
      </c>
      <c r="Q208" s="91">
        <f t="shared" si="47"/>
        <v>-24511.960000000006</v>
      </c>
      <c r="R208" s="91">
        <f t="shared" si="47"/>
        <v>0</v>
      </c>
      <c r="S208" s="91">
        <f t="shared" si="47"/>
        <v>0</v>
      </c>
      <c r="T208" s="91">
        <f t="shared" si="47"/>
        <v>0</v>
      </c>
      <c r="U208" s="91">
        <f t="shared" si="47"/>
        <v>0</v>
      </c>
      <c r="V208" s="92">
        <f t="shared" si="47"/>
        <v>0</v>
      </c>
      <c r="W208" s="90">
        <f t="shared" si="47"/>
        <v>0</v>
      </c>
      <c r="X208" s="91">
        <f t="shared" si="47"/>
        <v>0</v>
      </c>
      <c r="Y208" s="91">
        <f t="shared" si="47"/>
        <v>0</v>
      </c>
      <c r="Z208" s="91">
        <f t="shared" si="47"/>
        <v>0</v>
      </c>
      <c r="AA208" s="91">
        <f t="shared" si="47"/>
        <v>0</v>
      </c>
      <c r="AB208" s="139">
        <f t="shared" si="47"/>
        <v>0</v>
      </c>
      <c r="AC208" s="90">
        <f t="shared" si="47"/>
        <v>0</v>
      </c>
      <c r="AD208" s="91">
        <f t="shared" si="47"/>
        <v>0</v>
      </c>
      <c r="AE208" s="91">
        <f t="shared" si="47"/>
        <v>0</v>
      </c>
      <c r="AF208" s="91">
        <f t="shared" si="47"/>
        <v>0</v>
      </c>
      <c r="AG208" s="91">
        <f t="shared" si="47"/>
        <v>0</v>
      </c>
      <c r="AH208" s="139">
        <f t="shared" si="47"/>
        <v>0</v>
      </c>
      <c r="AI208" s="4"/>
    </row>
    <row r="209" spans="1:35" ht="13.5" customHeight="1">
      <c r="A209" s="4"/>
      <c r="B209" s="35"/>
      <c r="C209" s="40"/>
      <c r="D209" s="40"/>
      <c r="E209" s="39"/>
      <c r="F209" s="4"/>
      <c r="G209" s="4"/>
      <c r="H209" s="4"/>
      <c r="I209" s="4"/>
      <c r="J209" s="18"/>
      <c r="K209" s="40"/>
      <c r="L209" s="4"/>
      <c r="M209" s="4"/>
      <c r="N209" s="4"/>
      <c r="O209" s="4"/>
      <c r="P209" s="67"/>
      <c r="Q209" s="40"/>
      <c r="R209" s="4"/>
      <c r="S209" s="4"/>
      <c r="T209" s="4"/>
      <c r="U209" s="4"/>
      <c r="V209" s="18"/>
      <c r="W209" s="40"/>
      <c r="X209" s="4"/>
      <c r="Y209" s="4"/>
      <c r="Z209" s="4"/>
      <c r="AA209" s="4"/>
      <c r="AB209" s="18"/>
      <c r="AC209" s="40"/>
      <c r="AD209" s="4"/>
      <c r="AE209" s="4"/>
      <c r="AF209" s="4"/>
      <c r="AG209" s="4"/>
      <c r="AH209" s="18"/>
      <c r="AI209" s="4"/>
    </row>
    <row r="210" spans="1:35" ht="13.5" customHeight="1">
      <c r="A210" s="4"/>
      <c r="B210" s="35"/>
      <c r="C210" s="89" t="s">
        <v>70</v>
      </c>
      <c r="D210" s="42"/>
      <c r="E210" s="39"/>
      <c r="F210" s="4"/>
      <c r="G210" s="4"/>
      <c r="H210" s="4"/>
      <c r="I210" s="4"/>
      <c r="J210" s="18"/>
      <c r="K210" s="40"/>
      <c r="L210" s="4"/>
      <c r="M210" s="4"/>
      <c r="N210" s="4"/>
      <c r="O210" s="4"/>
      <c r="P210" s="18"/>
      <c r="Q210" s="40"/>
      <c r="R210" s="4"/>
      <c r="S210" s="4"/>
      <c r="T210" s="4"/>
      <c r="U210" s="4"/>
      <c r="V210" s="18"/>
      <c r="W210" s="40"/>
      <c r="X210" s="4"/>
      <c r="Y210" s="4"/>
      <c r="Z210" s="4"/>
      <c r="AA210" s="4"/>
      <c r="AB210" s="18"/>
      <c r="AC210" s="40"/>
      <c r="AD210" s="4"/>
      <c r="AE210" s="4"/>
      <c r="AF210" s="4"/>
      <c r="AG210" s="4"/>
      <c r="AH210" s="18"/>
      <c r="AI210" s="4"/>
    </row>
    <row r="211" spans="1:35" ht="13.5" customHeight="1">
      <c r="A211" s="4"/>
      <c r="B211" s="35"/>
      <c r="C211" s="14" t="s">
        <v>92</v>
      </c>
      <c r="D211" s="40"/>
      <c r="E211" s="39"/>
      <c r="F211" s="4"/>
      <c r="G211" s="4"/>
      <c r="H211" s="4"/>
      <c r="I211" s="4"/>
      <c r="J211" s="18"/>
      <c r="K211" s="40"/>
      <c r="L211" s="4"/>
      <c r="M211" s="4"/>
      <c r="N211" s="4"/>
      <c r="O211" s="4"/>
      <c r="P211" s="18"/>
      <c r="Q211" s="40"/>
      <c r="R211" s="4"/>
      <c r="S211" s="4"/>
      <c r="T211" s="4"/>
      <c r="U211" s="4"/>
      <c r="V211" s="18"/>
      <c r="W211" s="40"/>
      <c r="X211" s="4"/>
      <c r="Y211" s="4"/>
      <c r="Z211" s="4"/>
      <c r="AA211" s="4"/>
      <c r="AB211" s="18"/>
      <c r="AC211" s="40"/>
      <c r="AD211" s="4"/>
      <c r="AE211" s="4"/>
      <c r="AF211" s="4"/>
      <c r="AG211" s="4"/>
      <c r="AH211" s="18"/>
      <c r="AI211" s="4"/>
    </row>
    <row r="212" spans="1:35" ht="13.5" customHeight="1">
      <c r="A212" s="4"/>
      <c r="B212" s="41">
        <f>B208+1</f>
        <v>51</v>
      </c>
      <c r="C212" s="42" t="s">
        <v>93</v>
      </c>
      <c r="D212" s="41" t="s">
        <v>36</v>
      </c>
      <c r="E212" s="112">
        <f>SUM(F212:AH212)</f>
        <v>-416662</v>
      </c>
      <c r="F212" s="113">
        <v>0</v>
      </c>
      <c r="G212" s="113">
        <v>0</v>
      </c>
      <c r="H212" s="113">
        <v>0</v>
      </c>
      <c r="I212" s="113">
        <v>0</v>
      </c>
      <c r="J212" s="114">
        <v>0</v>
      </c>
      <c r="K212" s="44">
        <v>0</v>
      </c>
      <c r="L212" s="113">
        <v>0</v>
      </c>
      <c r="M212" s="113">
        <v>0</v>
      </c>
      <c r="N212" s="113">
        <v>0</v>
      </c>
      <c r="O212" s="113">
        <v>0</v>
      </c>
      <c r="P212" s="114">
        <v>0</v>
      </c>
      <c r="Q212" s="44">
        <v>0</v>
      </c>
      <c r="R212" s="113">
        <v>0</v>
      </c>
      <c r="S212" s="113">
        <v>-416662</v>
      </c>
      <c r="T212" s="113">
        <v>0</v>
      </c>
      <c r="U212" s="113">
        <v>0</v>
      </c>
      <c r="V212" s="114">
        <v>0</v>
      </c>
      <c r="W212" s="44">
        <v>0</v>
      </c>
      <c r="X212" s="113">
        <v>0</v>
      </c>
      <c r="Y212" s="113">
        <v>0</v>
      </c>
      <c r="Z212" s="113">
        <v>0</v>
      </c>
      <c r="AA212" s="113">
        <v>0</v>
      </c>
      <c r="AB212" s="114">
        <v>0</v>
      </c>
      <c r="AC212" s="44">
        <v>0</v>
      </c>
      <c r="AD212" s="113">
        <v>0</v>
      </c>
      <c r="AE212" s="113">
        <v>0</v>
      </c>
      <c r="AF212" s="113">
        <v>0</v>
      </c>
      <c r="AG212" s="113">
        <v>0</v>
      </c>
      <c r="AH212" s="114">
        <v>0</v>
      </c>
      <c r="AI212" s="4"/>
    </row>
    <row r="213" spans="1:35" ht="13.5" customHeight="1">
      <c r="A213" s="4"/>
      <c r="B213" s="41">
        <f>B212+1</f>
        <v>52</v>
      </c>
      <c r="C213" s="42"/>
      <c r="D213" s="41" t="s">
        <v>36</v>
      </c>
      <c r="E213" s="39">
        <f>SUM(F213:AH213)</f>
        <v>0</v>
      </c>
      <c r="F213" s="2">
        <v>0</v>
      </c>
      <c r="G213" s="2">
        <v>0</v>
      </c>
      <c r="H213" s="2">
        <v>0</v>
      </c>
      <c r="I213" s="2">
        <v>0</v>
      </c>
      <c r="J213" s="115">
        <v>0</v>
      </c>
      <c r="K213" s="48">
        <v>0</v>
      </c>
      <c r="L213" s="2">
        <v>0</v>
      </c>
      <c r="M213" s="2">
        <v>0</v>
      </c>
      <c r="N213" s="2">
        <v>0</v>
      </c>
      <c r="O213" s="2">
        <v>0</v>
      </c>
      <c r="P213" s="115">
        <v>0</v>
      </c>
      <c r="Q213" s="48">
        <v>0</v>
      </c>
      <c r="R213" s="2">
        <v>0</v>
      </c>
      <c r="S213" s="2">
        <v>0</v>
      </c>
      <c r="T213" s="2">
        <v>0</v>
      </c>
      <c r="U213" s="2">
        <v>0</v>
      </c>
      <c r="V213" s="115">
        <v>0</v>
      </c>
      <c r="W213" s="48">
        <v>0</v>
      </c>
      <c r="X213" s="2">
        <v>0</v>
      </c>
      <c r="Y213" s="2">
        <v>0</v>
      </c>
      <c r="Z213" s="2">
        <v>0</v>
      </c>
      <c r="AA213" s="2">
        <v>0</v>
      </c>
      <c r="AB213" s="115">
        <v>0</v>
      </c>
      <c r="AC213" s="48">
        <v>0</v>
      </c>
      <c r="AD213" s="2">
        <v>0</v>
      </c>
      <c r="AE213" s="2">
        <v>0</v>
      </c>
      <c r="AF213" s="2">
        <v>0</v>
      </c>
      <c r="AG213" s="2">
        <v>0</v>
      </c>
      <c r="AH213" s="115">
        <v>0</v>
      </c>
      <c r="AI213" s="4"/>
    </row>
    <row r="214" spans="1:35" ht="13.5" customHeight="1">
      <c r="A214" s="4"/>
      <c r="B214" s="41">
        <f>B213+1</f>
        <v>53</v>
      </c>
      <c r="C214" s="42"/>
      <c r="D214" s="41" t="s">
        <v>36</v>
      </c>
      <c r="E214" s="39">
        <f>SUM(F214:AH214)</f>
        <v>0</v>
      </c>
      <c r="F214" s="1">
        <v>0</v>
      </c>
      <c r="G214" s="1">
        <v>0</v>
      </c>
      <c r="H214" s="1">
        <v>0</v>
      </c>
      <c r="I214" s="1">
        <v>0</v>
      </c>
      <c r="J214" s="67">
        <v>0</v>
      </c>
      <c r="K214" s="42">
        <v>0</v>
      </c>
      <c r="L214" s="1">
        <v>0</v>
      </c>
      <c r="M214" s="1">
        <v>0</v>
      </c>
      <c r="N214" s="1">
        <v>0</v>
      </c>
      <c r="O214" s="1">
        <v>0</v>
      </c>
      <c r="P214" s="67">
        <v>0</v>
      </c>
      <c r="Q214" s="42">
        <v>0</v>
      </c>
      <c r="R214" s="1">
        <v>0</v>
      </c>
      <c r="S214" s="1">
        <v>0</v>
      </c>
      <c r="T214" s="1">
        <v>0</v>
      </c>
      <c r="U214" s="1">
        <v>0</v>
      </c>
      <c r="V214" s="67">
        <v>0</v>
      </c>
      <c r="W214" s="42">
        <v>0</v>
      </c>
      <c r="X214" s="1">
        <v>0</v>
      </c>
      <c r="Y214" s="1">
        <v>0</v>
      </c>
      <c r="Z214" s="1">
        <v>0</v>
      </c>
      <c r="AA214" s="1">
        <v>0</v>
      </c>
      <c r="AB214" s="67">
        <v>0</v>
      </c>
      <c r="AC214" s="42">
        <v>0</v>
      </c>
      <c r="AD214" s="1">
        <v>0</v>
      </c>
      <c r="AE214" s="1">
        <v>0</v>
      </c>
      <c r="AF214" s="1">
        <v>0</v>
      </c>
      <c r="AG214" s="1">
        <v>0</v>
      </c>
      <c r="AH214" s="67">
        <v>0</v>
      </c>
      <c r="AI214" s="4"/>
    </row>
    <row r="215" spans="1:35" ht="13.5" customHeight="1">
      <c r="A215" s="4"/>
      <c r="B215" s="41">
        <f>B214+1</f>
        <v>54</v>
      </c>
      <c r="C215" s="42"/>
      <c r="D215" s="41" t="s">
        <v>36</v>
      </c>
      <c r="E215" s="39">
        <f>SUM(F215:AH215)</f>
        <v>0</v>
      </c>
      <c r="F215" s="1">
        <v>0</v>
      </c>
      <c r="G215" s="1">
        <v>0</v>
      </c>
      <c r="H215" s="1">
        <v>0</v>
      </c>
      <c r="I215" s="1">
        <v>0</v>
      </c>
      <c r="J215" s="67">
        <v>0</v>
      </c>
      <c r="K215" s="42">
        <v>0</v>
      </c>
      <c r="L215" s="1">
        <v>0</v>
      </c>
      <c r="M215" s="1">
        <v>0</v>
      </c>
      <c r="N215" s="1">
        <v>0</v>
      </c>
      <c r="O215" s="1">
        <v>0</v>
      </c>
      <c r="P215" s="67">
        <v>0</v>
      </c>
      <c r="Q215" s="42">
        <v>0</v>
      </c>
      <c r="R215" s="1">
        <v>0</v>
      </c>
      <c r="S215" s="1">
        <v>0</v>
      </c>
      <c r="T215" s="1">
        <v>0</v>
      </c>
      <c r="U215" s="1">
        <v>0</v>
      </c>
      <c r="V215" s="67">
        <v>0</v>
      </c>
      <c r="W215" s="42">
        <v>0</v>
      </c>
      <c r="X215" s="1">
        <v>0</v>
      </c>
      <c r="Y215" s="1">
        <v>0</v>
      </c>
      <c r="Z215" s="1">
        <v>0</v>
      </c>
      <c r="AA215" s="1">
        <v>0</v>
      </c>
      <c r="AB215" s="67">
        <v>0</v>
      </c>
      <c r="AC215" s="42">
        <v>0</v>
      </c>
      <c r="AD215" s="1">
        <v>0</v>
      </c>
      <c r="AE215" s="1">
        <v>0</v>
      </c>
      <c r="AF215" s="1">
        <v>0</v>
      </c>
      <c r="AG215" s="1">
        <v>0</v>
      </c>
      <c r="AH215" s="67">
        <v>0</v>
      </c>
      <c r="AI215" s="4"/>
    </row>
    <row r="216" spans="1:35" ht="13.5" customHeight="1">
      <c r="A216" s="4"/>
      <c r="B216" s="41">
        <f>B215+1</f>
        <v>55</v>
      </c>
      <c r="C216" s="42"/>
      <c r="D216" s="41" t="s">
        <v>36</v>
      </c>
      <c r="E216" s="39">
        <f>SUM(F216:AH216)</f>
        <v>0</v>
      </c>
      <c r="F216" s="1">
        <v>0</v>
      </c>
      <c r="G216" s="1">
        <v>0</v>
      </c>
      <c r="H216" s="1">
        <v>0</v>
      </c>
      <c r="I216" s="1">
        <v>0</v>
      </c>
      <c r="J216" s="67">
        <v>0</v>
      </c>
      <c r="K216" s="42">
        <v>0</v>
      </c>
      <c r="L216" s="1">
        <v>0</v>
      </c>
      <c r="M216" s="1">
        <v>0</v>
      </c>
      <c r="N216" s="1">
        <v>0</v>
      </c>
      <c r="O216" s="1">
        <v>0</v>
      </c>
      <c r="P216" s="67">
        <v>0</v>
      </c>
      <c r="Q216" s="42">
        <v>0</v>
      </c>
      <c r="R216" s="1">
        <v>0</v>
      </c>
      <c r="S216" s="1">
        <v>0</v>
      </c>
      <c r="T216" s="1">
        <v>0</v>
      </c>
      <c r="U216" s="1">
        <v>0</v>
      </c>
      <c r="V216" s="67">
        <v>0</v>
      </c>
      <c r="W216" s="42">
        <v>0</v>
      </c>
      <c r="X216" s="1">
        <v>0</v>
      </c>
      <c r="Y216" s="1">
        <v>0</v>
      </c>
      <c r="Z216" s="1">
        <v>0</v>
      </c>
      <c r="AA216" s="1">
        <v>0</v>
      </c>
      <c r="AB216" s="67">
        <v>0</v>
      </c>
      <c r="AC216" s="42">
        <v>0</v>
      </c>
      <c r="AD216" s="1">
        <v>0</v>
      </c>
      <c r="AE216" s="1">
        <v>0</v>
      </c>
      <c r="AF216" s="1">
        <v>0</v>
      </c>
      <c r="AG216" s="1">
        <v>0</v>
      </c>
      <c r="AH216" s="67">
        <v>0</v>
      </c>
      <c r="AI216" s="4"/>
    </row>
    <row r="217" spans="1:35" ht="13.5" customHeight="1">
      <c r="A217" s="4"/>
      <c r="B217" s="41">
        <f>B216+1</f>
        <v>56</v>
      </c>
      <c r="C217" s="14" t="s">
        <v>94</v>
      </c>
      <c r="D217" s="41" t="str">
        <f>"Ln +"&amp;FIXED(+B212,0)&amp;"...+"&amp;FIXED(+B216,0)</f>
        <v>Ln +51...+55</v>
      </c>
      <c r="E217" s="142">
        <f aca="true" t="shared" si="48" ref="E217:AH217">SUM(E212:E216)</f>
        <v>-416662</v>
      </c>
      <c r="F217" s="97">
        <f t="shared" si="48"/>
        <v>0</v>
      </c>
      <c r="G217" s="97">
        <f t="shared" si="48"/>
        <v>0</v>
      </c>
      <c r="H217" s="97">
        <f t="shared" si="48"/>
        <v>0</v>
      </c>
      <c r="I217" s="97">
        <f t="shared" si="48"/>
        <v>0</v>
      </c>
      <c r="J217" s="98">
        <f t="shared" si="48"/>
        <v>0</v>
      </c>
      <c r="K217" s="96">
        <f t="shared" si="48"/>
        <v>0</v>
      </c>
      <c r="L217" s="97">
        <f t="shared" si="48"/>
        <v>0</v>
      </c>
      <c r="M217" s="97">
        <f t="shared" si="48"/>
        <v>0</v>
      </c>
      <c r="N217" s="97">
        <f t="shared" si="48"/>
        <v>0</v>
      </c>
      <c r="O217" s="97">
        <f t="shared" si="48"/>
        <v>0</v>
      </c>
      <c r="P217" s="98">
        <f t="shared" si="48"/>
        <v>0</v>
      </c>
      <c r="Q217" s="96">
        <f t="shared" si="48"/>
        <v>0</v>
      </c>
      <c r="R217" s="97">
        <f t="shared" si="48"/>
        <v>0</v>
      </c>
      <c r="S217" s="97">
        <f t="shared" si="48"/>
        <v>-416662</v>
      </c>
      <c r="T217" s="97">
        <f t="shared" si="48"/>
        <v>0</v>
      </c>
      <c r="U217" s="97">
        <f t="shared" si="48"/>
        <v>0</v>
      </c>
      <c r="V217" s="98">
        <f t="shared" si="48"/>
        <v>0</v>
      </c>
      <c r="W217" s="96">
        <f t="shared" si="48"/>
        <v>0</v>
      </c>
      <c r="X217" s="97">
        <f t="shared" si="48"/>
        <v>0</v>
      </c>
      <c r="Y217" s="97">
        <f t="shared" si="48"/>
        <v>0</v>
      </c>
      <c r="Z217" s="97">
        <f t="shared" si="48"/>
        <v>0</v>
      </c>
      <c r="AA217" s="97">
        <f t="shared" si="48"/>
        <v>0</v>
      </c>
      <c r="AB217" s="98">
        <f t="shared" si="48"/>
        <v>0</v>
      </c>
      <c r="AC217" s="96">
        <f t="shared" si="48"/>
        <v>0</v>
      </c>
      <c r="AD217" s="97">
        <f t="shared" si="48"/>
        <v>0</v>
      </c>
      <c r="AE217" s="97">
        <f t="shared" si="48"/>
        <v>0</v>
      </c>
      <c r="AF217" s="97">
        <f t="shared" si="48"/>
        <v>0</v>
      </c>
      <c r="AG217" s="97">
        <f t="shared" si="48"/>
        <v>0</v>
      </c>
      <c r="AH217" s="98">
        <f t="shared" si="48"/>
        <v>0</v>
      </c>
      <c r="AI217" s="4"/>
    </row>
    <row r="218" spans="1:35" ht="13.5" customHeight="1">
      <c r="A218" s="4"/>
      <c r="B218" s="41"/>
      <c r="C218" s="14"/>
      <c r="D218" s="41"/>
      <c r="E218" s="142"/>
      <c r="F218" s="97"/>
      <c r="G218" s="97"/>
      <c r="H218" s="97"/>
      <c r="I218" s="97"/>
      <c r="J218" s="98"/>
      <c r="K218" s="96"/>
      <c r="L218" s="97"/>
      <c r="M218" s="97"/>
      <c r="N218" s="97"/>
      <c r="O218" s="97"/>
      <c r="P218" s="98"/>
      <c r="Q218" s="96"/>
      <c r="R218" s="97"/>
      <c r="S218" s="97"/>
      <c r="T218" s="97"/>
      <c r="U218" s="97"/>
      <c r="V218" s="98"/>
      <c r="W218" s="96"/>
      <c r="X218" s="97"/>
      <c r="Y218" s="97"/>
      <c r="Z218" s="97"/>
      <c r="AA218" s="97"/>
      <c r="AB218" s="98"/>
      <c r="AC218" s="96"/>
      <c r="AD218" s="97"/>
      <c r="AE218" s="97"/>
      <c r="AF218" s="97"/>
      <c r="AG218" s="97"/>
      <c r="AH218" s="98"/>
      <c r="AI218" s="4"/>
    </row>
    <row r="219" spans="1:35" ht="13.5" customHeight="1">
      <c r="A219" s="4"/>
      <c r="B219" s="41">
        <f>B217+1</f>
        <v>57</v>
      </c>
      <c r="C219" s="14" t="s">
        <v>95</v>
      </c>
      <c r="D219" s="41" t="s">
        <v>36</v>
      </c>
      <c r="E219" s="39">
        <f>SUM(F219:AH219)</f>
        <v>-292460</v>
      </c>
      <c r="F219" s="2">
        <v>0</v>
      </c>
      <c r="G219" s="2">
        <v>0</v>
      </c>
      <c r="H219" s="2">
        <v>0</v>
      </c>
      <c r="I219" s="2">
        <v>0</v>
      </c>
      <c r="J219" s="115">
        <v>0</v>
      </c>
      <c r="K219" s="48">
        <v>0</v>
      </c>
      <c r="L219" s="2">
        <v>0</v>
      </c>
      <c r="M219" s="2">
        <v>0</v>
      </c>
      <c r="N219" s="2">
        <v>0</v>
      </c>
      <c r="O219" s="2">
        <v>0</v>
      </c>
      <c r="P219" s="115">
        <v>0</v>
      </c>
      <c r="Q219" s="48">
        <v>0</v>
      </c>
      <c r="R219" s="2">
        <v>0</v>
      </c>
      <c r="S219" s="2">
        <v>-292460</v>
      </c>
      <c r="T219" s="2">
        <v>0</v>
      </c>
      <c r="U219" s="2">
        <v>0</v>
      </c>
      <c r="V219" s="115">
        <v>0</v>
      </c>
      <c r="W219" s="48">
        <v>0</v>
      </c>
      <c r="X219" s="2">
        <v>0</v>
      </c>
      <c r="Y219" s="2">
        <v>0</v>
      </c>
      <c r="Z219" s="2">
        <v>0</v>
      </c>
      <c r="AA219" s="2">
        <v>0</v>
      </c>
      <c r="AB219" s="115">
        <v>0</v>
      </c>
      <c r="AC219" s="48">
        <v>0</v>
      </c>
      <c r="AD219" s="2">
        <v>0</v>
      </c>
      <c r="AE219" s="2">
        <f>AE144/2</f>
        <v>0</v>
      </c>
      <c r="AF219" s="2">
        <v>0</v>
      </c>
      <c r="AG219" s="2">
        <v>0</v>
      </c>
      <c r="AH219" s="115">
        <v>0</v>
      </c>
      <c r="AI219" s="4"/>
    </row>
    <row r="220" spans="1:35" ht="13.5" customHeight="1">
      <c r="A220" s="4"/>
      <c r="B220" s="41">
        <f>B219+1</f>
        <v>58</v>
      </c>
      <c r="C220" s="14" t="s">
        <v>96</v>
      </c>
      <c r="D220" s="41" t="s">
        <v>36</v>
      </c>
      <c r="E220" s="39">
        <f>SUM(F220:AH220)</f>
        <v>0</v>
      </c>
      <c r="F220" s="2">
        <v>0</v>
      </c>
      <c r="G220" s="2">
        <v>0</v>
      </c>
      <c r="H220" s="2">
        <v>0</v>
      </c>
      <c r="I220" s="2">
        <v>0</v>
      </c>
      <c r="J220" s="115">
        <v>0</v>
      </c>
      <c r="K220" s="48">
        <v>0</v>
      </c>
      <c r="L220" s="2">
        <v>0</v>
      </c>
      <c r="M220" s="2">
        <v>0</v>
      </c>
      <c r="N220" s="2">
        <v>0</v>
      </c>
      <c r="O220" s="2">
        <v>0</v>
      </c>
      <c r="P220" s="115">
        <v>0</v>
      </c>
      <c r="Q220" s="48">
        <v>0</v>
      </c>
      <c r="R220" s="2">
        <v>0</v>
      </c>
      <c r="S220" s="2">
        <v>0</v>
      </c>
      <c r="T220" s="2">
        <v>0</v>
      </c>
      <c r="U220" s="2">
        <v>0</v>
      </c>
      <c r="V220" s="115">
        <v>0</v>
      </c>
      <c r="W220" s="48">
        <v>0</v>
      </c>
      <c r="X220" s="2">
        <v>0</v>
      </c>
      <c r="Y220" s="2">
        <v>0</v>
      </c>
      <c r="Z220" s="2">
        <v>0</v>
      </c>
      <c r="AA220" s="2">
        <v>0</v>
      </c>
      <c r="AB220" s="115">
        <v>0</v>
      </c>
      <c r="AC220" s="48">
        <v>0</v>
      </c>
      <c r="AD220" s="2">
        <v>0</v>
      </c>
      <c r="AE220" s="2">
        <v>0</v>
      </c>
      <c r="AF220" s="2">
        <v>0</v>
      </c>
      <c r="AG220" s="2">
        <v>0</v>
      </c>
      <c r="AH220" s="115">
        <v>0</v>
      </c>
      <c r="AI220" s="4"/>
    </row>
    <row r="221" spans="1:35" ht="13.5" customHeight="1">
      <c r="A221" s="4"/>
      <c r="B221" s="41">
        <f>B220+1</f>
        <v>59</v>
      </c>
      <c r="C221" s="14" t="s">
        <v>97</v>
      </c>
      <c r="D221" s="41" t="str">
        <f>"Ln "&amp;FIXED(+B219,0)&amp;"+"&amp;FIXED(+B220,0)</f>
        <v>Ln 57+58</v>
      </c>
      <c r="E221" s="116">
        <f aca="true" t="shared" si="49" ref="E221:AH221">E219+E220</f>
        <v>-292460</v>
      </c>
      <c r="F221" s="99">
        <f t="shared" si="49"/>
        <v>0</v>
      </c>
      <c r="G221" s="99">
        <f t="shared" si="49"/>
        <v>0</v>
      </c>
      <c r="H221" s="99">
        <f t="shared" si="49"/>
        <v>0</v>
      </c>
      <c r="I221" s="99">
        <f t="shared" si="49"/>
        <v>0</v>
      </c>
      <c r="J221" s="100">
        <f t="shared" si="49"/>
        <v>0</v>
      </c>
      <c r="K221" s="52">
        <f t="shared" si="49"/>
        <v>0</v>
      </c>
      <c r="L221" s="99">
        <f t="shared" si="49"/>
        <v>0</v>
      </c>
      <c r="M221" s="99">
        <f t="shared" si="49"/>
        <v>0</v>
      </c>
      <c r="N221" s="99">
        <f t="shared" si="49"/>
        <v>0</v>
      </c>
      <c r="O221" s="99">
        <f t="shared" si="49"/>
        <v>0</v>
      </c>
      <c r="P221" s="100">
        <f t="shared" si="49"/>
        <v>0</v>
      </c>
      <c r="Q221" s="52">
        <f t="shared" si="49"/>
        <v>0</v>
      </c>
      <c r="R221" s="99">
        <f t="shared" si="49"/>
        <v>0</v>
      </c>
      <c r="S221" s="99">
        <f t="shared" si="49"/>
        <v>-292460</v>
      </c>
      <c r="T221" s="99">
        <f t="shared" si="49"/>
        <v>0</v>
      </c>
      <c r="U221" s="99">
        <f t="shared" si="49"/>
        <v>0</v>
      </c>
      <c r="V221" s="100">
        <f t="shared" si="49"/>
        <v>0</v>
      </c>
      <c r="W221" s="52">
        <f t="shared" si="49"/>
        <v>0</v>
      </c>
      <c r="X221" s="99">
        <f t="shared" si="49"/>
        <v>0</v>
      </c>
      <c r="Y221" s="99">
        <f t="shared" si="49"/>
        <v>0</v>
      </c>
      <c r="Z221" s="99">
        <f t="shared" si="49"/>
        <v>0</v>
      </c>
      <c r="AA221" s="99">
        <f t="shared" si="49"/>
        <v>0</v>
      </c>
      <c r="AB221" s="100">
        <f t="shared" si="49"/>
        <v>0</v>
      </c>
      <c r="AC221" s="52">
        <f t="shared" si="49"/>
        <v>0</v>
      </c>
      <c r="AD221" s="99">
        <f t="shared" si="49"/>
        <v>0</v>
      </c>
      <c r="AE221" s="99">
        <f t="shared" si="49"/>
        <v>0</v>
      </c>
      <c r="AF221" s="99">
        <f t="shared" si="49"/>
        <v>0</v>
      </c>
      <c r="AG221" s="99">
        <f t="shared" si="49"/>
        <v>0</v>
      </c>
      <c r="AH221" s="100">
        <f t="shared" si="49"/>
        <v>0</v>
      </c>
      <c r="AI221" s="4"/>
    </row>
    <row r="222" spans="1:35" ht="13.5" customHeight="1">
      <c r="A222" s="4"/>
      <c r="B222" s="41">
        <f>B221+1</f>
        <v>60</v>
      </c>
      <c r="C222" s="14" t="s">
        <v>98</v>
      </c>
      <c r="D222" s="41" t="s">
        <v>36</v>
      </c>
      <c r="E222" s="39">
        <f>SUM(F222:AH222)</f>
        <v>24320</v>
      </c>
      <c r="F222" s="2">
        <v>0</v>
      </c>
      <c r="G222" s="2">
        <v>0</v>
      </c>
      <c r="H222" s="2">
        <v>0</v>
      </c>
      <c r="I222" s="2">
        <v>0</v>
      </c>
      <c r="J222" s="115">
        <v>0</v>
      </c>
      <c r="K222" s="48">
        <v>0</v>
      </c>
      <c r="L222" s="2">
        <v>0</v>
      </c>
      <c r="M222" s="2">
        <v>0</v>
      </c>
      <c r="N222" s="2">
        <v>0</v>
      </c>
      <c r="O222" s="2">
        <v>0</v>
      </c>
      <c r="P222" s="115">
        <v>0</v>
      </c>
      <c r="Q222" s="48">
        <v>0</v>
      </c>
      <c r="R222" s="2">
        <v>0</v>
      </c>
      <c r="S222" s="2">
        <v>0</v>
      </c>
      <c r="T222" s="2">
        <v>24320</v>
      </c>
      <c r="U222" s="2">
        <v>0</v>
      </c>
      <c r="V222" s="115">
        <v>0</v>
      </c>
      <c r="W222" s="48">
        <v>0</v>
      </c>
      <c r="X222" s="2">
        <v>0</v>
      </c>
      <c r="Y222" s="2">
        <v>0</v>
      </c>
      <c r="Z222" s="2">
        <v>0</v>
      </c>
      <c r="AA222" s="2">
        <v>0</v>
      </c>
      <c r="AB222" s="115">
        <v>0</v>
      </c>
      <c r="AC222" s="48">
        <v>0</v>
      </c>
      <c r="AD222" s="2">
        <v>0</v>
      </c>
      <c r="AE222" s="2">
        <v>0</v>
      </c>
      <c r="AF222" s="2">
        <v>0</v>
      </c>
      <c r="AG222" s="2">
        <v>0</v>
      </c>
      <c r="AH222" s="115">
        <v>0</v>
      </c>
      <c r="AI222" s="4"/>
    </row>
    <row r="223" spans="1:35" ht="13.5" customHeight="1">
      <c r="A223" s="4"/>
      <c r="B223" s="41">
        <f>B222+1</f>
        <v>61</v>
      </c>
      <c r="C223" s="14" t="s">
        <v>99</v>
      </c>
      <c r="D223" s="41" t="s">
        <v>36</v>
      </c>
      <c r="E223" s="39">
        <f>SUM(F223:AH223)</f>
        <v>0</v>
      </c>
      <c r="F223" s="2">
        <v>0</v>
      </c>
      <c r="G223" s="2">
        <v>0</v>
      </c>
      <c r="H223" s="2">
        <v>0</v>
      </c>
      <c r="I223" s="2">
        <v>0</v>
      </c>
      <c r="J223" s="115">
        <v>0</v>
      </c>
      <c r="K223" s="48">
        <v>0</v>
      </c>
      <c r="L223" s="2">
        <v>0</v>
      </c>
      <c r="M223" s="2">
        <v>0</v>
      </c>
      <c r="N223" s="2"/>
      <c r="O223" s="2">
        <v>0</v>
      </c>
      <c r="P223" s="115">
        <v>0</v>
      </c>
      <c r="Q223" s="48">
        <v>0</v>
      </c>
      <c r="R223" s="2">
        <v>0</v>
      </c>
      <c r="S223" s="2">
        <v>0</v>
      </c>
      <c r="T223" s="2">
        <v>0</v>
      </c>
      <c r="U223" s="2">
        <v>0</v>
      </c>
      <c r="V223" s="115">
        <v>0</v>
      </c>
      <c r="W223" s="48">
        <v>0</v>
      </c>
      <c r="X223" s="2">
        <v>0</v>
      </c>
      <c r="Y223" s="2">
        <v>0</v>
      </c>
      <c r="Z223" s="2">
        <v>0</v>
      </c>
      <c r="AA223" s="2">
        <v>0</v>
      </c>
      <c r="AB223" s="115">
        <v>0</v>
      </c>
      <c r="AC223" s="48">
        <v>0</v>
      </c>
      <c r="AD223" s="2">
        <v>0</v>
      </c>
      <c r="AE223" s="2">
        <v>0</v>
      </c>
      <c r="AF223" s="2">
        <v>0</v>
      </c>
      <c r="AG223" s="2">
        <v>0</v>
      </c>
      <c r="AH223" s="115">
        <v>0</v>
      </c>
      <c r="AI223" s="4"/>
    </row>
    <row r="224" spans="1:35" ht="13.5" customHeight="1">
      <c r="A224" s="4"/>
      <c r="B224" s="35"/>
      <c r="C224" s="40"/>
      <c r="D224" s="41"/>
      <c r="E224" s="39"/>
      <c r="F224" s="4"/>
      <c r="G224" s="4"/>
      <c r="H224" s="4"/>
      <c r="I224" s="4"/>
      <c r="J224" s="18"/>
      <c r="K224" s="40"/>
      <c r="L224" s="4"/>
      <c r="M224" s="4"/>
      <c r="N224" s="4"/>
      <c r="O224" s="4"/>
      <c r="P224" s="18"/>
      <c r="Q224" s="40"/>
      <c r="R224" s="4"/>
      <c r="S224" s="4"/>
      <c r="T224" s="4"/>
      <c r="U224" s="4"/>
      <c r="V224" s="18"/>
      <c r="W224" s="40"/>
      <c r="X224" s="4"/>
      <c r="Y224" s="4"/>
      <c r="Z224" s="4"/>
      <c r="AA224" s="4"/>
      <c r="AB224" s="18"/>
      <c r="AC224" s="40"/>
      <c r="AD224" s="4"/>
      <c r="AE224" s="4"/>
      <c r="AF224" s="4"/>
      <c r="AG224" s="4"/>
      <c r="AH224" s="18"/>
      <c r="AI224" s="4"/>
    </row>
    <row r="225" spans="1:35" ht="13.5" customHeight="1">
      <c r="A225" s="4"/>
      <c r="B225" s="41">
        <f>B223+1</f>
        <v>62</v>
      </c>
      <c r="C225" s="14" t="s">
        <v>100</v>
      </c>
      <c r="D225" s="41" t="s">
        <v>36</v>
      </c>
      <c r="E225" s="39">
        <f>SUM(F225:AH225)</f>
        <v>240945</v>
      </c>
      <c r="F225" s="2">
        <v>0</v>
      </c>
      <c r="G225" s="2">
        <v>0</v>
      </c>
      <c r="H225" s="2">
        <v>0</v>
      </c>
      <c r="I225" s="2">
        <v>0</v>
      </c>
      <c r="J225" s="115">
        <v>0</v>
      </c>
      <c r="K225" s="48">
        <v>0</v>
      </c>
      <c r="L225" s="2">
        <v>0</v>
      </c>
      <c r="M225" s="2">
        <v>0</v>
      </c>
      <c r="N225" s="2">
        <v>0</v>
      </c>
      <c r="O225" s="2">
        <v>0</v>
      </c>
      <c r="P225" s="115">
        <v>0</v>
      </c>
      <c r="Q225" s="48">
        <v>0</v>
      </c>
      <c r="R225" s="2">
        <v>0</v>
      </c>
      <c r="S225" s="2">
        <v>0</v>
      </c>
      <c r="T225" s="2">
        <v>0</v>
      </c>
      <c r="U225" s="2">
        <v>240945</v>
      </c>
      <c r="V225" s="115">
        <v>0</v>
      </c>
      <c r="W225" s="48">
        <v>0</v>
      </c>
      <c r="X225" s="2">
        <v>0</v>
      </c>
      <c r="Y225" s="2">
        <v>0</v>
      </c>
      <c r="Z225" s="2">
        <v>0</v>
      </c>
      <c r="AA225" s="2">
        <v>0</v>
      </c>
      <c r="AB225" s="115">
        <v>0</v>
      </c>
      <c r="AC225" s="48">
        <v>0</v>
      </c>
      <c r="AD225" s="2">
        <v>0</v>
      </c>
      <c r="AE225" s="2">
        <v>0</v>
      </c>
      <c r="AF225" s="49">
        <v>0</v>
      </c>
      <c r="AG225" s="2">
        <v>0</v>
      </c>
      <c r="AH225" s="115">
        <v>0</v>
      </c>
      <c r="AI225" s="4"/>
    </row>
    <row r="226" spans="1:35" ht="13.5" customHeight="1">
      <c r="A226" s="4"/>
      <c r="B226" s="41">
        <f>B225+1</f>
        <v>63</v>
      </c>
      <c r="C226" s="42"/>
      <c r="D226" s="41"/>
      <c r="E226" s="39">
        <f>SUM(F226:AH226)</f>
        <v>0</v>
      </c>
      <c r="F226" s="2">
        <v>0</v>
      </c>
      <c r="G226" s="2">
        <v>0</v>
      </c>
      <c r="H226" s="2">
        <v>0</v>
      </c>
      <c r="I226" s="2">
        <v>0</v>
      </c>
      <c r="J226" s="115">
        <v>0</v>
      </c>
      <c r="K226" s="48">
        <v>0</v>
      </c>
      <c r="L226" s="2">
        <v>0</v>
      </c>
      <c r="M226" s="2">
        <v>0</v>
      </c>
      <c r="N226" s="2">
        <v>0</v>
      </c>
      <c r="O226" s="2">
        <v>0</v>
      </c>
      <c r="P226" s="115">
        <v>0</v>
      </c>
      <c r="Q226" s="48">
        <v>0</v>
      </c>
      <c r="R226" s="2">
        <v>0</v>
      </c>
      <c r="S226" s="2">
        <v>0</v>
      </c>
      <c r="T226" s="2">
        <v>0</v>
      </c>
      <c r="U226" s="2">
        <v>0</v>
      </c>
      <c r="V226" s="115">
        <v>0</v>
      </c>
      <c r="W226" s="48">
        <v>0</v>
      </c>
      <c r="X226" s="2">
        <v>0</v>
      </c>
      <c r="Y226" s="2">
        <v>0</v>
      </c>
      <c r="Z226" s="2">
        <v>0</v>
      </c>
      <c r="AA226" s="2">
        <v>0</v>
      </c>
      <c r="AB226" s="115">
        <v>0</v>
      </c>
      <c r="AC226" s="48">
        <v>0</v>
      </c>
      <c r="AD226" s="2">
        <v>0</v>
      </c>
      <c r="AE226" s="2">
        <v>0</v>
      </c>
      <c r="AF226" s="2">
        <v>0</v>
      </c>
      <c r="AG226" s="2">
        <v>0</v>
      </c>
      <c r="AH226" s="115">
        <v>0</v>
      </c>
      <c r="AI226" s="4"/>
    </row>
    <row r="227" spans="1:35" ht="13.5" customHeight="1">
      <c r="A227" s="4"/>
      <c r="B227" s="41">
        <f>B226+1</f>
        <v>64</v>
      </c>
      <c r="C227" s="42"/>
      <c r="D227" s="41"/>
      <c r="E227" s="39">
        <f>SUM(F227:AH227)</f>
        <v>0</v>
      </c>
      <c r="F227" s="2">
        <v>0</v>
      </c>
      <c r="G227" s="2">
        <v>0</v>
      </c>
      <c r="H227" s="2">
        <v>0</v>
      </c>
      <c r="I227" s="2">
        <v>0</v>
      </c>
      <c r="J227" s="115">
        <v>0</v>
      </c>
      <c r="K227" s="48">
        <v>0</v>
      </c>
      <c r="L227" s="2">
        <v>0</v>
      </c>
      <c r="M227" s="2">
        <v>0</v>
      </c>
      <c r="N227" s="2">
        <v>0</v>
      </c>
      <c r="O227" s="2">
        <v>0</v>
      </c>
      <c r="P227" s="115">
        <v>0</v>
      </c>
      <c r="Q227" s="48">
        <v>0</v>
      </c>
      <c r="R227" s="2">
        <v>0</v>
      </c>
      <c r="S227" s="2">
        <v>0</v>
      </c>
      <c r="T227" s="2">
        <v>0</v>
      </c>
      <c r="U227" s="2">
        <v>0</v>
      </c>
      <c r="V227" s="115">
        <v>0</v>
      </c>
      <c r="W227" s="48">
        <v>0</v>
      </c>
      <c r="X227" s="2">
        <v>0</v>
      </c>
      <c r="Y227" s="2">
        <v>0</v>
      </c>
      <c r="Z227" s="2">
        <v>0</v>
      </c>
      <c r="AA227" s="2">
        <v>0</v>
      </c>
      <c r="AB227" s="115">
        <v>0</v>
      </c>
      <c r="AC227" s="48">
        <v>0</v>
      </c>
      <c r="AD227" s="2">
        <v>0</v>
      </c>
      <c r="AE227" s="2">
        <v>0</v>
      </c>
      <c r="AF227" s="2">
        <v>0</v>
      </c>
      <c r="AG227" s="2">
        <v>0</v>
      </c>
      <c r="AH227" s="115">
        <v>0</v>
      </c>
      <c r="AI227" s="4"/>
    </row>
    <row r="228" spans="1:35" ht="13.5" customHeight="1">
      <c r="A228" s="4"/>
      <c r="B228" s="41">
        <f>B227+1</f>
        <v>65</v>
      </c>
      <c r="C228" s="42"/>
      <c r="D228" s="41"/>
      <c r="E228" s="39">
        <f>SUM(F228:AH228)</f>
        <v>0</v>
      </c>
      <c r="F228" s="2">
        <v>0</v>
      </c>
      <c r="G228" s="2">
        <v>0</v>
      </c>
      <c r="H228" s="2">
        <v>0</v>
      </c>
      <c r="I228" s="2">
        <v>0</v>
      </c>
      <c r="J228" s="115">
        <v>0</v>
      </c>
      <c r="K228" s="48">
        <v>0</v>
      </c>
      <c r="L228" s="2">
        <v>0</v>
      </c>
      <c r="M228" s="2">
        <v>0</v>
      </c>
      <c r="N228" s="2">
        <v>0</v>
      </c>
      <c r="O228" s="2">
        <v>0</v>
      </c>
      <c r="P228" s="115">
        <v>0</v>
      </c>
      <c r="Q228" s="48">
        <v>0</v>
      </c>
      <c r="R228" s="2">
        <v>0</v>
      </c>
      <c r="S228" s="2">
        <v>0</v>
      </c>
      <c r="T228" s="2">
        <v>0</v>
      </c>
      <c r="U228" s="2">
        <v>0</v>
      </c>
      <c r="V228" s="115">
        <v>0</v>
      </c>
      <c r="W228" s="48">
        <v>0</v>
      </c>
      <c r="X228" s="2">
        <v>0</v>
      </c>
      <c r="Y228" s="2">
        <v>0</v>
      </c>
      <c r="Z228" s="2">
        <v>0</v>
      </c>
      <c r="AA228" s="2">
        <v>0</v>
      </c>
      <c r="AB228" s="115">
        <v>0</v>
      </c>
      <c r="AC228" s="48">
        <v>0</v>
      </c>
      <c r="AD228" s="2">
        <v>0</v>
      </c>
      <c r="AE228" s="2">
        <v>0</v>
      </c>
      <c r="AF228" s="2">
        <v>0</v>
      </c>
      <c r="AG228" s="2">
        <v>0</v>
      </c>
      <c r="AH228" s="115">
        <v>0</v>
      </c>
      <c r="AI228" s="4"/>
    </row>
    <row r="229" spans="1:35" ht="13.5" customHeight="1">
      <c r="A229" s="4"/>
      <c r="B229" s="41">
        <f>B228+1</f>
        <v>66</v>
      </c>
      <c r="C229" s="40"/>
      <c r="D229" s="40"/>
      <c r="E229" s="143"/>
      <c r="F229" s="144"/>
      <c r="G229" s="144"/>
      <c r="H229" s="144"/>
      <c r="I229" s="144"/>
      <c r="J229" s="145"/>
      <c r="K229" s="101"/>
      <c r="L229" s="144"/>
      <c r="M229" s="144"/>
      <c r="N229" s="144"/>
      <c r="O229" s="144"/>
      <c r="P229" s="145"/>
      <c r="Q229" s="101"/>
      <c r="R229" s="144"/>
      <c r="S229" s="144"/>
      <c r="T229" s="144"/>
      <c r="U229" s="144"/>
      <c r="V229" s="145"/>
      <c r="W229" s="101"/>
      <c r="X229" s="144"/>
      <c r="Y229" s="144"/>
      <c r="Z229" s="144"/>
      <c r="AA229" s="144"/>
      <c r="AB229" s="145"/>
      <c r="AC229" s="101"/>
      <c r="AD229" s="144"/>
      <c r="AE229" s="144"/>
      <c r="AF229" s="144"/>
      <c r="AG229" s="144"/>
      <c r="AH229" s="145"/>
      <c r="AI229" s="4"/>
    </row>
    <row r="230" spans="1:35" ht="13.5" customHeight="1">
      <c r="A230" s="4"/>
      <c r="B230" s="41">
        <f>B229+1</f>
        <v>67</v>
      </c>
      <c r="C230" s="14" t="s">
        <v>101</v>
      </c>
      <c r="D230" s="41" t="str">
        <f>"Ln "&amp;FIXED(+B217,0)&amp;"-"&amp;FIXED(+B221,0)&amp;"+"&amp;FIXED(+B222,0)&amp;"+"&amp;FIXED(+B223,0)&amp;"+"&amp;FIXED(+B225,0)</f>
        <v>Ln 56-59+60+61+62</v>
      </c>
      <c r="E230" s="68">
        <f aca="true" t="shared" si="50" ref="E230:AH230">E217-E221+E222+E223+SUM(E225:E229)</f>
        <v>141063</v>
      </c>
      <c r="F230" s="68">
        <f t="shared" si="50"/>
        <v>0</v>
      </c>
      <c r="G230" s="69">
        <f t="shared" si="50"/>
        <v>0</v>
      </c>
      <c r="H230" s="69">
        <f t="shared" si="50"/>
        <v>0</v>
      </c>
      <c r="I230" s="69">
        <f t="shared" si="50"/>
        <v>0</v>
      </c>
      <c r="J230" s="70">
        <f t="shared" si="50"/>
        <v>0</v>
      </c>
      <c r="K230" s="68">
        <f t="shared" si="50"/>
        <v>0</v>
      </c>
      <c r="L230" s="69">
        <f t="shared" si="50"/>
        <v>0</v>
      </c>
      <c r="M230" s="69">
        <f t="shared" si="50"/>
        <v>0</v>
      </c>
      <c r="N230" s="69">
        <f t="shared" si="50"/>
        <v>0</v>
      </c>
      <c r="O230" s="69">
        <f t="shared" si="50"/>
        <v>0</v>
      </c>
      <c r="P230" s="70">
        <f t="shared" si="50"/>
        <v>0</v>
      </c>
      <c r="Q230" s="68">
        <f t="shared" si="50"/>
        <v>0</v>
      </c>
      <c r="R230" s="69">
        <f t="shared" si="50"/>
        <v>0</v>
      </c>
      <c r="S230" s="69">
        <f t="shared" si="50"/>
        <v>-124202</v>
      </c>
      <c r="T230" s="69">
        <f t="shared" si="50"/>
        <v>24320</v>
      </c>
      <c r="U230" s="69">
        <f t="shared" si="50"/>
        <v>240945</v>
      </c>
      <c r="V230" s="70">
        <f t="shared" si="50"/>
        <v>0</v>
      </c>
      <c r="W230" s="68">
        <f t="shared" si="50"/>
        <v>0</v>
      </c>
      <c r="X230" s="69">
        <f t="shared" si="50"/>
        <v>0</v>
      </c>
      <c r="Y230" s="69">
        <f t="shared" si="50"/>
        <v>0</v>
      </c>
      <c r="Z230" s="69">
        <f t="shared" si="50"/>
        <v>0</v>
      </c>
      <c r="AA230" s="69">
        <f t="shared" si="50"/>
        <v>0</v>
      </c>
      <c r="AB230" s="70">
        <f t="shared" si="50"/>
        <v>0</v>
      </c>
      <c r="AC230" s="68">
        <f t="shared" si="50"/>
        <v>0</v>
      </c>
      <c r="AD230" s="69">
        <f t="shared" si="50"/>
        <v>0</v>
      </c>
      <c r="AE230" s="69">
        <f t="shared" si="50"/>
        <v>0</v>
      </c>
      <c r="AF230" s="69">
        <f t="shared" si="50"/>
        <v>0</v>
      </c>
      <c r="AG230" s="69">
        <f t="shared" si="50"/>
        <v>0</v>
      </c>
      <c r="AH230" s="70">
        <f t="shared" si="50"/>
        <v>0</v>
      </c>
      <c r="AI230" s="4"/>
    </row>
    <row r="231" spans="1:35" ht="13.5" customHeight="1">
      <c r="A231" s="4"/>
      <c r="B231" s="82"/>
      <c r="C231" s="102"/>
      <c r="D231" s="102"/>
      <c r="E231" s="146"/>
      <c r="F231" s="88"/>
      <c r="G231" s="88"/>
      <c r="H231" s="88"/>
      <c r="I231" s="88"/>
      <c r="J231" s="103"/>
      <c r="K231" s="102"/>
      <c r="L231" s="88"/>
      <c r="M231" s="88"/>
      <c r="N231" s="88"/>
      <c r="O231" s="88"/>
      <c r="P231" s="103"/>
      <c r="Q231" s="102"/>
      <c r="R231" s="88"/>
      <c r="S231" s="88"/>
      <c r="T231" s="88"/>
      <c r="U231" s="88"/>
      <c r="V231" s="103"/>
      <c r="W231" s="102"/>
      <c r="X231" s="88"/>
      <c r="Y231" s="88"/>
      <c r="Z231" s="88"/>
      <c r="AA231" s="88"/>
      <c r="AB231" s="103"/>
      <c r="AC231" s="102"/>
      <c r="AD231" s="88"/>
      <c r="AE231" s="88"/>
      <c r="AF231" s="88"/>
      <c r="AG231" s="88"/>
      <c r="AH231" s="103"/>
      <c r="AI231" s="4"/>
    </row>
    <row r="232" spans="1:35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1:35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1:35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1:35" ht="13.5" customHeight="1">
      <c r="A235" s="4"/>
      <c r="B235" s="4"/>
      <c r="C235" s="4"/>
      <c r="D235" s="4"/>
      <c r="E235" s="4"/>
      <c r="F235" s="5" t="s">
        <v>102</v>
      </c>
      <c r="G235" s="4"/>
      <c r="H235" s="4"/>
      <c r="I235" s="4"/>
      <c r="J235" s="4"/>
      <c r="K235" s="4"/>
      <c r="L235" s="4"/>
      <c r="M235" s="5" t="s">
        <v>102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1:35" ht="13.5" customHeight="1">
      <c r="A236" s="1" t="s">
        <v>166</v>
      </c>
      <c r="B236" s="8" t="str">
        <f>$B$352</f>
        <v>RAINIER VIEW WATER CO., INC.</v>
      </c>
      <c r="C236" s="9"/>
      <c r="D236" s="9"/>
      <c r="E236" s="9"/>
      <c r="F236" s="12"/>
      <c r="G236" s="12"/>
      <c r="H236" s="12"/>
      <c r="I236" s="12" t="str">
        <f>$G$352</f>
        <v>Appendix A</v>
      </c>
      <c r="J236" s="105"/>
      <c r="K236" s="12"/>
      <c r="L236" s="12"/>
      <c r="M236" s="12"/>
      <c r="N236" s="12"/>
      <c r="O236" s="12" t="str">
        <f>$G$352</f>
        <v>Appendix A</v>
      </c>
      <c r="P236" s="105"/>
      <c r="Q236" s="12"/>
      <c r="R236" s="57"/>
      <c r="S236" s="12"/>
      <c r="T236" s="12"/>
      <c r="U236" s="12" t="str">
        <f>$G$352</f>
        <v>Appendix A</v>
      </c>
      <c r="V236" s="105"/>
      <c r="W236" s="12"/>
      <c r="X236" s="12"/>
      <c r="Y236" s="12"/>
      <c r="Z236" s="12"/>
      <c r="AA236" s="12" t="str">
        <f>$G$352</f>
        <v>Appendix A</v>
      </c>
      <c r="AB236" s="105"/>
      <c r="AC236" s="12"/>
      <c r="AD236" s="12"/>
      <c r="AE236" s="12"/>
      <c r="AF236" s="12"/>
      <c r="AG236" s="12" t="str">
        <f>$G$352</f>
        <v>Appendix A</v>
      </c>
      <c r="AH236" s="105"/>
      <c r="AI236" s="4"/>
    </row>
    <row r="237" spans="1:35" ht="13.5" customHeight="1">
      <c r="A237" s="1"/>
      <c r="B237" s="19" t="s">
        <v>167</v>
      </c>
      <c r="C237" s="1"/>
      <c r="D237" s="1"/>
      <c r="E237" s="1"/>
      <c r="F237" s="20"/>
      <c r="G237" s="17"/>
      <c r="H237" s="17"/>
      <c r="I237" s="17" t="str">
        <f>$G$353</f>
        <v>Docket No. UW-010877</v>
      </c>
      <c r="J237" s="106"/>
      <c r="K237" s="17"/>
      <c r="L237" s="20"/>
      <c r="M237" s="17"/>
      <c r="N237" s="17"/>
      <c r="O237" s="17" t="str">
        <f>$G$353</f>
        <v>Docket No. UW-010877</v>
      </c>
      <c r="P237" s="106"/>
      <c r="Q237" s="17"/>
      <c r="R237" s="20"/>
      <c r="S237" s="17"/>
      <c r="T237" s="17"/>
      <c r="U237" s="17" t="str">
        <f>$G$353</f>
        <v>Docket No. UW-010877</v>
      </c>
      <c r="V237" s="106"/>
      <c r="W237" s="17"/>
      <c r="X237" s="20"/>
      <c r="Y237" s="17"/>
      <c r="Z237" s="17"/>
      <c r="AA237" s="17" t="str">
        <f>$G$353</f>
        <v>Docket No. UW-010877</v>
      </c>
      <c r="AB237" s="106"/>
      <c r="AC237" s="17"/>
      <c r="AD237" s="20"/>
      <c r="AE237" s="17"/>
      <c r="AF237" s="17"/>
      <c r="AG237" s="17" t="str">
        <f>$G$353</f>
        <v>Docket No. UW-010877</v>
      </c>
      <c r="AH237" s="106"/>
      <c r="AI237" s="4"/>
    </row>
    <row r="238" spans="1:35" ht="13.5" customHeight="1">
      <c r="A238" s="1"/>
      <c r="B238" s="19" t="str">
        <f>$B$354</f>
        <v>FOR THE 12 MONTHS ENDED DECEMBER 31, 2000</v>
      </c>
      <c r="C238" s="4"/>
      <c r="D238" s="4"/>
      <c r="E238" s="1"/>
      <c r="F238" s="17"/>
      <c r="G238" s="17"/>
      <c r="H238" s="17"/>
      <c r="I238" s="3" t="s">
        <v>168</v>
      </c>
      <c r="J238" s="106"/>
      <c r="K238" s="17"/>
      <c r="L238" s="17"/>
      <c r="M238" s="17"/>
      <c r="N238" s="17"/>
      <c r="O238" s="3" t="s">
        <v>169</v>
      </c>
      <c r="P238" s="106"/>
      <c r="Q238" s="17"/>
      <c r="R238" s="17"/>
      <c r="S238" s="17"/>
      <c r="T238" s="17"/>
      <c r="U238" s="3" t="s">
        <v>170</v>
      </c>
      <c r="V238" s="106"/>
      <c r="W238" s="17"/>
      <c r="X238" s="17"/>
      <c r="Y238" s="17"/>
      <c r="Z238" s="17"/>
      <c r="AA238" s="3" t="s">
        <v>171</v>
      </c>
      <c r="AB238" s="106"/>
      <c r="AC238" s="17"/>
      <c r="AD238" s="17"/>
      <c r="AE238" s="17"/>
      <c r="AF238" s="17"/>
      <c r="AG238" s="3" t="s">
        <v>172</v>
      </c>
      <c r="AH238" s="106"/>
      <c r="AI238" s="4"/>
    </row>
    <row r="239" spans="1:35" ht="13.5" customHeight="1">
      <c r="A239" s="1"/>
      <c r="B239" s="19"/>
      <c r="C239" s="4"/>
      <c r="D239" s="4"/>
      <c r="E239" s="1"/>
      <c r="F239" s="17"/>
      <c r="G239" s="17"/>
      <c r="H239" s="17"/>
      <c r="I239" s="17"/>
      <c r="J239" s="106"/>
      <c r="K239" s="17"/>
      <c r="L239" s="17"/>
      <c r="M239" s="17"/>
      <c r="N239" s="17"/>
      <c r="O239" s="17"/>
      <c r="P239" s="106"/>
      <c r="Q239" s="17"/>
      <c r="R239" s="17"/>
      <c r="S239" s="17"/>
      <c r="T239" s="17"/>
      <c r="U239" s="17"/>
      <c r="V239" s="106"/>
      <c r="W239" s="17"/>
      <c r="X239" s="17"/>
      <c r="Y239" s="17"/>
      <c r="Z239" s="17"/>
      <c r="AA239" s="17"/>
      <c r="AB239" s="106"/>
      <c r="AC239" s="17"/>
      <c r="AD239" s="17"/>
      <c r="AE239" s="17"/>
      <c r="AF239" s="17"/>
      <c r="AG239" s="17"/>
      <c r="AH239" s="106"/>
      <c r="AI239" s="4"/>
    </row>
    <row r="240" spans="1:35" ht="13.5" customHeight="1">
      <c r="A240" s="1"/>
      <c r="B240" s="14" t="str">
        <f>IF(E372&lt;&gt;0,+"(WITH FEDERAL INCOME TAXES IMPUTED)",+" (WITHOUT FEDERAL INCOME TAXES IMPUTED)")</f>
        <v>(WITH FEDERAL INCOME TAXES IMPUTED)</v>
      </c>
      <c r="C240" s="17"/>
      <c r="D240" s="17"/>
      <c r="E240" s="22"/>
      <c r="F240" s="22" t="s">
        <v>644</v>
      </c>
      <c r="G240" s="22" t="s">
        <v>645</v>
      </c>
      <c r="H240" s="22" t="s">
        <v>646</v>
      </c>
      <c r="I240" s="22" t="s">
        <v>647</v>
      </c>
      <c r="J240" s="26" t="s">
        <v>648</v>
      </c>
      <c r="K240" s="22" t="s">
        <v>649</v>
      </c>
      <c r="L240" s="22" t="s">
        <v>650</v>
      </c>
      <c r="M240" s="22" t="s">
        <v>651</v>
      </c>
      <c r="N240" s="22" t="s">
        <v>652</v>
      </c>
      <c r="O240" s="22" t="s">
        <v>653</v>
      </c>
      <c r="P240" s="26" t="s">
        <v>654</v>
      </c>
      <c r="Q240" s="22" t="s">
        <v>655</v>
      </c>
      <c r="R240" s="22" t="s">
        <v>656</v>
      </c>
      <c r="S240" s="22" t="s">
        <v>657</v>
      </c>
      <c r="T240" s="22" t="s">
        <v>186</v>
      </c>
      <c r="U240" s="22" t="s">
        <v>187</v>
      </c>
      <c r="V240" s="26" t="s">
        <v>188</v>
      </c>
      <c r="W240" s="22" t="s">
        <v>189</v>
      </c>
      <c r="X240" s="22" t="s">
        <v>190</v>
      </c>
      <c r="Y240" s="22" t="s">
        <v>191</v>
      </c>
      <c r="Z240" s="22" t="s">
        <v>191</v>
      </c>
      <c r="AA240" s="22" t="s">
        <v>191</v>
      </c>
      <c r="AB240" s="26" t="s">
        <v>191</v>
      </c>
      <c r="AC240" s="22" t="s">
        <v>191</v>
      </c>
      <c r="AD240" s="22" t="s">
        <v>191</v>
      </c>
      <c r="AE240" s="22" t="s">
        <v>191</v>
      </c>
      <c r="AF240" s="22" t="s">
        <v>191</v>
      </c>
      <c r="AG240" s="22" t="s">
        <v>191</v>
      </c>
      <c r="AH240" s="26" t="s">
        <v>191</v>
      </c>
      <c r="AI240" s="4"/>
    </row>
    <row r="241" spans="1:35" ht="13.5" customHeight="1">
      <c r="A241" s="1"/>
      <c r="B241" s="19"/>
      <c r="C241" s="17"/>
      <c r="D241" s="17"/>
      <c r="E241" s="24" t="s">
        <v>9</v>
      </c>
      <c r="F241" s="22"/>
      <c r="G241" s="22" t="s">
        <v>193</v>
      </c>
      <c r="H241" s="22"/>
      <c r="I241" s="22"/>
      <c r="J241" s="26" t="s">
        <v>192</v>
      </c>
      <c r="K241" s="22" t="s">
        <v>658</v>
      </c>
      <c r="L241" s="22"/>
      <c r="M241" s="22" t="s">
        <v>659</v>
      </c>
      <c r="N241" s="22" t="s">
        <v>200</v>
      </c>
      <c r="O241" s="22" t="s">
        <v>637</v>
      </c>
      <c r="P241" s="26" t="s">
        <v>200</v>
      </c>
      <c r="Q241" s="24"/>
      <c r="R241" s="24"/>
      <c r="S241" s="22"/>
      <c r="T241" s="17"/>
      <c r="U241" s="22"/>
      <c r="V241" s="26"/>
      <c r="W241" s="22"/>
      <c r="X241" s="22"/>
      <c r="Y241" s="17"/>
      <c r="Z241" s="17"/>
      <c r="AA241" s="17"/>
      <c r="AB241" s="106"/>
      <c r="AC241" s="22"/>
      <c r="AD241" s="22"/>
      <c r="AE241" s="22"/>
      <c r="AF241" s="22"/>
      <c r="AG241" s="22"/>
      <c r="AH241" s="106"/>
      <c r="AI241" s="4"/>
    </row>
    <row r="242" spans="1:35" ht="13.5" customHeight="1">
      <c r="A242" s="1"/>
      <c r="B242" s="25" t="s">
        <v>14</v>
      </c>
      <c r="C242" s="17"/>
      <c r="D242" s="17"/>
      <c r="E242" s="24" t="s">
        <v>13</v>
      </c>
      <c r="F242" s="22"/>
      <c r="G242" s="22" t="s">
        <v>202</v>
      </c>
      <c r="H242" s="22" t="s">
        <v>206</v>
      </c>
      <c r="I242" s="22" t="s">
        <v>205</v>
      </c>
      <c r="J242" s="26" t="s">
        <v>195</v>
      </c>
      <c r="K242" s="22" t="s">
        <v>195</v>
      </c>
      <c r="L242" s="22" t="s">
        <v>660</v>
      </c>
      <c r="M242" s="22" t="s">
        <v>291</v>
      </c>
      <c r="N242" s="22" t="s">
        <v>661</v>
      </c>
      <c r="O242" s="22" t="s">
        <v>216</v>
      </c>
      <c r="P242" s="26" t="s">
        <v>212</v>
      </c>
      <c r="Q242" s="22"/>
      <c r="R242" s="22"/>
      <c r="S242" s="22"/>
      <c r="T242" s="17"/>
      <c r="U242" s="22"/>
      <c r="V242" s="26"/>
      <c r="W242" s="22"/>
      <c r="X242" s="22"/>
      <c r="Y242" s="17"/>
      <c r="Z242" s="17"/>
      <c r="AA242" s="17"/>
      <c r="AB242" s="106"/>
      <c r="AC242" s="22"/>
      <c r="AD242" s="22"/>
      <c r="AE242" s="22"/>
      <c r="AF242" s="22"/>
      <c r="AG242" s="22"/>
      <c r="AH242" s="106"/>
      <c r="AI242" s="4"/>
    </row>
    <row r="243" spans="1:35" ht="13.5" customHeight="1">
      <c r="A243" s="1"/>
      <c r="B243" s="27" t="s">
        <v>18</v>
      </c>
      <c r="C243" s="28" t="s">
        <v>19</v>
      </c>
      <c r="D243" s="28" t="s">
        <v>20</v>
      </c>
      <c r="E243" s="29" t="s">
        <v>22</v>
      </c>
      <c r="F243" s="28" t="s">
        <v>199</v>
      </c>
      <c r="G243" s="28" t="s">
        <v>215</v>
      </c>
      <c r="H243" s="22" t="s">
        <v>204</v>
      </c>
      <c r="I243" s="28" t="s">
        <v>218</v>
      </c>
      <c r="J243" s="26" t="s">
        <v>217</v>
      </c>
      <c r="K243" s="22" t="s">
        <v>217</v>
      </c>
      <c r="L243" s="22" t="s">
        <v>216</v>
      </c>
      <c r="M243" s="22" t="s">
        <v>217</v>
      </c>
      <c r="N243" s="22" t="s">
        <v>662</v>
      </c>
      <c r="O243" s="28" t="s">
        <v>217</v>
      </c>
      <c r="P243" s="26" t="s">
        <v>224</v>
      </c>
      <c r="Q243" s="28"/>
      <c r="R243" s="28"/>
      <c r="S243" s="22"/>
      <c r="T243" s="22"/>
      <c r="U243" s="22"/>
      <c r="V243" s="26"/>
      <c r="W243" s="22"/>
      <c r="X243" s="22"/>
      <c r="Y243" s="17"/>
      <c r="Z243" s="17"/>
      <c r="AA243" s="17"/>
      <c r="AB243" s="106"/>
      <c r="AC243" s="22"/>
      <c r="AD243" s="22"/>
      <c r="AE243" s="22"/>
      <c r="AF243" s="22"/>
      <c r="AG243" s="22"/>
      <c r="AH243" s="106"/>
      <c r="AI243" s="4"/>
    </row>
    <row r="244" spans="1:35" ht="13.5" customHeight="1">
      <c r="A244" s="1"/>
      <c r="B244" s="31"/>
      <c r="C244" s="32" t="s">
        <v>25</v>
      </c>
      <c r="D244" s="32" t="s">
        <v>26</v>
      </c>
      <c r="E244" s="32" t="s">
        <v>27</v>
      </c>
      <c r="F244" s="33" t="s">
        <v>28</v>
      </c>
      <c r="G244" s="33" t="s">
        <v>29</v>
      </c>
      <c r="H244" s="33" t="s">
        <v>30</v>
      </c>
      <c r="I244" s="33" t="s">
        <v>31</v>
      </c>
      <c r="J244" s="34" t="s">
        <v>32</v>
      </c>
      <c r="K244" s="31" t="s">
        <v>33</v>
      </c>
      <c r="L244" s="33" t="s">
        <v>140</v>
      </c>
      <c r="M244" s="33" t="s">
        <v>141</v>
      </c>
      <c r="N244" s="33" t="s">
        <v>142</v>
      </c>
      <c r="O244" s="33" t="s">
        <v>143</v>
      </c>
      <c r="P244" s="34" t="s">
        <v>144</v>
      </c>
      <c r="Q244" s="31" t="s">
        <v>145</v>
      </c>
      <c r="R244" s="33" t="s">
        <v>145</v>
      </c>
      <c r="S244" s="33" t="s">
        <v>148</v>
      </c>
      <c r="T244" s="33" t="s">
        <v>146</v>
      </c>
      <c r="U244" s="33" t="s">
        <v>147</v>
      </c>
      <c r="V244" s="34" t="s">
        <v>144</v>
      </c>
      <c r="W244" s="31" t="s">
        <v>144</v>
      </c>
      <c r="X244" s="33" t="s">
        <v>148</v>
      </c>
      <c r="Y244" s="33" t="s">
        <v>146</v>
      </c>
      <c r="Z244" s="33" t="s">
        <v>149</v>
      </c>
      <c r="AA244" s="33" t="s">
        <v>150</v>
      </c>
      <c r="AB244" s="34" t="s">
        <v>149</v>
      </c>
      <c r="AC244" s="107" t="s">
        <v>151</v>
      </c>
      <c r="AD244" s="108" t="s">
        <v>152</v>
      </c>
      <c r="AE244" s="108" t="s">
        <v>153</v>
      </c>
      <c r="AF244" s="108" t="s">
        <v>154</v>
      </c>
      <c r="AG244" s="108" t="s">
        <v>155</v>
      </c>
      <c r="AH244" s="109" t="s">
        <v>156</v>
      </c>
      <c r="AI244" s="4"/>
    </row>
    <row r="245" spans="1:35" ht="13.5" customHeight="1">
      <c r="A245" s="1"/>
      <c r="B245" s="35"/>
      <c r="C245" s="36"/>
      <c r="D245" s="36"/>
      <c r="E245" s="36"/>
      <c r="F245" s="37"/>
      <c r="G245" s="37"/>
      <c r="H245" s="37"/>
      <c r="I245" s="37"/>
      <c r="J245" s="38"/>
      <c r="K245" s="35"/>
      <c r="L245" s="37"/>
      <c r="M245" s="37"/>
      <c r="N245" s="37"/>
      <c r="O245" s="37"/>
      <c r="P245" s="38"/>
      <c r="Q245" s="35"/>
      <c r="R245" s="37"/>
      <c r="S245" s="37"/>
      <c r="T245" s="37"/>
      <c r="U245" s="37"/>
      <c r="V245" s="38"/>
      <c r="W245" s="35"/>
      <c r="X245" s="37"/>
      <c r="Y245" s="37"/>
      <c r="Z245" s="37"/>
      <c r="AA245" s="37"/>
      <c r="AB245" s="38"/>
      <c r="AC245" s="35"/>
      <c r="AD245" s="37"/>
      <c r="AE245" s="37"/>
      <c r="AF245" s="37"/>
      <c r="AG245" s="37"/>
      <c r="AH245" s="38"/>
      <c r="AI245" s="4"/>
    </row>
    <row r="246" spans="1:35" ht="13.5" customHeight="1">
      <c r="A246" s="1"/>
      <c r="B246" s="35"/>
      <c r="C246" s="14" t="s">
        <v>34</v>
      </c>
      <c r="D246" s="39"/>
      <c r="E246" s="39"/>
      <c r="F246" s="4"/>
      <c r="G246" s="4"/>
      <c r="H246" s="4"/>
      <c r="I246" s="4"/>
      <c r="J246" s="18"/>
      <c r="K246" s="40"/>
      <c r="L246" s="4"/>
      <c r="M246" s="4"/>
      <c r="N246" s="4"/>
      <c r="O246" s="4"/>
      <c r="P246" s="18"/>
      <c r="Q246" s="40"/>
      <c r="R246" s="4"/>
      <c r="S246" s="4"/>
      <c r="T246" s="4"/>
      <c r="U246" s="4"/>
      <c r="V246" s="18"/>
      <c r="W246" s="40"/>
      <c r="X246" s="4"/>
      <c r="Y246" s="4"/>
      <c r="Z246" s="4"/>
      <c r="AA246" s="4"/>
      <c r="AB246" s="18"/>
      <c r="AC246" s="40"/>
      <c r="AD246" s="4"/>
      <c r="AE246" s="4"/>
      <c r="AF246" s="4"/>
      <c r="AG246" s="4"/>
      <c r="AH246" s="18"/>
      <c r="AI246" s="4"/>
    </row>
    <row r="247" spans="1:35" ht="13.5" customHeight="1">
      <c r="A247" s="1"/>
      <c r="B247" s="41">
        <v>1</v>
      </c>
      <c r="C247" s="42" t="s">
        <v>35</v>
      </c>
      <c r="D247" s="43" t="s">
        <v>36</v>
      </c>
      <c r="E247" s="112">
        <f aca="true" t="shared" si="51" ref="E247:E252">SUM(F247:AH247)</f>
        <v>0</v>
      </c>
      <c r="F247" s="113">
        <v>0</v>
      </c>
      <c r="G247" s="113">
        <v>0</v>
      </c>
      <c r="H247" s="113">
        <v>0</v>
      </c>
      <c r="I247" s="113">
        <v>0</v>
      </c>
      <c r="J247" s="114">
        <v>0</v>
      </c>
      <c r="K247" s="44">
        <v>0</v>
      </c>
      <c r="L247" s="113">
        <v>0</v>
      </c>
      <c r="M247" s="113">
        <v>0</v>
      </c>
      <c r="N247" s="113">
        <v>0</v>
      </c>
      <c r="O247" s="113">
        <v>0</v>
      </c>
      <c r="P247" s="114">
        <v>0</v>
      </c>
      <c r="Q247" s="44">
        <v>0</v>
      </c>
      <c r="R247" s="113">
        <v>0</v>
      </c>
      <c r="S247" s="113">
        <v>0</v>
      </c>
      <c r="T247" s="113">
        <v>0</v>
      </c>
      <c r="U247" s="113">
        <v>0</v>
      </c>
      <c r="V247" s="114">
        <v>0</v>
      </c>
      <c r="W247" s="44">
        <v>0</v>
      </c>
      <c r="X247" s="113">
        <v>0</v>
      </c>
      <c r="Y247" s="113">
        <v>0</v>
      </c>
      <c r="Z247" s="113">
        <v>0</v>
      </c>
      <c r="AA247" s="113">
        <v>0</v>
      </c>
      <c r="AB247" s="114">
        <v>0</v>
      </c>
      <c r="AC247" s="44">
        <v>0</v>
      </c>
      <c r="AD247" s="113">
        <v>0</v>
      </c>
      <c r="AE247" s="113">
        <v>0</v>
      </c>
      <c r="AF247" s="113">
        <v>0</v>
      </c>
      <c r="AG247" s="113">
        <v>0</v>
      </c>
      <c r="AH247" s="114">
        <v>0</v>
      </c>
      <c r="AI247" s="4"/>
    </row>
    <row r="248" spans="1:35" ht="13.5" customHeight="1">
      <c r="A248" s="1"/>
      <c r="B248" s="41">
        <f aca="true" t="shared" si="52" ref="B248:B254">B247+1</f>
        <v>2</v>
      </c>
      <c r="C248" s="42" t="s">
        <v>37</v>
      </c>
      <c r="D248" s="43" t="s">
        <v>36</v>
      </c>
      <c r="E248" s="39">
        <f t="shared" si="51"/>
        <v>0</v>
      </c>
      <c r="F248" s="2">
        <v>0</v>
      </c>
      <c r="G248" s="2">
        <v>0</v>
      </c>
      <c r="H248" s="2">
        <v>0</v>
      </c>
      <c r="I248" s="2">
        <v>0</v>
      </c>
      <c r="J248" s="115">
        <v>0</v>
      </c>
      <c r="K248" s="48">
        <v>0</v>
      </c>
      <c r="L248" s="2">
        <v>0</v>
      </c>
      <c r="M248" s="2">
        <v>0</v>
      </c>
      <c r="N248" s="2">
        <v>0</v>
      </c>
      <c r="O248" s="2">
        <v>0</v>
      </c>
      <c r="P248" s="115">
        <v>0</v>
      </c>
      <c r="Q248" s="48">
        <v>0</v>
      </c>
      <c r="R248" s="2">
        <v>0</v>
      </c>
      <c r="S248" s="2">
        <v>0</v>
      </c>
      <c r="T248" s="2">
        <v>0</v>
      </c>
      <c r="U248" s="2">
        <v>0</v>
      </c>
      <c r="V248" s="115">
        <v>0</v>
      </c>
      <c r="W248" s="48">
        <v>0</v>
      </c>
      <c r="X248" s="2">
        <v>0</v>
      </c>
      <c r="Y248" s="2">
        <v>0</v>
      </c>
      <c r="Z248" s="2">
        <v>0</v>
      </c>
      <c r="AA248" s="2">
        <v>0</v>
      </c>
      <c r="AB248" s="115">
        <v>0</v>
      </c>
      <c r="AC248" s="48">
        <v>0</v>
      </c>
      <c r="AD248" s="2">
        <v>0</v>
      </c>
      <c r="AE248" s="2">
        <v>0</v>
      </c>
      <c r="AF248" s="2">
        <v>0</v>
      </c>
      <c r="AG248" s="2">
        <v>0</v>
      </c>
      <c r="AH248" s="115">
        <v>0</v>
      </c>
      <c r="AI248" s="4"/>
    </row>
    <row r="249" spans="1:35" ht="13.5" customHeight="1">
      <c r="A249" s="1"/>
      <c r="B249" s="41">
        <f t="shared" si="52"/>
        <v>3</v>
      </c>
      <c r="C249" s="42" t="s">
        <v>38</v>
      </c>
      <c r="D249" s="43" t="s">
        <v>36</v>
      </c>
      <c r="E249" s="39">
        <f t="shared" si="51"/>
        <v>0</v>
      </c>
      <c r="F249" s="2">
        <v>0</v>
      </c>
      <c r="G249" s="2">
        <v>0</v>
      </c>
      <c r="H249" s="2">
        <v>0</v>
      </c>
      <c r="I249" s="2">
        <v>0</v>
      </c>
      <c r="J249" s="115">
        <v>0</v>
      </c>
      <c r="K249" s="48">
        <v>0</v>
      </c>
      <c r="L249" s="2">
        <v>0</v>
      </c>
      <c r="M249" s="2">
        <v>0</v>
      </c>
      <c r="N249" s="2">
        <v>0</v>
      </c>
      <c r="O249" s="2">
        <v>0</v>
      </c>
      <c r="P249" s="115">
        <v>0</v>
      </c>
      <c r="Q249" s="48">
        <v>0</v>
      </c>
      <c r="R249" s="2">
        <v>0</v>
      </c>
      <c r="S249" s="2">
        <v>0</v>
      </c>
      <c r="T249" s="2">
        <v>0</v>
      </c>
      <c r="U249" s="2">
        <v>0</v>
      </c>
      <c r="V249" s="115">
        <v>0</v>
      </c>
      <c r="W249" s="48">
        <v>0</v>
      </c>
      <c r="X249" s="2">
        <v>0</v>
      </c>
      <c r="Y249" s="2">
        <v>0</v>
      </c>
      <c r="Z249" s="2">
        <v>0</v>
      </c>
      <c r="AA249" s="2">
        <v>0</v>
      </c>
      <c r="AB249" s="115">
        <v>0</v>
      </c>
      <c r="AC249" s="48">
        <v>0</v>
      </c>
      <c r="AD249" s="2">
        <v>0</v>
      </c>
      <c r="AE249" s="2">
        <v>0</v>
      </c>
      <c r="AF249" s="2">
        <v>0</v>
      </c>
      <c r="AG249" s="2">
        <v>0</v>
      </c>
      <c r="AH249" s="115">
        <v>0</v>
      </c>
      <c r="AI249" s="4"/>
    </row>
    <row r="250" spans="1:35" ht="13.5" customHeight="1">
      <c r="A250" s="1"/>
      <c r="B250" s="41">
        <f t="shared" si="52"/>
        <v>4</v>
      </c>
      <c r="C250" s="42" t="s">
        <v>39</v>
      </c>
      <c r="D250" s="43" t="s">
        <v>36</v>
      </c>
      <c r="E250" s="39">
        <f t="shared" si="51"/>
        <v>0</v>
      </c>
      <c r="F250" s="2">
        <v>0</v>
      </c>
      <c r="G250" s="2">
        <v>0</v>
      </c>
      <c r="H250" s="2">
        <v>0</v>
      </c>
      <c r="I250" s="2">
        <v>0</v>
      </c>
      <c r="J250" s="115">
        <v>0</v>
      </c>
      <c r="K250" s="48">
        <v>0</v>
      </c>
      <c r="L250" s="2">
        <v>0</v>
      </c>
      <c r="M250" s="2">
        <v>0</v>
      </c>
      <c r="N250" s="2">
        <v>0</v>
      </c>
      <c r="O250" s="2">
        <v>0</v>
      </c>
      <c r="P250" s="115">
        <v>0</v>
      </c>
      <c r="Q250" s="48">
        <v>0</v>
      </c>
      <c r="R250" s="2">
        <v>0</v>
      </c>
      <c r="S250" s="2">
        <v>0</v>
      </c>
      <c r="T250" s="2">
        <v>0</v>
      </c>
      <c r="U250" s="2">
        <v>0</v>
      </c>
      <c r="V250" s="115">
        <v>0</v>
      </c>
      <c r="W250" s="48">
        <v>0</v>
      </c>
      <c r="X250" s="2">
        <v>0</v>
      </c>
      <c r="Y250" s="2">
        <v>0</v>
      </c>
      <c r="Z250" s="2">
        <v>0</v>
      </c>
      <c r="AA250" s="2">
        <v>0</v>
      </c>
      <c r="AB250" s="115">
        <v>0</v>
      </c>
      <c r="AC250" s="48">
        <v>0</v>
      </c>
      <c r="AD250" s="2">
        <v>0</v>
      </c>
      <c r="AE250" s="2">
        <v>0</v>
      </c>
      <c r="AF250" s="2">
        <v>0</v>
      </c>
      <c r="AG250" s="2">
        <v>0</v>
      </c>
      <c r="AH250" s="115">
        <v>0</v>
      </c>
      <c r="AI250" s="4"/>
    </row>
    <row r="251" spans="1:35" ht="13.5" customHeight="1">
      <c r="A251" s="1"/>
      <c r="B251" s="41">
        <f t="shared" si="52"/>
        <v>5</v>
      </c>
      <c r="C251" s="42" t="s">
        <v>605</v>
      </c>
      <c r="D251" s="43" t="s">
        <v>36</v>
      </c>
      <c r="E251" s="39">
        <f t="shared" si="51"/>
        <v>0</v>
      </c>
      <c r="F251" s="2">
        <v>0</v>
      </c>
      <c r="G251" s="2">
        <v>0</v>
      </c>
      <c r="H251" s="2">
        <v>0</v>
      </c>
      <c r="I251" s="2">
        <v>0</v>
      </c>
      <c r="J251" s="115">
        <v>0</v>
      </c>
      <c r="K251" s="48">
        <v>0</v>
      </c>
      <c r="L251" s="2">
        <v>0</v>
      </c>
      <c r="M251" s="2">
        <v>0</v>
      </c>
      <c r="N251" s="2">
        <v>0</v>
      </c>
      <c r="O251" s="2">
        <v>0</v>
      </c>
      <c r="P251" s="115">
        <v>0</v>
      </c>
      <c r="Q251" s="48">
        <v>0</v>
      </c>
      <c r="R251" s="2">
        <v>0</v>
      </c>
      <c r="S251" s="2">
        <v>0</v>
      </c>
      <c r="T251" s="2">
        <v>0</v>
      </c>
      <c r="U251" s="2">
        <v>0</v>
      </c>
      <c r="V251" s="115">
        <v>0</v>
      </c>
      <c r="W251" s="48">
        <v>0</v>
      </c>
      <c r="X251" s="2">
        <v>0</v>
      </c>
      <c r="Y251" s="2">
        <v>0</v>
      </c>
      <c r="Z251" s="2">
        <v>0</v>
      </c>
      <c r="AA251" s="2">
        <v>0</v>
      </c>
      <c r="AB251" s="115">
        <v>0</v>
      </c>
      <c r="AC251" s="48">
        <v>0</v>
      </c>
      <c r="AD251" s="2">
        <v>0</v>
      </c>
      <c r="AE251" s="2">
        <v>0</v>
      </c>
      <c r="AF251" s="2">
        <v>0</v>
      </c>
      <c r="AG251" s="2">
        <v>0</v>
      </c>
      <c r="AH251" s="115">
        <v>0</v>
      </c>
      <c r="AI251" s="4"/>
    </row>
    <row r="252" spans="1:35" ht="13.5" customHeight="1">
      <c r="A252" s="1"/>
      <c r="B252" s="41">
        <f t="shared" si="52"/>
        <v>6</v>
      </c>
      <c r="C252" s="42" t="s">
        <v>606</v>
      </c>
      <c r="D252" s="43" t="s">
        <v>36</v>
      </c>
      <c r="E252" s="39">
        <f t="shared" si="51"/>
        <v>0</v>
      </c>
      <c r="F252" s="2">
        <v>0</v>
      </c>
      <c r="G252" s="2">
        <v>0</v>
      </c>
      <c r="H252" s="2">
        <v>0</v>
      </c>
      <c r="I252" s="2">
        <v>0</v>
      </c>
      <c r="J252" s="115">
        <v>0</v>
      </c>
      <c r="K252" s="48">
        <v>0</v>
      </c>
      <c r="L252" s="2">
        <v>0</v>
      </c>
      <c r="M252" s="2">
        <v>0</v>
      </c>
      <c r="N252" s="2">
        <v>0</v>
      </c>
      <c r="O252" s="2">
        <v>0</v>
      </c>
      <c r="P252" s="115">
        <v>0</v>
      </c>
      <c r="Q252" s="48">
        <v>0</v>
      </c>
      <c r="R252" s="2">
        <v>0</v>
      </c>
      <c r="S252" s="2">
        <v>0</v>
      </c>
      <c r="T252" s="2">
        <v>0</v>
      </c>
      <c r="U252" s="2">
        <v>0</v>
      </c>
      <c r="V252" s="115">
        <v>0</v>
      </c>
      <c r="W252" s="48">
        <v>0</v>
      </c>
      <c r="X252" s="2">
        <v>0</v>
      </c>
      <c r="Y252" s="2">
        <v>0</v>
      </c>
      <c r="Z252" s="2">
        <v>0</v>
      </c>
      <c r="AA252" s="2">
        <v>0</v>
      </c>
      <c r="AB252" s="115">
        <v>0</v>
      </c>
      <c r="AC252" s="48">
        <v>0</v>
      </c>
      <c r="AD252" s="2">
        <v>0</v>
      </c>
      <c r="AE252" s="2">
        <v>0</v>
      </c>
      <c r="AF252" s="2">
        <v>0</v>
      </c>
      <c r="AG252" s="2">
        <v>0</v>
      </c>
      <c r="AH252" s="115">
        <v>0</v>
      </c>
      <c r="AI252" s="4"/>
    </row>
    <row r="253" spans="1:35" ht="13.5" customHeight="1">
      <c r="A253" s="1"/>
      <c r="B253" s="41">
        <f t="shared" si="52"/>
        <v>7</v>
      </c>
      <c r="C253" s="42" t="s">
        <v>40</v>
      </c>
      <c r="D253" s="41" t="str">
        <f>"Ln "&amp;FIXED(+B247,0)&amp;" thru "&amp;FIXED(+B253,0)</f>
        <v>Ln 1 thru 7</v>
      </c>
      <c r="E253" s="116">
        <f aca="true" t="shared" si="53" ref="E253:AH253">SUM(E247:E252)</f>
        <v>0</v>
      </c>
      <c r="F253" s="99">
        <f t="shared" si="53"/>
        <v>0</v>
      </c>
      <c r="G253" s="99">
        <f t="shared" si="53"/>
        <v>0</v>
      </c>
      <c r="H253" s="99">
        <f t="shared" si="53"/>
        <v>0</v>
      </c>
      <c r="I253" s="99">
        <f t="shared" si="53"/>
        <v>0</v>
      </c>
      <c r="J253" s="100">
        <f t="shared" si="53"/>
        <v>0</v>
      </c>
      <c r="K253" s="99">
        <f t="shared" si="53"/>
        <v>0</v>
      </c>
      <c r="L253" s="99">
        <f t="shared" si="53"/>
        <v>0</v>
      </c>
      <c r="M253" s="99">
        <f t="shared" si="53"/>
        <v>0</v>
      </c>
      <c r="N253" s="99">
        <f t="shared" si="53"/>
        <v>0</v>
      </c>
      <c r="O253" s="99">
        <f t="shared" si="53"/>
        <v>0</v>
      </c>
      <c r="P253" s="100">
        <f t="shared" si="53"/>
        <v>0</v>
      </c>
      <c r="Q253" s="99">
        <f t="shared" si="53"/>
        <v>0</v>
      </c>
      <c r="R253" s="99">
        <f t="shared" si="53"/>
        <v>0</v>
      </c>
      <c r="S253" s="99">
        <f t="shared" si="53"/>
        <v>0</v>
      </c>
      <c r="T253" s="99">
        <f t="shared" si="53"/>
        <v>0</v>
      </c>
      <c r="U253" s="99">
        <f t="shared" si="53"/>
        <v>0</v>
      </c>
      <c r="V253" s="100">
        <f t="shared" si="53"/>
        <v>0</v>
      </c>
      <c r="W253" s="99">
        <f t="shared" si="53"/>
        <v>0</v>
      </c>
      <c r="X253" s="99">
        <f t="shared" si="53"/>
        <v>0</v>
      </c>
      <c r="Y253" s="99">
        <f t="shared" si="53"/>
        <v>0</v>
      </c>
      <c r="Z253" s="99">
        <f t="shared" si="53"/>
        <v>0</v>
      </c>
      <c r="AA253" s="99">
        <f t="shared" si="53"/>
        <v>0</v>
      </c>
      <c r="AB253" s="100">
        <f t="shared" si="53"/>
        <v>0</v>
      </c>
      <c r="AC253" s="99">
        <f t="shared" si="53"/>
        <v>0</v>
      </c>
      <c r="AD253" s="99">
        <f t="shared" si="53"/>
        <v>0</v>
      </c>
      <c r="AE253" s="99">
        <f t="shared" si="53"/>
        <v>0</v>
      </c>
      <c r="AF253" s="99">
        <f t="shared" si="53"/>
        <v>0</v>
      </c>
      <c r="AG253" s="99">
        <f t="shared" si="53"/>
        <v>0</v>
      </c>
      <c r="AH253" s="100">
        <f t="shared" si="53"/>
        <v>0</v>
      </c>
      <c r="AI253" s="4"/>
    </row>
    <row r="254" spans="1:35" ht="13.5" customHeight="1">
      <c r="A254" s="1"/>
      <c r="B254" s="41">
        <f t="shared" si="52"/>
        <v>8</v>
      </c>
      <c r="C254" s="42" t="s">
        <v>41</v>
      </c>
      <c r="D254" s="43" t="s">
        <v>36</v>
      </c>
      <c r="E254" s="39">
        <f>SUM(F254:AH254)</f>
        <v>0</v>
      </c>
      <c r="F254" s="1">
        <v>0</v>
      </c>
      <c r="G254" s="1">
        <v>0</v>
      </c>
      <c r="H254" s="1">
        <v>0</v>
      </c>
      <c r="I254" s="1">
        <v>0</v>
      </c>
      <c r="J254" s="67">
        <v>0</v>
      </c>
      <c r="K254" s="42">
        <v>0</v>
      </c>
      <c r="L254" s="1">
        <v>0</v>
      </c>
      <c r="M254" s="1">
        <v>0</v>
      </c>
      <c r="N254" s="1">
        <v>0</v>
      </c>
      <c r="O254" s="1">
        <v>0</v>
      </c>
      <c r="P254" s="67">
        <v>0</v>
      </c>
      <c r="Q254" s="42">
        <v>0</v>
      </c>
      <c r="R254" s="1">
        <v>0</v>
      </c>
      <c r="S254" s="1">
        <v>0</v>
      </c>
      <c r="T254" s="1">
        <v>0</v>
      </c>
      <c r="U254" s="1">
        <v>0</v>
      </c>
      <c r="V254" s="67">
        <v>0</v>
      </c>
      <c r="W254" s="42">
        <v>0</v>
      </c>
      <c r="X254" s="1">
        <v>0</v>
      </c>
      <c r="Y254" s="1">
        <v>0</v>
      </c>
      <c r="Z254" s="1">
        <v>0</v>
      </c>
      <c r="AA254" s="1">
        <v>0</v>
      </c>
      <c r="AB254" s="67">
        <v>0</v>
      </c>
      <c r="AC254" s="42">
        <v>0</v>
      </c>
      <c r="AD254" s="1">
        <v>0</v>
      </c>
      <c r="AE254" s="1">
        <v>0</v>
      </c>
      <c r="AF254" s="1">
        <v>0</v>
      </c>
      <c r="AG254" s="1">
        <v>0</v>
      </c>
      <c r="AH254" s="67">
        <v>0</v>
      </c>
      <c r="AI254" s="4"/>
    </row>
    <row r="255" spans="1:35" ht="13.5" customHeight="1">
      <c r="A255" s="1"/>
      <c r="B255" s="41"/>
      <c r="C255" s="111"/>
      <c r="D255" s="43"/>
      <c r="E255" s="111"/>
      <c r="F255" s="1"/>
      <c r="G255" s="1"/>
      <c r="H255" s="1"/>
      <c r="I255" s="1"/>
      <c r="J255" s="67"/>
      <c r="K255" s="42"/>
      <c r="L255" s="1"/>
      <c r="M255" s="1"/>
      <c r="N255" s="1"/>
      <c r="O255" s="1"/>
      <c r="P255" s="67"/>
      <c r="Q255" s="42"/>
      <c r="R255" s="1"/>
      <c r="S255" s="1"/>
      <c r="T255" s="1"/>
      <c r="U255" s="1"/>
      <c r="V255" s="67"/>
      <c r="W255" s="42"/>
      <c r="X255" s="1"/>
      <c r="Y255" s="1"/>
      <c r="Z255" s="1"/>
      <c r="AA255" s="1"/>
      <c r="AB255" s="67"/>
      <c r="AC255" s="42"/>
      <c r="AD255" s="1"/>
      <c r="AE255" s="1"/>
      <c r="AF255" s="1"/>
      <c r="AG255" s="1"/>
      <c r="AH255" s="67"/>
      <c r="AI255" s="4"/>
    </row>
    <row r="256" spans="1:35" ht="13.5" customHeight="1">
      <c r="A256" s="1"/>
      <c r="B256" s="41">
        <f>B254+1</f>
        <v>9</v>
      </c>
      <c r="C256" s="110" t="s">
        <v>42</v>
      </c>
      <c r="D256" s="43" t="str">
        <f>"Ln "&amp;FIXED(+B253,0)&amp;"+"&amp;FIXED(+B254,0)</f>
        <v>Ln 7+8</v>
      </c>
      <c r="E256" s="117">
        <f aca="true" t="shared" si="54" ref="E256:AH256">E253+E254</f>
        <v>0</v>
      </c>
      <c r="F256" s="57">
        <f t="shared" si="54"/>
        <v>0</v>
      </c>
      <c r="G256" s="57">
        <f t="shared" si="54"/>
        <v>0</v>
      </c>
      <c r="H256" s="57">
        <f t="shared" si="54"/>
        <v>0</v>
      </c>
      <c r="I256" s="57">
        <f t="shared" si="54"/>
        <v>0</v>
      </c>
      <c r="J256" s="58">
        <f t="shared" si="54"/>
        <v>0</v>
      </c>
      <c r="K256" s="8">
        <f t="shared" si="54"/>
        <v>0</v>
      </c>
      <c r="L256" s="57">
        <f t="shared" si="54"/>
        <v>0</v>
      </c>
      <c r="M256" s="57">
        <f t="shared" si="54"/>
        <v>0</v>
      </c>
      <c r="N256" s="57">
        <f t="shared" si="54"/>
        <v>0</v>
      </c>
      <c r="O256" s="57">
        <f t="shared" si="54"/>
        <v>0</v>
      </c>
      <c r="P256" s="58">
        <f t="shared" si="54"/>
        <v>0</v>
      </c>
      <c r="Q256" s="8">
        <f t="shared" si="54"/>
        <v>0</v>
      </c>
      <c r="R256" s="57">
        <f t="shared" si="54"/>
        <v>0</v>
      </c>
      <c r="S256" s="57">
        <f t="shared" si="54"/>
        <v>0</v>
      </c>
      <c r="T256" s="57">
        <f t="shared" si="54"/>
        <v>0</v>
      </c>
      <c r="U256" s="57">
        <f t="shared" si="54"/>
        <v>0</v>
      </c>
      <c r="V256" s="58">
        <f t="shared" si="54"/>
        <v>0</v>
      </c>
      <c r="W256" s="8">
        <f t="shared" si="54"/>
        <v>0</v>
      </c>
      <c r="X256" s="57">
        <f t="shared" si="54"/>
        <v>0</v>
      </c>
      <c r="Y256" s="57">
        <f t="shared" si="54"/>
        <v>0</v>
      </c>
      <c r="Z256" s="57">
        <f t="shared" si="54"/>
        <v>0</v>
      </c>
      <c r="AA256" s="57">
        <f t="shared" si="54"/>
        <v>0</v>
      </c>
      <c r="AB256" s="58">
        <f t="shared" si="54"/>
        <v>0</v>
      </c>
      <c r="AC256" s="8">
        <f t="shared" si="54"/>
        <v>0</v>
      </c>
      <c r="AD256" s="57">
        <f t="shared" si="54"/>
        <v>0</v>
      </c>
      <c r="AE256" s="57">
        <f t="shared" si="54"/>
        <v>0</v>
      </c>
      <c r="AF256" s="57">
        <f t="shared" si="54"/>
        <v>0</v>
      </c>
      <c r="AG256" s="57">
        <f t="shared" si="54"/>
        <v>0</v>
      </c>
      <c r="AH256" s="58">
        <f t="shared" si="54"/>
        <v>0</v>
      </c>
      <c r="AI256" s="4"/>
    </row>
    <row r="257" spans="1:35" ht="13.5" customHeight="1">
      <c r="A257" s="1"/>
      <c r="B257" s="41"/>
      <c r="C257" s="110"/>
      <c r="D257" s="43"/>
      <c r="E257" s="117"/>
      <c r="F257" s="57"/>
      <c r="G257" s="57"/>
      <c r="H257" s="57"/>
      <c r="I257" s="57"/>
      <c r="J257" s="58"/>
      <c r="K257" s="8"/>
      <c r="L257" s="57"/>
      <c r="M257" s="57"/>
      <c r="N257" s="57"/>
      <c r="O257" s="57"/>
      <c r="P257" s="58"/>
      <c r="Q257" s="8"/>
      <c r="R257" s="57"/>
      <c r="S257" s="57"/>
      <c r="T257" s="57"/>
      <c r="U257" s="57"/>
      <c r="V257" s="58"/>
      <c r="W257" s="8"/>
      <c r="X257" s="57"/>
      <c r="Y257" s="57"/>
      <c r="Z257" s="57"/>
      <c r="AA257" s="57"/>
      <c r="AB257" s="58"/>
      <c r="AC257" s="8"/>
      <c r="AD257" s="57"/>
      <c r="AE257" s="57"/>
      <c r="AF257" s="57"/>
      <c r="AG257" s="57"/>
      <c r="AH257" s="58"/>
      <c r="AI257" s="4"/>
    </row>
    <row r="258" spans="1:35" ht="13.5" customHeight="1">
      <c r="A258" s="1"/>
      <c r="B258" s="35"/>
      <c r="C258" s="110" t="s">
        <v>43</v>
      </c>
      <c r="D258" s="39"/>
      <c r="E258" s="39"/>
      <c r="F258" s="4"/>
      <c r="G258" s="4"/>
      <c r="H258" s="4"/>
      <c r="I258" s="4"/>
      <c r="J258" s="18"/>
      <c r="K258" s="40"/>
      <c r="L258" s="4"/>
      <c r="M258" s="4"/>
      <c r="N258" s="4"/>
      <c r="O258" s="4"/>
      <c r="P258" s="18"/>
      <c r="Q258" s="40"/>
      <c r="R258" s="4"/>
      <c r="S258" s="4"/>
      <c r="T258" s="4"/>
      <c r="U258" s="4"/>
      <c r="V258" s="18"/>
      <c r="W258" s="40"/>
      <c r="X258" s="4"/>
      <c r="Y258" s="4"/>
      <c r="Z258" s="4"/>
      <c r="AA258" s="4"/>
      <c r="AB258" s="18"/>
      <c r="AC258" s="40"/>
      <c r="AD258" s="4"/>
      <c r="AE258" s="4"/>
      <c r="AF258" s="4"/>
      <c r="AG258" s="4"/>
      <c r="AH258" s="18"/>
      <c r="AI258" s="4"/>
    </row>
    <row r="259" spans="1:35" ht="13.5" customHeight="1">
      <c r="A259" s="1"/>
      <c r="B259" s="41">
        <f>B256+1</f>
        <v>10</v>
      </c>
      <c r="C259" s="111" t="s">
        <v>44</v>
      </c>
      <c r="D259" s="43" t="s">
        <v>36</v>
      </c>
      <c r="E259" s="39">
        <f aca="true" t="shared" si="55" ref="E259:E281">SUM(F259:AH259)</f>
        <v>133056</v>
      </c>
      <c r="F259" s="2">
        <v>133056</v>
      </c>
      <c r="G259" s="2">
        <v>0</v>
      </c>
      <c r="H259" s="2">
        <v>0</v>
      </c>
      <c r="I259" s="2">
        <v>0</v>
      </c>
      <c r="J259" s="115">
        <v>0</v>
      </c>
      <c r="K259" s="48">
        <v>0</v>
      </c>
      <c r="L259" s="2">
        <v>0</v>
      </c>
      <c r="M259" s="2">
        <v>0</v>
      </c>
      <c r="N259" s="2">
        <v>0</v>
      </c>
      <c r="O259" s="2">
        <v>0</v>
      </c>
      <c r="P259" s="115">
        <v>0</v>
      </c>
      <c r="Q259" s="48">
        <v>0</v>
      </c>
      <c r="R259" s="2">
        <v>0</v>
      </c>
      <c r="S259" s="2">
        <v>0</v>
      </c>
      <c r="T259" s="2">
        <v>0</v>
      </c>
      <c r="U259" s="2">
        <v>0</v>
      </c>
      <c r="V259" s="115">
        <v>0</v>
      </c>
      <c r="W259" s="48">
        <v>0</v>
      </c>
      <c r="X259" s="2">
        <v>0</v>
      </c>
      <c r="Y259" s="2">
        <v>0</v>
      </c>
      <c r="Z259" s="2">
        <v>0</v>
      </c>
      <c r="AA259" s="2">
        <v>0</v>
      </c>
      <c r="AB259" s="115">
        <v>0</v>
      </c>
      <c r="AC259" s="48">
        <v>0</v>
      </c>
      <c r="AD259" s="2">
        <v>0</v>
      </c>
      <c r="AE259" s="2">
        <v>0</v>
      </c>
      <c r="AF259" s="2">
        <v>0</v>
      </c>
      <c r="AG259" s="2">
        <v>0</v>
      </c>
      <c r="AH259" s="115">
        <v>0</v>
      </c>
      <c r="AI259" s="4"/>
    </row>
    <row r="260" spans="1:35" ht="13.5" customHeight="1">
      <c r="A260" s="1"/>
      <c r="B260" s="41">
        <f aca="true" t="shared" si="56" ref="B260:B282">B259+1</f>
        <v>11</v>
      </c>
      <c r="C260" s="111" t="s">
        <v>45</v>
      </c>
      <c r="D260" s="43" t="s">
        <v>36</v>
      </c>
      <c r="E260" s="39">
        <f t="shared" si="55"/>
        <v>0</v>
      </c>
      <c r="F260" s="2">
        <v>0</v>
      </c>
      <c r="G260" s="2">
        <v>0</v>
      </c>
      <c r="H260" s="2">
        <v>0</v>
      </c>
      <c r="I260" s="2">
        <v>0</v>
      </c>
      <c r="J260" s="115">
        <v>0</v>
      </c>
      <c r="K260" s="48">
        <v>0</v>
      </c>
      <c r="L260" s="2">
        <v>0</v>
      </c>
      <c r="M260" s="2">
        <v>0</v>
      </c>
      <c r="N260" s="2">
        <v>0</v>
      </c>
      <c r="O260" s="2">
        <v>0</v>
      </c>
      <c r="P260" s="115">
        <v>0</v>
      </c>
      <c r="Q260" s="48">
        <v>0</v>
      </c>
      <c r="R260" s="2">
        <v>0</v>
      </c>
      <c r="S260" s="2">
        <v>0</v>
      </c>
      <c r="T260" s="2">
        <v>0</v>
      </c>
      <c r="U260" s="2">
        <v>0</v>
      </c>
      <c r="V260" s="115">
        <v>0</v>
      </c>
      <c r="W260" s="48">
        <v>0</v>
      </c>
      <c r="X260" s="2">
        <v>0</v>
      </c>
      <c r="Y260" s="2">
        <v>0</v>
      </c>
      <c r="Z260" s="2">
        <v>0</v>
      </c>
      <c r="AA260" s="2">
        <v>0</v>
      </c>
      <c r="AB260" s="115">
        <v>0</v>
      </c>
      <c r="AC260" s="48">
        <v>0</v>
      </c>
      <c r="AD260" s="2">
        <v>0</v>
      </c>
      <c r="AE260" s="2">
        <v>0</v>
      </c>
      <c r="AF260" s="2">
        <v>0</v>
      </c>
      <c r="AG260" s="2">
        <v>0</v>
      </c>
      <c r="AH260" s="115">
        <v>0</v>
      </c>
      <c r="AI260" s="4"/>
    </row>
    <row r="261" spans="1:35" ht="13.5" customHeight="1">
      <c r="A261" s="1"/>
      <c r="B261" s="41">
        <f t="shared" si="56"/>
        <v>12</v>
      </c>
      <c r="C261" s="111" t="s">
        <v>46</v>
      </c>
      <c r="D261" s="43" t="s">
        <v>36</v>
      </c>
      <c r="E261" s="39">
        <f t="shared" si="55"/>
        <v>49798</v>
      </c>
      <c r="F261" s="2">
        <v>0</v>
      </c>
      <c r="G261" s="2">
        <v>49798</v>
      </c>
      <c r="H261" s="2">
        <v>0</v>
      </c>
      <c r="I261" s="2">
        <v>0</v>
      </c>
      <c r="J261" s="115">
        <v>0</v>
      </c>
      <c r="K261" s="48">
        <v>0</v>
      </c>
      <c r="L261" s="2">
        <v>0</v>
      </c>
      <c r="M261" s="2">
        <v>0</v>
      </c>
      <c r="N261" s="2">
        <v>0</v>
      </c>
      <c r="O261" s="2">
        <v>0</v>
      </c>
      <c r="P261" s="115">
        <v>0</v>
      </c>
      <c r="Q261" s="48">
        <v>0</v>
      </c>
      <c r="R261" s="2">
        <v>0</v>
      </c>
      <c r="S261" s="2">
        <v>0</v>
      </c>
      <c r="T261" s="2">
        <v>0</v>
      </c>
      <c r="U261" s="2">
        <v>0</v>
      </c>
      <c r="V261" s="115">
        <v>0</v>
      </c>
      <c r="W261" s="48">
        <v>0</v>
      </c>
      <c r="X261" s="2">
        <v>0</v>
      </c>
      <c r="Y261" s="2">
        <v>0</v>
      </c>
      <c r="Z261" s="2">
        <v>0</v>
      </c>
      <c r="AA261" s="2">
        <v>0</v>
      </c>
      <c r="AB261" s="115">
        <v>0</v>
      </c>
      <c r="AC261" s="48">
        <v>0</v>
      </c>
      <c r="AD261" s="2">
        <v>0</v>
      </c>
      <c r="AE261" s="2">
        <v>0</v>
      </c>
      <c r="AF261" s="2">
        <v>0</v>
      </c>
      <c r="AG261" s="2">
        <v>0</v>
      </c>
      <c r="AH261" s="115">
        <v>0</v>
      </c>
      <c r="AI261" s="4"/>
    </row>
    <row r="262" spans="1:35" ht="13.5" customHeight="1">
      <c r="A262" s="1"/>
      <c r="B262" s="41">
        <f t="shared" si="56"/>
        <v>13</v>
      </c>
      <c r="C262" s="111" t="s">
        <v>47</v>
      </c>
      <c r="D262" s="43" t="s">
        <v>36</v>
      </c>
      <c r="E262" s="39">
        <f t="shared" si="55"/>
        <v>46345</v>
      </c>
      <c r="F262" s="2">
        <v>0</v>
      </c>
      <c r="G262" s="2">
        <v>0</v>
      </c>
      <c r="H262" s="2">
        <v>46345</v>
      </c>
      <c r="I262" s="2">
        <v>0</v>
      </c>
      <c r="J262" s="115">
        <v>0</v>
      </c>
      <c r="K262" s="48">
        <v>0</v>
      </c>
      <c r="L262" s="2">
        <v>0</v>
      </c>
      <c r="M262" s="2">
        <v>0</v>
      </c>
      <c r="N262" s="2">
        <v>0</v>
      </c>
      <c r="O262" s="2">
        <v>0</v>
      </c>
      <c r="P262" s="115">
        <v>0</v>
      </c>
      <c r="Q262" s="48">
        <v>0</v>
      </c>
      <c r="R262" s="2">
        <v>0</v>
      </c>
      <c r="S262" s="2">
        <v>0</v>
      </c>
      <c r="T262" s="2">
        <v>0</v>
      </c>
      <c r="U262" s="2">
        <v>0</v>
      </c>
      <c r="V262" s="115">
        <v>0</v>
      </c>
      <c r="W262" s="48">
        <v>0</v>
      </c>
      <c r="X262" s="2">
        <v>0</v>
      </c>
      <c r="Y262" s="2">
        <v>0</v>
      </c>
      <c r="Z262" s="2">
        <v>0</v>
      </c>
      <c r="AA262" s="2">
        <v>0</v>
      </c>
      <c r="AB262" s="115">
        <v>0</v>
      </c>
      <c r="AC262" s="48">
        <v>0</v>
      </c>
      <c r="AD262" s="2">
        <v>0</v>
      </c>
      <c r="AE262" s="2">
        <v>0</v>
      </c>
      <c r="AF262" s="2">
        <v>0</v>
      </c>
      <c r="AG262" s="2">
        <v>0</v>
      </c>
      <c r="AH262" s="115">
        <v>0</v>
      </c>
      <c r="AI262" s="4"/>
    </row>
    <row r="263" spans="1:35" ht="13.5" customHeight="1">
      <c r="A263" s="1"/>
      <c r="B263" s="41">
        <f t="shared" si="56"/>
        <v>14</v>
      </c>
      <c r="C263" s="111" t="s">
        <v>48</v>
      </c>
      <c r="D263" s="43" t="s">
        <v>36</v>
      </c>
      <c r="E263" s="39">
        <f t="shared" si="55"/>
        <v>0</v>
      </c>
      <c r="F263" s="1">
        <v>0</v>
      </c>
      <c r="G263" s="1">
        <v>0</v>
      </c>
      <c r="H263" s="1">
        <v>0</v>
      </c>
      <c r="I263" s="1">
        <v>0</v>
      </c>
      <c r="J263" s="67">
        <v>0</v>
      </c>
      <c r="K263" s="42">
        <v>0</v>
      </c>
      <c r="L263" s="1">
        <v>0</v>
      </c>
      <c r="M263" s="1">
        <v>0</v>
      </c>
      <c r="N263" s="1">
        <v>0</v>
      </c>
      <c r="O263" s="1">
        <v>0</v>
      </c>
      <c r="P263" s="67">
        <v>0</v>
      </c>
      <c r="Q263" s="42">
        <v>0</v>
      </c>
      <c r="R263" s="1">
        <v>0</v>
      </c>
      <c r="S263" s="1">
        <v>0</v>
      </c>
      <c r="T263" s="1">
        <v>0</v>
      </c>
      <c r="U263" s="1">
        <v>0</v>
      </c>
      <c r="V263" s="67">
        <v>0</v>
      </c>
      <c r="W263" s="42">
        <v>0</v>
      </c>
      <c r="X263" s="1">
        <v>0</v>
      </c>
      <c r="Y263" s="1">
        <v>0</v>
      </c>
      <c r="Z263" s="1">
        <v>0</v>
      </c>
      <c r="AA263" s="1">
        <v>0</v>
      </c>
      <c r="AB263" s="67">
        <v>0</v>
      </c>
      <c r="AC263" s="42">
        <v>0</v>
      </c>
      <c r="AD263" s="1">
        <v>0</v>
      </c>
      <c r="AE263" s="1">
        <v>0</v>
      </c>
      <c r="AF263" s="1">
        <v>0</v>
      </c>
      <c r="AG263" s="1">
        <v>0</v>
      </c>
      <c r="AH263" s="67">
        <v>0</v>
      </c>
      <c r="AI263" s="4"/>
    </row>
    <row r="264" spans="1:35" ht="13.5" customHeight="1">
      <c r="A264" s="1"/>
      <c r="B264" s="41">
        <f t="shared" si="56"/>
        <v>15</v>
      </c>
      <c r="C264" s="111" t="s">
        <v>49</v>
      </c>
      <c r="D264" s="43" t="s">
        <v>36</v>
      </c>
      <c r="E264" s="39">
        <f t="shared" si="55"/>
        <v>23918</v>
      </c>
      <c r="F264" s="1">
        <v>0</v>
      </c>
      <c r="G264" s="1">
        <v>0</v>
      </c>
      <c r="H264" s="1">
        <v>0</v>
      </c>
      <c r="I264" s="1">
        <v>23918</v>
      </c>
      <c r="J264" s="67">
        <v>0</v>
      </c>
      <c r="K264" s="42">
        <v>0</v>
      </c>
      <c r="L264" s="1">
        <v>0</v>
      </c>
      <c r="M264" s="1">
        <v>0</v>
      </c>
      <c r="N264" s="1">
        <v>0</v>
      </c>
      <c r="O264" s="1">
        <v>0</v>
      </c>
      <c r="P264" s="67">
        <v>0</v>
      </c>
      <c r="Q264" s="42">
        <v>0</v>
      </c>
      <c r="R264" s="1">
        <v>0</v>
      </c>
      <c r="S264" s="1">
        <v>0</v>
      </c>
      <c r="T264" s="1">
        <v>0</v>
      </c>
      <c r="U264" s="1">
        <v>0</v>
      </c>
      <c r="V264" s="67">
        <v>0</v>
      </c>
      <c r="W264" s="42">
        <v>0</v>
      </c>
      <c r="X264" s="1">
        <v>0</v>
      </c>
      <c r="Y264" s="1">
        <v>0</v>
      </c>
      <c r="Z264" s="1">
        <v>0</v>
      </c>
      <c r="AA264" s="1">
        <v>0</v>
      </c>
      <c r="AB264" s="67">
        <v>0</v>
      </c>
      <c r="AC264" s="42">
        <v>0</v>
      </c>
      <c r="AD264" s="1">
        <v>0</v>
      </c>
      <c r="AE264" s="1">
        <v>0</v>
      </c>
      <c r="AF264" s="1">
        <v>0</v>
      </c>
      <c r="AG264" s="1">
        <v>0</v>
      </c>
      <c r="AH264" s="67">
        <v>0</v>
      </c>
      <c r="AI264" s="4"/>
    </row>
    <row r="265" spans="1:35" ht="13.5" customHeight="1">
      <c r="A265" s="1"/>
      <c r="B265" s="41">
        <f t="shared" si="56"/>
        <v>16</v>
      </c>
      <c r="C265" s="111" t="s">
        <v>50</v>
      </c>
      <c r="D265" s="43" t="s">
        <v>36</v>
      </c>
      <c r="E265" s="39">
        <f t="shared" si="55"/>
        <v>0</v>
      </c>
      <c r="F265" s="2">
        <v>0</v>
      </c>
      <c r="G265" s="2">
        <v>0</v>
      </c>
      <c r="H265" s="2">
        <v>0</v>
      </c>
      <c r="I265" s="2">
        <v>0</v>
      </c>
      <c r="J265" s="115">
        <v>0</v>
      </c>
      <c r="K265" s="48">
        <v>0</v>
      </c>
      <c r="L265" s="2">
        <v>0</v>
      </c>
      <c r="M265" s="2">
        <v>0</v>
      </c>
      <c r="N265" s="2">
        <v>0</v>
      </c>
      <c r="O265" s="2">
        <v>0</v>
      </c>
      <c r="P265" s="115">
        <v>0</v>
      </c>
      <c r="Q265" s="48">
        <v>0</v>
      </c>
      <c r="R265" s="2">
        <v>0</v>
      </c>
      <c r="S265" s="2">
        <v>0</v>
      </c>
      <c r="T265" s="2">
        <v>0</v>
      </c>
      <c r="U265" s="2">
        <v>0</v>
      </c>
      <c r="V265" s="115">
        <v>0</v>
      </c>
      <c r="W265" s="48">
        <v>0</v>
      </c>
      <c r="X265" s="2">
        <v>0</v>
      </c>
      <c r="Y265" s="2">
        <v>0</v>
      </c>
      <c r="Z265" s="2">
        <v>0</v>
      </c>
      <c r="AA265" s="2">
        <v>0</v>
      </c>
      <c r="AB265" s="115">
        <v>0</v>
      </c>
      <c r="AC265" s="48">
        <v>0</v>
      </c>
      <c r="AD265" s="2">
        <v>0</v>
      </c>
      <c r="AE265" s="2">
        <v>0</v>
      </c>
      <c r="AF265" s="2">
        <v>0</v>
      </c>
      <c r="AG265" s="2">
        <v>0</v>
      </c>
      <c r="AH265" s="115">
        <v>0</v>
      </c>
      <c r="AI265" s="4"/>
    </row>
    <row r="266" spans="1:35" ht="13.5" customHeight="1">
      <c r="A266" s="1"/>
      <c r="B266" s="41">
        <f t="shared" si="56"/>
        <v>17</v>
      </c>
      <c r="C266" s="111" t="s">
        <v>51</v>
      </c>
      <c r="D266" s="43" t="s">
        <v>36</v>
      </c>
      <c r="E266" s="39">
        <f t="shared" si="55"/>
        <v>0</v>
      </c>
      <c r="F266" s="2">
        <v>0</v>
      </c>
      <c r="G266" s="2">
        <v>0</v>
      </c>
      <c r="H266" s="2">
        <v>0</v>
      </c>
      <c r="I266" s="2">
        <v>0</v>
      </c>
      <c r="J266" s="115">
        <v>0</v>
      </c>
      <c r="K266" s="48">
        <v>0</v>
      </c>
      <c r="L266" s="2">
        <v>0</v>
      </c>
      <c r="M266" s="2">
        <v>0</v>
      </c>
      <c r="N266" s="2">
        <v>0</v>
      </c>
      <c r="O266" s="2">
        <v>0</v>
      </c>
      <c r="P266" s="115">
        <v>0</v>
      </c>
      <c r="Q266" s="48">
        <v>0</v>
      </c>
      <c r="R266" s="2">
        <v>0</v>
      </c>
      <c r="S266" s="2">
        <v>0</v>
      </c>
      <c r="T266" s="2">
        <v>0</v>
      </c>
      <c r="U266" s="2">
        <v>0</v>
      </c>
      <c r="V266" s="115">
        <v>0</v>
      </c>
      <c r="W266" s="48">
        <v>0</v>
      </c>
      <c r="X266" s="2">
        <v>0</v>
      </c>
      <c r="Y266" s="2">
        <v>0</v>
      </c>
      <c r="Z266" s="2">
        <v>0</v>
      </c>
      <c r="AA266" s="2">
        <v>0</v>
      </c>
      <c r="AB266" s="115">
        <v>0</v>
      </c>
      <c r="AC266" s="48">
        <v>0</v>
      </c>
      <c r="AD266" s="2">
        <v>0</v>
      </c>
      <c r="AE266" s="2">
        <v>0</v>
      </c>
      <c r="AF266" s="2">
        <v>0</v>
      </c>
      <c r="AG266" s="2">
        <v>0</v>
      </c>
      <c r="AH266" s="115">
        <v>0</v>
      </c>
      <c r="AI266" s="4"/>
    </row>
    <row r="267" spans="1:35" ht="13.5" customHeight="1">
      <c r="A267" s="1"/>
      <c r="B267" s="41">
        <f t="shared" si="56"/>
        <v>18</v>
      </c>
      <c r="C267" s="111" t="s">
        <v>52</v>
      </c>
      <c r="D267" s="43" t="s">
        <v>36</v>
      </c>
      <c r="E267" s="39">
        <f t="shared" si="55"/>
        <v>0</v>
      </c>
      <c r="F267" s="2">
        <v>0</v>
      </c>
      <c r="G267" s="2">
        <v>0</v>
      </c>
      <c r="H267" s="2">
        <v>0</v>
      </c>
      <c r="I267" s="2">
        <v>0</v>
      </c>
      <c r="J267" s="115">
        <v>0</v>
      </c>
      <c r="K267" s="48">
        <v>0</v>
      </c>
      <c r="L267" s="2">
        <v>0</v>
      </c>
      <c r="M267" s="2">
        <v>0</v>
      </c>
      <c r="N267" s="2">
        <v>0</v>
      </c>
      <c r="O267" s="2">
        <v>0</v>
      </c>
      <c r="P267" s="115">
        <v>0</v>
      </c>
      <c r="Q267" s="48">
        <v>0</v>
      </c>
      <c r="R267" s="2">
        <v>0</v>
      </c>
      <c r="S267" s="2">
        <v>0</v>
      </c>
      <c r="T267" s="2">
        <v>0</v>
      </c>
      <c r="U267" s="2">
        <v>0</v>
      </c>
      <c r="V267" s="115">
        <v>0</v>
      </c>
      <c r="W267" s="48">
        <v>0</v>
      </c>
      <c r="X267" s="2">
        <v>0</v>
      </c>
      <c r="Y267" s="2">
        <v>0</v>
      </c>
      <c r="Z267" s="2">
        <v>0</v>
      </c>
      <c r="AA267" s="2">
        <v>0</v>
      </c>
      <c r="AB267" s="115">
        <v>0</v>
      </c>
      <c r="AC267" s="48">
        <v>0</v>
      </c>
      <c r="AD267" s="2">
        <v>0</v>
      </c>
      <c r="AE267" s="2">
        <v>0</v>
      </c>
      <c r="AF267" s="2">
        <v>0</v>
      </c>
      <c r="AG267" s="2">
        <v>0</v>
      </c>
      <c r="AH267" s="115">
        <v>0</v>
      </c>
      <c r="AI267" s="4"/>
    </row>
    <row r="268" spans="1:35" ht="13.5" customHeight="1">
      <c r="A268" s="1"/>
      <c r="B268" s="41">
        <f t="shared" si="56"/>
        <v>19</v>
      </c>
      <c r="C268" s="111" t="s">
        <v>53</v>
      </c>
      <c r="D268" s="43" t="s">
        <v>36</v>
      </c>
      <c r="E268" s="39">
        <f t="shared" si="55"/>
        <v>0</v>
      </c>
      <c r="F268" s="2">
        <v>0</v>
      </c>
      <c r="G268" s="2">
        <v>0</v>
      </c>
      <c r="H268" s="2">
        <v>0</v>
      </c>
      <c r="I268" s="2">
        <v>0</v>
      </c>
      <c r="J268" s="115">
        <v>0</v>
      </c>
      <c r="K268" s="48">
        <v>0</v>
      </c>
      <c r="L268" s="2">
        <v>0</v>
      </c>
      <c r="M268" s="2">
        <v>0</v>
      </c>
      <c r="N268" s="2">
        <v>0</v>
      </c>
      <c r="O268" s="2">
        <v>0</v>
      </c>
      <c r="P268" s="115">
        <v>0</v>
      </c>
      <c r="Q268" s="48">
        <v>0</v>
      </c>
      <c r="R268" s="2">
        <v>0</v>
      </c>
      <c r="S268" s="2">
        <v>0</v>
      </c>
      <c r="T268" s="2">
        <v>0</v>
      </c>
      <c r="U268" s="2">
        <v>0</v>
      </c>
      <c r="V268" s="115">
        <v>0</v>
      </c>
      <c r="W268" s="48">
        <v>0</v>
      </c>
      <c r="X268" s="2">
        <v>0</v>
      </c>
      <c r="Y268" s="2">
        <v>0</v>
      </c>
      <c r="Z268" s="2">
        <v>0</v>
      </c>
      <c r="AA268" s="2">
        <v>0</v>
      </c>
      <c r="AB268" s="115">
        <v>0</v>
      </c>
      <c r="AC268" s="48">
        <v>0</v>
      </c>
      <c r="AD268" s="2">
        <v>0</v>
      </c>
      <c r="AE268" s="2">
        <v>0</v>
      </c>
      <c r="AF268" s="2">
        <v>0</v>
      </c>
      <c r="AG268" s="2">
        <v>0</v>
      </c>
      <c r="AH268" s="115">
        <v>0</v>
      </c>
      <c r="AI268" s="4"/>
    </row>
    <row r="269" spans="1:35" ht="13.5" customHeight="1">
      <c r="A269" s="1"/>
      <c r="B269" s="41">
        <f t="shared" si="56"/>
        <v>20</v>
      </c>
      <c r="C269" s="42" t="s">
        <v>55</v>
      </c>
      <c r="D269" s="43" t="s">
        <v>36</v>
      </c>
      <c r="E269" s="39">
        <f t="shared" si="55"/>
        <v>0</v>
      </c>
      <c r="F269" s="2">
        <v>0</v>
      </c>
      <c r="G269" s="2">
        <v>0</v>
      </c>
      <c r="H269" s="2">
        <v>0</v>
      </c>
      <c r="I269" s="2">
        <v>0</v>
      </c>
      <c r="J269" s="115">
        <v>0</v>
      </c>
      <c r="K269" s="48">
        <v>0</v>
      </c>
      <c r="L269" s="2">
        <v>0</v>
      </c>
      <c r="M269" s="2">
        <v>0</v>
      </c>
      <c r="N269" s="2">
        <v>0</v>
      </c>
      <c r="O269" s="2">
        <v>0</v>
      </c>
      <c r="P269" s="115">
        <v>0</v>
      </c>
      <c r="Q269" s="48">
        <v>0</v>
      </c>
      <c r="R269" s="2">
        <v>0</v>
      </c>
      <c r="S269" s="2">
        <v>0</v>
      </c>
      <c r="T269" s="2">
        <v>0</v>
      </c>
      <c r="U269" s="2">
        <v>0</v>
      </c>
      <c r="V269" s="115">
        <v>0</v>
      </c>
      <c r="W269" s="48">
        <v>0</v>
      </c>
      <c r="X269" s="2">
        <v>0</v>
      </c>
      <c r="Y269" s="2">
        <v>0</v>
      </c>
      <c r="Z269" s="2">
        <v>0</v>
      </c>
      <c r="AA269" s="2">
        <v>0</v>
      </c>
      <c r="AB269" s="115">
        <v>0</v>
      </c>
      <c r="AC269" s="48">
        <v>0</v>
      </c>
      <c r="AD269" s="2">
        <v>0</v>
      </c>
      <c r="AE269" s="2">
        <v>0</v>
      </c>
      <c r="AF269" s="2">
        <v>0</v>
      </c>
      <c r="AG269" s="2">
        <v>0</v>
      </c>
      <c r="AH269" s="115">
        <v>0</v>
      </c>
      <c r="AI269" s="4"/>
    </row>
    <row r="270" spans="1:35" ht="13.5" customHeight="1">
      <c r="A270" s="1"/>
      <c r="B270" s="41">
        <f t="shared" si="56"/>
        <v>21</v>
      </c>
      <c r="C270" s="42" t="s">
        <v>54</v>
      </c>
      <c r="D270" s="43" t="s">
        <v>36</v>
      </c>
      <c r="E270" s="39">
        <f t="shared" si="55"/>
        <v>0</v>
      </c>
      <c r="F270" s="2">
        <v>0</v>
      </c>
      <c r="G270" s="2">
        <v>0</v>
      </c>
      <c r="H270" s="2">
        <v>0</v>
      </c>
      <c r="I270" s="2">
        <v>0</v>
      </c>
      <c r="J270" s="115">
        <v>0</v>
      </c>
      <c r="K270" s="48">
        <v>0</v>
      </c>
      <c r="L270" s="2">
        <v>0</v>
      </c>
      <c r="M270" s="2">
        <v>0</v>
      </c>
      <c r="N270" s="2">
        <v>0</v>
      </c>
      <c r="O270" s="2">
        <v>0</v>
      </c>
      <c r="P270" s="115">
        <v>0</v>
      </c>
      <c r="Q270" s="48">
        <v>0</v>
      </c>
      <c r="R270" s="2">
        <v>0</v>
      </c>
      <c r="S270" s="2">
        <v>0</v>
      </c>
      <c r="T270" s="2">
        <v>0</v>
      </c>
      <c r="U270" s="2">
        <v>0</v>
      </c>
      <c r="V270" s="115">
        <v>0</v>
      </c>
      <c r="W270" s="48">
        <v>0</v>
      </c>
      <c r="X270" s="2">
        <v>0</v>
      </c>
      <c r="Y270" s="2">
        <v>0</v>
      </c>
      <c r="Z270" s="2">
        <v>0</v>
      </c>
      <c r="AA270" s="2">
        <v>0</v>
      </c>
      <c r="AB270" s="115">
        <v>0</v>
      </c>
      <c r="AC270" s="48">
        <v>0</v>
      </c>
      <c r="AD270" s="2">
        <v>0</v>
      </c>
      <c r="AE270" s="2">
        <v>0</v>
      </c>
      <c r="AF270" s="2">
        <v>0</v>
      </c>
      <c r="AG270" s="2">
        <v>0</v>
      </c>
      <c r="AH270" s="115">
        <v>0</v>
      </c>
      <c r="AI270" s="4"/>
    </row>
    <row r="271" spans="1:35" ht="13.5" customHeight="1">
      <c r="A271" s="1"/>
      <c r="B271" s="41">
        <f t="shared" si="56"/>
        <v>22</v>
      </c>
      <c r="C271" s="111" t="s">
        <v>56</v>
      </c>
      <c r="D271" s="43" t="s">
        <v>36</v>
      </c>
      <c r="E271" s="39">
        <f t="shared" si="55"/>
        <v>0</v>
      </c>
      <c r="F271" s="2">
        <v>0</v>
      </c>
      <c r="G271" s="2">
        <v>0</v>
      </c>
      <c r="H271" s="2">
        <v>0</v>
      </c>
      <c r="I271" s="2">
        <v>0</v>
      </c>
      <c r="J271" s="115">
        <v>0</v>
      </c>
      <c r="K271" s="48">
        <v>0</v>
      </c>
      <c r="L271" s="2">
        <v>0</v>
      </c>
      <c r="M271" s="2">
        <v>0</v>
      </c>
      <c r="N271" s="2">
        <v>0</v>
      </c>
      <c r="O271" s="2">
        <v>0</v>
      </c>
      <c r="P271" s="115">
        <v>0</v>
      </c>
      <c r="Q271" s="48">
        <v>0</v>
      </c>
      <c r="R271" s="2">
        <v>0</v>
      </c>
      <c r="S271" s="2">
        <v>0</v>
      </c>
      <c r="T271" s="2">
        <v>0</v>
      </c>
      <c r="U271" s="2">
        <v>0</v>
      </c>
      <c r="V271" s="115">
        <v>0</v>
      </c>
      <c r="W271" s="48">
        <v>0</v>
      </c>
      <c r="X271" s="2">
        <v>0</v>
      </c>
      <c r="Y271" s="2">
        <v>0</v>
      </c>
      <c r="Z271" s="2">
        <v>0</v>
      </c>
      <c r="AA271" s="2">
        <v>0</v>
      </c>
      <c r="AB271" s="115">
        <v>0</v>
      </c>
      <c r="AC271" s="48">
        <v>0</v>
      </c>
      <c r="AD271" s="2">
        <v>0</v>
      </c>
      <c r="AE271" s="2">
        <v>0</v>
      </c>
      <c r="AF271" s="2">
        <v>0</v>
      </c>
      <c r="AG271" s="2">
        <v>0</v>
      </c>
      <c r="AH271" s="115">
        <v>0</v>
      </c>
      <c r="AI271" s="4"/>
    </row>
    <row r="272" spans="1:35" ht="13.5" customHeight="1">
      <c r="A272" s="1"/>
      <c r="B272" s="41">
        <f t="shared" si="56"/>
        <v>23</v>
      </c>
      <c r="C272" s="111" t="s">
        <v>57</v>
      </c>
      <c r="D272" s="43" t="s">
        <v>36</v>
      </c>
      <c r="E272" s="39">
        <f t="shared" si="55"/>
        <v>-6342</v>
      </c>
      <c r="F272" s="2">
        <v>0</v>
      </c>
      <c r="G272" s="2">
        <v>0</v>
      </c>
      <c r="H272" s="2">
        <v>0</v>
      </c>
      <c r="I272" s="2">
        <v>0</v>
      </c>
      <c r="J272" s="115">
        <v>-6342</v>
      </c>
      <c r="K272" s="48">
        <v>0</v>
      </c>
      <c r="L272" s="2">
        <v>0</v>
      </c>
      <c r="M272" s="2">
        <v>0</v>
      </c>
      <c r="N272" s="2">
        <v>0</v>
      </c>
      <c r="O272" s="2">
        <v>0</v>
      </c>
      <c r="P272" s="115">
        <v>0</v>
      </c>
      <c r="Q272" s="48">
        <v>0</v>
      </c>
      <c r="R272" s="2">
        <v>0</v>
      </c>
      <c r="S272" s="2">
        <v>0</v>
      </c>
      <c r="T272" s="2">
        <v>0</v>
      </c>
      <c r="U272" s="2">
        <v>0</v>
      </c>
      <c r="V272" s="115">
        <v>0</v>
      </c>
      <c r="W272" s="48">
        <v>0</v>
      </c>
      <c r="X272" s="2">
        <v>0</v>
      </c>
      <c r="Y272" s="2">
        <v>0</v>
      </c>
      <c r="Z272" s="2">
        <v>0</v>
      </c>
      <c r="AA272" s="2">
        <v>0</v>
      </c>
      <c r="AB272" s="115">
        <v>0</v>
      </c>
      <c r="AC272" s="48">
        <v>0</v>
      </c>
      <c r="AD272" s="2">
        <v>0</v>
      </c>
      <c r="AE272" s="2">
        <v>0</v>
      </c>
      <c r="AF272" s="2">
        <v>0</v>
      </c>
      <c r="AG272" s="2">
        <v>0</v>
      </c>
      <c r="AH272" s="115">
        <v>0</v>
      </c>
      <c r="AI272" s="4"/>
    </row>
    <row r="273" spans="1:35" ht="13.5" customHeight="1">
      <c r="A273" s="1"/>
      <c r="B273" s="41">
        <f t="shared" si="56"/>
        <v>24</v>
      </c>
      <c r="C273" s="111" t="s">
        <v>58</v>
      </c>
      <c r="D273" s="43" t="s">
        <v>36</v>
      </c>
      <c r="E273" s="39">
        <f t="shared" si="55"/>
        <v>55069</v>
      </c>
      <c r="F273" s="2">
        <v>0</v>
      </c>
      <c r="G273" s="2">
        <v>0</v>
      </c>
      <c r="H273" s="2">
        <v>0</v>
      </c>
      <c r="I273" s="2">
        <v>0</v>
      </c>
      <c r="J273" s="115">
        <v>0</v>
      </c>
      <c r="K273" s="48">
        <v>55069</v>
      </c>
      <c r="L273" s="2">
        <v>0</v>
      </c>
      <c r="M273" s="2">
        <v>0</v>
      </c>
      <c r="N273" s="2">
        <v>0</v>
      </c>
      <c r="O273" s="2">
        <v>0</v>
      </c>
      <c r="P273" s="115">
        <v>0</v>
      </c>
      <c r="Q273" s="48">
        <v>0</v>
      </c>
      <c r="R273" s="2">
        <v>0</v>
      </c>
      <c r="S273" s="2">
        <v>0</v>
      </c>
      <c r="T273" s="2">
        <v>0</v>
      </c>
      <c r="U273" s="2">
        <v>0</v>
      </c>
      <c r="V273" s="115">
        <v>0</v>
      </c>
      <c r="W273" s="48">
        <v>0</v>
      </c>
      <c r="X273" s="2">
        <v>0</v>
      </c>
      <c r="Y273" s="2">
        <v>0</v>
      </c>
      <c r="Z273" s="2">
        <v>0</v>
      </c>
      <c r="AA273" s="2">
        <v>0</v>
      </c>
      <c r="AB273" s="115">
        <v>0</v>
      </c>
      <c r="AC273" s="48">
        <v>0</v>
      </c>
      <c r="AD273" s="2">
        <v>0</v>
      </c>
      <c r="AE273" s="2">
        <v>0</v>
      </c>
      <c r="AF273" s="2">
        <v>0</v>
      </c>
      <c r="AG273" s="2">
        <v>0</v>
      </c>
      <c r="AH273" s="115">
        <v>0</v>
      </c>
      <c r="AI273" s="4"/>
    </row>
    <row r="274" spans="1:35" ht="13.5" customHeight="1">
      <c r="A274" s="1"/>
      <c r="B274" s="41">
        <f t="shared" si="56"/>
        <v>25</v>
      </c>
      <c r="C274" s="111" t="s">
        <v>59</v>
      </c>
      <c r="D274" s="43" t="s">
        <v>36</v>
      </c>
      <c r="E274" s="39">
        <f t="shared" si="55"/>
        <v>0</v>
      </c>
      <c r="F274" s="1">
        <v>0</v>
      </c>
      <c r="G274" s="1">
        <v>0</v>
      </c>
      <c r="H274" s="1">
        <v>0</v>
      </c>
      <c r="I274" s="1">
        <v>0</v>
      </c>
      <c r="J274" s="67">
        <v>0</v>
      </c>
      <c r="K274" s="42">
        <v>0</v>
      </c>
      <c r="L274" s="1">
        <v>0</v>
      </c>
      <c r="M274" s="1">
        <v>0</v>
      </c>
      <c r="N274" s="1">
        <v>0</v>
      </c>
      <c r="O274" s="1">
        <v>0</v>
      </c>
      <c r="P274" s="67">
        <v>0</v>
      </c>
      <c r="Q274" s="42">
        <v>0</v>
      </c>
      <c r="R274" s="1">
        <v>0</v>
      </c>
      <c r="S274" s="1">
        <v>0</v>
      </c>
      <c r="T274" s="1">
        <v>0</v>
      </c>
      <c r="U274" s="1">
        <v>0</v>
      </c>
      <c r="V274" s="67">
        <v>0</v>
      </c>
      <c r="W274" s="42">
        <v>0</v>
      </c>
      <c r="X274" s="1">
        <v>0</v>
      </c>
      <c r="Y274" s="1">
        <v>0</v>
      </c>
      <c r="Z274" s="1">
        <v>0</v>
      </c>
      <c r="AA274" s="1">
        <v>0</v>
      </c>
      <c r="AB274" s="67">
        <v>0</v>
      </c>
      <c r="AC274" s="42">
        <v>0</v>
      </c>
      <c r="AD274" s="1">
        <v>0</v>
      </c>
      <c r="AE274" s="1">
        <v>0</v>
      </c>
      <c r="AF274" s="1">
        <v>0</v>
      </c>
      <c r="AG274" s="1">
        <v>0</v>
      </c>
      <c r="AH274" s="67">
        <v>0</v>
      </c>
      <c r="AI274" s="4"/>
    </row>
    <row r="275" spans="1:35" ht="13.5" customHeight="1">
      <c r="A275" s="1"/>
      <c r="B275" s="41">
        <f t="shared" si="56"/>
        <v>26</v>
      </c>
      <c r="C275" s="111" t="s">
        <v>60</v>
      </c>
      <c r="D275" s="43" t="s">
        <v>36</v>
      </c>
      <c r="E275" s="39">
        <f t="shared" si="55"/>
        <v>-3500</v>
      </c>
      <c r="F275" s="1">
        <v>0</v>
      </c>
      <c r="G275" s="1">
        <v>0</v>
      </c>
      <c r="H275" s="1">
        <v>0</v>
      </c>
      <c r="I275" s="1">
        <v>0</v>
      </c>
      <c r="J275" s="67">
        <v>0</v>
      </c>
      <c r="K275" s="42">
        <v>0</v>
      </c>
      <c r="L275" s="1">
        <v>-3500</v>
      </c>
      <c r="M275" s="1">
        <v>0</v>
      </c>
      <c r="N275" s="1">
        <v>0</v>
      </c>
      <c r="O275" s="1">
        <v>0</v>
      </c>
      <c r="P275" s="67">
        <v>0</v>
      </c>
      <c r="Q275" s="42">
        <v>0</v>
      </c>
      <c r="R275" s="1">
        <v>0</v>
      </c>
      <c r="S275" s="1">
        <v>0</v>
      </c>
      <c r="T275" s="1">
        <v>0</v>
      </c>
      <c r="U275" s="1">
        <v>0</v>
      </c>
      <c r="V275" s="67">
        <v>0</v>
      </c>
      <c r="W275" s="42">
        <v>0</v>
      </c>
      <c r="X275" s="1">
        <v>0</v>
      </c>
      <c r="Y275" s="1">
        <v>0</v>
      </c>
      <c r="Z275" s="1">
        <v>0</v>
      </c>
      <c r="AA275" s="1">
        <v>0</v>
      </c>
      <c r="AB275" s="67">
        <v>0</v>
      </c>
      <c r="AC275" s="42">
        <v>0</v>
      </c>
      <c r="AD275" s="1">
        <v>0</v>
      </c>
      <c r="AE275" s="1">
        <v>0</v>
      </c>
      <c r="AF275" s="1">
        <v>0</v>
      </c>
      <c r="AG275" s="1">
        <v>0</v>
      </c>
      <c r="AH275" s="67">
        <v>0</v>
      </c>
      <c r="AI275" s="4"/>
    </row>
    <row r="276" spans="1:35" ht="13.5" customHeight="1">
      <c r="A276" s="1"/>
      <c r="B276" s="41">
        <f t="shared" si="56"/>
        <v>27</v>
      </c>
      <c r="C276" s="111" t="s">
        <v>607</v>
      </c>
      <c r="D276" s="43" t="s">
        <v>36</v>
      </c>
      <c r="E276" s="39">
        <f t="shared" si="55"/>
        <v>3999</v>
      </c>
      <c r="F276" s="1">
        <v>0</v>
      </c>
      <c r="G276" s="1">
        <v>0</v>
      </c>
      <c r="H276" s="1">
        <v>0</v>
      </c>
      <c r="I276" s="1">
        <v>0</v>
      </c>
      <c r="J276" s="67">
        <v>0</v>
      </c>
      <c r="K276" s="42">
        <v>0</v>
      </c>
      <c r="L276" s="1">
        <v>0</v>
      </c>
      <c r="M276" s="1">
        <v>0</v>
      </c>
      <c r="N276" s="1">
        <v>9239</v>
      </c>
      <c r="O276" s="1">
        <v>0</v>
      </c>
      <c r="P276" s="67">
        <f>-7269+2029</f>
        <v>-5240</v>
      </c>
      <c r="Q276" s="42">
        <v>0</v>
      </c>
      <c r="R276" s="1">
        <v>0</v>
      </c>
      <c r="S276" s="1">
        <v>0</v>
      </c>
      <c r="T276" s="1">
        <v>0</v>
      </c>
      <c r="U276" s="1">
        <v>0</v>
      </c>
      <c r="V276" s="67">
        <v>0</v>
      </c>
      <c r="W276" s="42">
        <v>0</v>
      </c>
      <c r="X276" s="1">
        <v>0</v>
      </c>
      <c r="Y276" s="1">
        <v>0</v>
      </c>
      <c r="Z276" s="1">
        <v>0</v>
      </c>
      <c r="AA276" s="1">
        <v>0</v>
      </c>
      <c r="AB276" s="67">
        <v>0</v>
      </c>
      <c r="AC276" s="42">
        <v>0</v>
      </c>
      <c r="AD276" s="1">
        <v>0</v>
      </c>
      <c r="AE276" s="1">
        <v>0</v>
      </c>
      <c r="AF276" s="1">
        <v>0</v>
      </c>
      <c r="AG276" s="1">
        <v>0</v>
      </c>
      <c r="AH276" s="67">
        <v>0</v>
      </c>
      <c r="AI276" s="4"/>
    </row>
    <row r="277" spans="1:35" ht="13.5" customHeight="1">
      <c r="A277" s="1"/>
      <c r="B277" s="41">
        <f t="shared" si="56"/>
        <v>28</v>
      </c>
      <c r="C277" s="111" t="s">
        <v>608</v>
      </c>
      <c r="D277" s="43" t="s">
        <v>36</v>
      </c>
      <c r="E277" s="39">
        <f t="shared" si="55"/>
        <v>0</v>
      </c>
      <c r="F277" s="1">
        <v>0</v>
      </c>
      <c r="G277" s="1">
        <v>0</v>
      </c>
      <c r="H277" s="1">
        <v>0</v>
      </c>
      <c r="I277" s="1">
        <v>0</v>
      </c>
      <c r="J277" s="67">
        <v>0</v>
      </c>
      <c r="K277" s="42">
        <v>0</v>
      </c>
      <c r="L277" s="1">
        <v>0</v>
      </c>
      <c r="M277" s="1">
        <v>0</v>
      </c>
      <c r="N277" s="1">
        <v>0</v>
      </c>
      <c r="O277" s="1">
        <v>0</v>
      </c>
      <c r="P277" s="67">
        <v>0</v>
      </c>
      <c r="Q277" s="42">
        <v>0</v>
      </c>
      <c r="R277" s="1">
        <v>0</v>
      </c>
      <c r="S277" s="1">
        <v>0</v>
      </c>
      <c r="T277" s="1">
        <v>0</v>
      </c>
      <c r="U277" s="1">
        <v>0</v>
      </c>
      <c r="V277" s="67">
        <v>0</v>
      </c>
      <c r="W277" s="42">
        <v>0</v>
      </c>
      <c r="X277" s="1">
        <v>0</v>
      </c>
      <c r="Y277" s="1">
        <v>0</v>
      </c>
      <c r="Z277" s="1">
        <v>0</v>
      </c>
      <c r="AA277" s="1">
        <v>0</v>
      </c>
      <c r="AB277" s="67">
        <v>0</v>
      </c>
      <c r="AC277" s="42">
        <v>0</v>
      </c>
      <c r="AD277" s="1">
        <v>0</v>
      </c>
      <c r="AE277" s="1">
        <v>0</v>
      </c>
      <c r="AF277" s="1">
        <v>0</v>
      </c>
      <c r="AG277" s="1">
        <v>0</v>
      </c>
      <c r="AH277" s="67">
        <v>0</v>
      </c>
      <c r="AI277" s="4"/>
    </row>
    <row r="278" spans="1:35" ht="13.5" customHeight="1">
      <c r="A278" s="1"/>
      <c r="B278" s="41">
        <f t="shared" si="56"/>
        <v>29</v>
      </c>
      <c r="C278" s="111" t="s">
        <v>609</v>
      </c>
      <c r="D278" s="43" t="s">
        <v>36</v>
      </c>
      <c r="E278" s="39">
        <f t="shared" si="55"/>
        <v>0</v>
      </c>
      <c r="F278" s="1">
        <v>0</v>
      </c>
      <c r="G278" s="1">
        <v>0</v>
      </c>
      <c r="H278" s="1">
        <v>0</v>
      </c>
      <c r="I278" s="1">
        <v>0</v>
      </c>
      <c r="J278" s="67">
        <v>0</v>
      </c>
      <c r="K278" s="42">
        <v>0</v>
      </c>
      <c r="L278" s="1">
        <v>0</v>
      </c>
      <c r="M278" s="1">
        <v>0</v>
      </c>
      <c r="N278" s="1">
        <v>0</v>
      </c>
      <c r="O278" s="1">
        <v>0</v>
      </c>
      <c r="P278" s="67">
        <v>0</v>
      </c>
      <c r="Q278" s="42">
        <v>0</v>
      </c>
      <c r="R278" s="1">
        <v>0</v>
      </c>
      <c r="S278" s="1">
        <v>0</v>
      </c>
      <c r="T278" s="1">
        <v>0</v>
      </c>
      <c r="U278" s="1">
        <v>0</v>
      </c>
      <c r="V278" s="67">
        <v>0</v>
      </c>
      <c r="W278" s="42">
        <v>0</v>
      </c>
      <c r="X278" s="1">
        <v>0</v>
      </c>
      <c r="Y278" s="1">
        <v>0</v>
      </c>
      <c r="Z278" s="1">
        <v>0</v>
      </c>
      <c r="AA278" s="1">
        <v>0</v>
      </c>
      <c r="AB278" s="67">
        <v>0</v>
      </c>
      <c r="AC278" s="42">
        <v>0</v>
      </c>
      <c r="AD278" s="1">
        <v>0</v>
      </c>
      <c r="AE278" s="1">
        <v>0</v>
      </c>
      <c r="AF278" s="1">
        <v>0</v>
      </c>
      <c r="AG278" s="1">
        <v>0</v>
      </c>
      <c r="AH278" s="67">
        <v>0</v>
      </c>
      <c r="AI278" s="4"/>
    </row>
    <row r="279" spans="1:35" ht="13.5" customHeight="1">
      <c r="A279" s="1"/>
      <c r="B279" s="41">
        <f t="shared" si="56"/>
        <v>30</v>
      </c>
      <c r="C279" s="111" t="s">
        <v>62</v>
      </c>
      <c r="D279" s="43" t="s">
        <v>36</v>
      </c>
      <c r="E279" s="39">
        <f t="shared" si="55"/>
        <v>19153</v>
      </c>
      <c r="F279" s="1">
        <v>0</v>
      </c>
      <c r="G279" s="1">
        <v>0</v>
      </c>
      <c r="H279" s="1">
        <v>0</v>
      </c>
      <c r="I279" s="1">
        <v>0</v>
      </c>
      <c r="J279" s="67">
        <v>0</v>
      </c>
      <c r="K279" s="42">
        <v>0</v>
      </c>
      <c r="L279" s="1">
        <v>0</v>
      </c>
      <c r="M279" s="1">
        <v>19153</v>
      </c>
      <c r="N279" s="1">
        <v>0</v>
      </c>
      <c r="O279" s="1">
        <v>0</v>
      </c>
      <c r="P279" s="67">
        <v>0</v>
      </c>
      <c r="Q279" s="42">
        <v>0</v>
      </c>
      <c r="R279" s="1">
        <v>0</v>
      </c>
      <c r="S279" s="1">
        <v>0</v>
      </c>
      <c r="T279" s="1">
        <v>0</v>
      </c>
      <c r="U279" s="1">
        <v>0</v>
      </c>
      <c r="V279" s="67">
        <v>0</v>
      </c>
      <c r="W279" s="42">
        <v>0</v>
      </c>
      <c r="X279" s="1">
        <v>0</v>
      </c>
      <c r="Y279" s="1">
        <v>0</v>
      </c>
      <c r="Z279" s="1">
        <v>0</v>
      </c>
      <c r="AA279" s="1">
        <v>0</v>
      </c>
      <c r="AB279" s="67">
        <v>0</v>
      </c>
      <c r="AC279" s="42">
        <v>0</v>
      </c>
      <c r="AD279" s="1">
        <v>0</v>
      </c>
      <c r="AE279" s="1">
        <v>0</v>
      </c>
      <c r="AF279" s="1">
        <v>0</v>
      </c>
      <c r="AG279" s="1">
        <v>0</v>
      </c>
      <c r="AH279" s="67">
        <v>0</v>
      </c>
      <c r="AI279" s="4"/>
    </row>
    <row r="280" spans="1:35" ht="13.5" customHeight="1">
      <c r="A280" s="1"/>
      <c r="B280" s="41">
        <f t="shared" si="56"/>
        <v>31</v>
      </c>
      <c r="C280" s="111" t="s">
        <v>63</v>
      </c>
      <c r="D280" s="43" t="s">
        <v>36</v>
      </c>
      <c r="E280" s="39">
        <f t="shared" si="55"/>
        <v>8482</v>
      </c>
      <c r="F280" s="1">
        <v>9445</v>
      </c>
      <c r="G280" s="1">
        <f>G256*F399</f>
        <v>0</v>
      </c>
      <c r="H280" s="1">
        <v>0</v>
      </c>
      <c r="I280" s="1">
        <v>0</v>
      </c>
      <c r="J280" s="67">
        <v>0</v>
      </c>
      <c r="K280" s="42">
        <v>0</v>
      </c>
      <c r="L280" s="1">
        <v>0</v>
      </c>
      <c r="M280" s="1">
        <v>-963</v>
      </c>
      <c r="N280" s="1">
        <v>0</v>
      </c>
      <c r="O280" s="1">
        <v>0</v>
      </c>
      <c r="P280" s="67">
        <v>0</v>
      </c>
      <c r="Q280" s="42">
        <v>0</v>
      </c>
      <c r="R280" s="1">
        <v>0</v>
      </c>
      <c r="S280" s="1">
        <v>0</v>
      </c>
      <c r="T280" s="1">
        <v>0</v>
      </c>
      <c r="U280" s="1">
        <v>0</v>
      </c>
      <c r="V280" s="67">
        <v>0</v>
      </c>
      <c r="W280" s="42">
        <v>0</v>
      </c>
      <c r="X280" s="1">
        <v>0</v>
      </c>
      <c r="Y280" s="1">
        <v>0</v>
      </c>
      <c r="Z280" s="1">
        <v>0</v>
      </c>
      <c r="AA280" s="1">
        <v>0</v>
      </c>
      <c r="AB280" s="67">
        <v>0</v>
      </c>
      <c r="AC280" s="42">
        <v>0</v>
      </c>
      <c r="AD280" s="1">
        <v>0</v>
      </c>
      <c r="AE280" s="1">
        <v>0</v>
      </c>
      <c r="AF280" s="1">
        <v>0</v>
      </c>
      <c r="AG280" s="1">
        <v>0</v>
      </c>
      <c r="AH280" s="67">
        <v>0</v>
      </c>
      <c r="AI280" s="4"/>
    </row>
    <row r="281" spans="1:35" ht="13.5" customHeight="1">
      <c r="A281" s="1"/>
      <c r="B281" s="41">
        <f t="shared" si="56"/>
        <v>32</v>
      </c>
      <c r="C281" s="111" t="s">
        <v>64</v>
      </c>
      <c r="D281" s="43" t="s">
        <v>36</v>
      </c>
      <c r="E281" s="39">
        <f t="shared" si="55"/>
        <v>9833</v>
      </c>
      <c r="F281" s="2">
        <v>0</v>
      </c>
      <c r="G281" s="2">
        <v>0</v>
      </c>
      <c r="H281" s="2">
        <v>0</v>
      </c>
      <c r="I281" s="2">
        <v>0</v>
      </c>
      <c r="J281" s="115">
        <v>0</v>
      </c>
      <c r="K281" s="48">
        <v>0</v>
      </c>
      <c r="L281" s="2">
        <v>9833</v>
      </c>
      <c r="M281" s="2">
        <v>0</v>
      </c>
      <c r="N281" s="2">
        <v>0</v>
      </c>
      <c r="O281" s="2">
        <v>0</v>
      </c>
      <c r="P281" s="115">
        <v>0</v>
      </c>
      <c r="Q281" s="48">
        <v>0</v>
      </c>
      <c r="R281" s="2">
        <v>0</v>
      </c>
      <c r="S281" s="2">
        <v>0</v>
      </c>
      <c r="T281" s="2">
        <v>0</v>
      </c>
      <c r="U281" s="2">
        <v>0</v>
      </c>
      <c r="V281" s="115">
        <v>0</v>
      </c>
      <c r="W281" s="48">
        <v>0</v>
      </c>
      <c r="X281" s="2">
        <v>0</v>
      </c>
      <c r="Y281" s="2">
        <v>0</v>
      </c>
      <c r="Z281" s="2">
        <v>0</v>
      </c>
      <c r="AA281" s="2">
        <v>0</v>
      </c>
      <c r="AB281" s="115">
        <v>0</v>
      </c>
      <c r="AC281" s="48">
        <v>0</v>
      </c>
      <c r="AD281" s="2">
        <v>0</v>
      </c>
      <c r="AE281" s="2">
        <v>0</v>
      </c>
      <c r="AF281" s="2">
        <v>0</v>
      </c>
      <c r="AG281" s="2">
        <v>0</v>
      </c>
      <c r="AH281" s="115">
        <v>0</v>
      </c>
      <c r="AI281" s="4"/>
    </row>
    <row r="282" spans="1:35" ht="13.5" customHeight="1">
      <c r="A282" s="1"/>
      <c r="B282" s="41">
        <f t="shared" si="56"/>
        <v>33</v>
      </c>
      <c r="C282" s="110" t="s">
        <v>65</v>
      </c>
      <c r="D282" s="43" t="str">
        <f>"Ln "&amp;FIXED(+B259,0)&amp;" thru "&amp;FIXED(+B281,0)</f>
        <v>Ln 10 thru 32</v>
      </c>
      <c r="E282" s="118">
        <f aca="true" t="shared" si="57" ref="E282:AH282">SUM(E259:E281)</f>
        <v>339811</v>
      </c>
      <c r="F282" s="62">
        <f t="shared" si="57"/>
        <v>142501</v>
      </c>
      <c r="G282" s="62">
        <f t="shared" si="57"/>
        <v>49798</v>
      </c>
      <c r="H282" s="62">
        <f t="shared" si="57"/>
        <v>46345</v>
      </c>
      <c r="I282" s="62">
        <f t="shared" si="57"/>
        <v>23918</v>
      </c>
      <c r="J282" s="63">
        <f t="shared" si="57"/>
        <v>-6342</v>
      </c>
      <c r="K282" s="62">
        <f t="shared" si="57"/>
        <v>55069</v>
      </c>
      <c r="L282" s="62">
        <f t="shared" si="57"/>
        <v>6333</v>
      </c>
      <c r="M282" s="62">
        <f t="shared" si="57"/>
        <v>18190</v>
      </c>
      <c r="N282" s="62">
        <f t="shared" si="57"/>
        <v>9239</v>
      </c>
      <c r="O282" s="62">
        <f t="shared" si="57"/>
        <v>0</v>
      </c>
      <c r="P282" s="63">
        <f t="shared" si="57"/>
        <v>-5240</v>
      </c>
      <c r="Q282" s="62">
        <f t="shared" si="57"/>
        <v>0</v>
      </c>
      <c r="R282" s="62">
        <f t="shared" si="57"/>
        <v>0</v>
      </c>
      <c r="S282" s="62">
        <f t="shared" si="57"/>
        <v>0</v>
      </c>
      <c r="T282" s="62">
        <f t="shared" si="57"/>
        <v>0</v>
      </c>
      <c r="U282" s="62">
        <f t="shared" si="57"/>
        <v>0</v>
      </c>
      <c r="V282" s="63">
        <f t="shared" si="57"/>
        <v>0</v>
      </c>
      <c r="W282" s="62">
        <f t="shared" si="57"/>
        <v>0</v>
      </c>
      <c r="X282" s="62">
        <f t="shared" si="57"/>
        <v>0</v>
      </c>
      <c r="Y282" s="62">
        <f t="shared" si="57"/>
        <v>0</v>
      </c>
      <c r="Z282" s="62">
        <f t="shared" si="57"/>
        <v>0</v>
      </c>
      <c r="AA282" s="62">
        <f t="shared" si="57"/>
        <v>0</v>
      </c>
      <c r="AB282" s="63">
        <f t="shared" si="57"/>
        <v>0</v>
      </c>
      <c r="AC282" s="62">
        <f t="shared" si="57"/>
        <v>0</v>
      </c>
      <c r="AD282" s="62">
        <f t="shared" si="57"/>
        <v>0</v>
      </c>
      <c r="AE282" s="62">
        <f t="shared" si="57"/>
        <v>0</v>
      </c>
      <c r="AF282" s="62">
        <f t="shared" si="57"/>
        <v>0</v>
      </c>
      <c r="AG282" s="62">
        <f t="shared" si="57"/>
        <v>0</v>
      </c>
      <c r="AH282" s="63">
        <f t="shared" si="57"/>
        <v>0</v>
      </c>
      <c r="AI282" s="4"/>
    </row>
    <row r="283" spans="1:35" ht="13.5" customHeight="1">
      <c r="A283" s="1"/>
      <c r="B283" s="41"/>
      <c r="C283" s="111"/>
      <c r="D283" s="43"/>
      <c r="E283" s="111"/>
      <c r="F283" s="1"/>
      <c r="G283" s="1"/>
      <c r="H283" s="1"/>
      <c r="I283" s="1"/>
      <c r="J283" s="67"/>
      <c r="K283" s="42"/>
      <c r="L283" s="1"/>
      <c r="M283" s="1"/>
      <c r="N283" s="1"/>
      <c r="O283" s="1"/>
      <c r="P283" s="67"/>
      <c r="Q283" s="42"/>
      <c r="R283" s="1"/>
      <c r="S283" s="1"/>
      <c r="T283" s="1"/>
      <c r="U283" s="1"/>
      <c r="V283" s="67"/>
      <c r="W283" s="42"/>
      <c r="X283" s="1"/>
      <c r="Y283" s="1"/>
      <c r="Z283" s="1"/>
      <c r="AA283" s="1"/>
      <c r="AB283" s="67"/>
      <c r="AC283" s="42"/>
      <c r="AD283" s="1"/>
      <c r="AE283" s="1"/>
      <c r="AF283" s="1"/>
      <c r="AG283" s="1"/>
      <c r="AH283" s="67"/>
      <c r="AI283" s="4"/>
    </row>
    <row r="284" spans="1:35" ht="13.5" customHeight="1">
      <c r="A284" s="1"/>
      <c r="B284" s="41">
        <f>B282+1</f>
        <v>34</v>
      </c>
      <c r="C284" s="110" t="s">
        <v>66</v>
      </c>
      <c r="D284" s="43" t="str">
        <f>"Ln "&amp;FIXED(+B256,0)&amp;"-"&amp;FIXED(+B282,0)</f>
        <v>Ln 9-33</v>
      </c>
      <c r="E284" s="119">
        <f aca="true" t="shared" si="58" ref="E284:AH284">E256-E282</f>
        <v>-339811</v>
      </c>
      <c r="F284" s="65">
        <f t="shared" si="58"/>
        <v>-142501</v>
      </c>
      <c r="G284" s="65">
        <f t="shared" si="58"/>
        <v>-49798</v>
      </c>
      <c r="H284" s="65">
        <f t="shared" si="58"/>
        <v>-46345</v>
      </c>
      <c r="I284" s="65">
        <f t="shared" si="58"/>
        <v>-23918</v>
      </c>
      <c r="J284" s="120">
        <f t="shared" si="58"/>
        <v>6342</v>
      </c>
      <c r="K284" s="64">
        <f t="shared" si="58"/>
        <v>-55069</v>
      </c>
      <c r="L284" s="65">
        <f t="shared" si="58"/>
        <v>-6333</v>
      </c>
      <c r="M284" s="65">
        <f t="shared" si="58"/>
        <v>-18190</v>
      </c>
      <c r="N284" s="65">
        <f t="shared" si="58"/>
        <v>-9239</v>
      </c>
      <c r="O284" s="65">
        <f t="shared" si="58"/>
        <v>0</v>
      </c>
      <c r="P284" s="120">
        <f t="shared" si="58"/>
        <v>5240</v>
      </c>
      <c r="Q284" s="64">
        <f t="shared" si="58"/>
        <v>0</v>
      </c>
      <c r="R284" s="65">
        <f t="shared" si="58"/>
        <v>0</v>
      </c>
      <c r="S284" s="65">
        <f t="shared" si="58"/>
        <v>0</v>
      </c>
      <c r="T284" s="65">
        <f t="shared" si="58"/>
        <v>0</v>
      </c>
      <c r="U284" s="65">
        <f t="shared" si="58"/>
        <v>0</v>
      </c>
      <c r="V284" s="120">
        <f t="shared" si="58"/>
        <v>0</v>
      </c>
      <c r="W284" s="64">
        <f t="shared" si="58"/>
        <v>0</v>
      </c>
      <c r="X284" s="65">
        <f t="shared" si="58"/>
        <v>0</v>
      </c>
      <c r="Y284" s="65">
        <f t="shared" si="58"/>
        <v>0</v>
      </c>
      <c r="Z284" s="65">
        <f t="shared" si="58"/>
        <v>0</v>
      </c>
      <c r="AA284" s="65">
        <f t="shared" si="58"/>
        <v>0</v>
      </c>
      <c r="AB284" s="120">
        <f t="shared" si="58"/>
        <v>0</v>
      </c>
      <c r="AC284" s="64">
        <f t="shared" si="58"/>
        <v>0</v>
      </c>
      <c r="AD284" s="65">
        <f t="shared" si="58"/>
        <v>0</v>
      </c>
      <c r="AE284" s="65">
        <f t="shared" si="58"/>
        <v>0</v>
      </c>
      <c r="AF284" s="65">
        <f t="shared" si="58"/>
        <v>0</v>
      </c>
      <c r="AG284" s="65">
        <f t="shared" si="58"/>
        <v>0</v>
      </c>
      <c r="AH284" s="120">
        <f t="shared" si="58"/>
        <v>0</v>
      </c>
      <c r="AI284" s="4"/>
    </row>
    <row r="285" spans="1:35" ht="13.5" customHeight="1">
      <c r="A285" s="1"/>
      <c r="B285" s="41"/>
      <c r="C285" s="110"/>
      <c r="D285" s="43"/>
      <c r="E285" s="111"/>
      <c r="F285" s="1"/>
      <c r="G285" s="1"/>
      <c r="H285" s="1"/>
      <c r="I285" s="1"/>
      <c r="J285" s="67"/>
      <c r="K285" s="42"/>
      <c r="L285" s="1"/>
      <c r="M285" s="1"/>
      <c r="N285" s="1"/>
      <c r="O285" s="1"/>
      <c r="P285" s="67"/>
      <c r="Q285" s="42"/>
      <c r="R285" s="1"/>
      <c r="S285" s="1"/>
      <c r="T285" s="1"/>
      <c r="U285" s="1"/>
      <c r="V285" s="67"/>
      <c r="W285" s="42"/>
      <c r="X285" s="1"/>
      <c r="Y285" s="1"/>
      <c r="Z285" s="1"/>
      <c r="AA285" s="1"/>
      <c r="AB285" s="67"/>
      <c r="AC285" s="42"/>
      <c r="AD285" s="1"/>
      <c r="AE285" s="1"/>
      <c r="AF285" s="1"/>
      <c r="AG285" s="1"/>
      <c r="AH285" s="67"/>
      <c r="AI285" s="4"/>
    </row>
    <row r="286" spans="1:35" ht="13.5" customHeight="1">
      <c r="A286" s="1"/>
      <c r="B286" s="41">
        <f>B284+1</f>
        <v>35</v>
      </c>
      <c r="C286" s="110" t="s">
        <v>67</v>
      </c>
      <c r="D286" s="43" t="str">
        <f>"From Ln "&amp;FIXED(+B323,0)&amp;" or "&amp;FIXED(+B325,0)</f>
        <v>From Ln 49 or 50</v>
      </c>
      <c r="E286" s="39">
        <f>SUM(F286:AH286)</f>
        <v>-69091.40000000001</v>
      </c>
      <c r="F286" s="1">
        <f aca="true" t="shared" si="59" ref="F286:AH286">IF(+F325=0,+F323,+F325)</f>
        <v>-48450.34000000001</v>
      </c>
      <c r="G286" s="1">
        <f t="shared" si="59"/>
        <v>-16931.320000000003</v>
      </c>
      <c r="H286" s="1">
        <f t="shared" si="59"/>
        <v>-15757.300000000003</v>
      </c>
      <c r="I286" s="1">
        <f t="shared" si="59"/>
        <v>-8132.120000000002</v>
      </c>
      <c r="J286" s="67">
        <f t="shared" si="59"/>
        <v>2156.2800000000007</v>
      </c>
      <c r="K286" s="42">
        <f t="shared" si="59"/>
        <v>-18723.460000000003</v>
      </c>
      <c r="L286" s="1">
        <f t="shared" si="59"/>
        <v>-2153.2200000000007</v>
      </c>
      <c r="M286" s="1">
        <f t="shared" si="59"/>
        <v>-6184.600000000001</v>
      </c>
      <c r="N286" s="1">
        <f t="shared" si="59"/>
        <v>-3141.2600000000007</v>
      </c>
      <c r="O286" s="1">
        <f t="shared" si="59"/>
        <v>46444.34000000001</v>
      </c>
      <c r="P286" s="67">
        <f t="shared" si="59"/>
        <v>1781.6000000000004</v>
      </c>
      <c r="Q286" s="42">
        <f t="shared" si="59"/>
        <v>0</v>
      </c>
      <c r="R286" s="1">
        <f t="shared" si="59"/>
        <v>0</v>
      </c>
      <c r="S286" s="1">
        <f t="shared" si="59"/>
        <v>0</v>
      </c>
      <c r="T286" s="1">
        <f t="shared" si="59"/>
        <v>0</v>
      </c>
      <c r="U286" s="1">
        <f t="shared" si="59"/>
        <v>0</v>
      </c>
      <c r="V286" s="67">
        <f t="shared" si="59"/>
        <v>0</v>
      </c>
      <c r="W286" s="42">
        <f t="shared" si="59"/>
        <v>0</v>
      </c>
      <c r="X286" s="1">
        <f t="shared" si="59"/>
        <v>0</v>
      </c>
      <c r="Y286" s="1">
        <f t="shared" si="59"/>
        <v>0</v>
      </c>
      <c r="Z286" s="1">
        <f t="shared" si="59"/>
        <v>0</v>
      </c>
      <c r="AA286" s="1">
        <f t="shared" si="59"/>
        <v>0</v>
      </c>
      <c r="AB286" s="67">
        <f t="shared" si="59"/>
        <v>0</v>
      </c>
      <c r="AC286" s="42">
        <f t="shared" si="59"/>
        <v>0</v>
      </c>
      <c r="AD286" s="1">
        <f t="shared" si="59"/>
        <v>0</v>
      </c>
      <c r="AE286" s="1">
        <f t="shared" si="59"/>
        <v>0</v>
      </c>
      <c r="AF286" s="1">
        <f t="shared" si="59"/>
        <v>0</v>
      </c>
      <c r="AG286" s="1">
        <f t="shared" si="59"/>
        <v>0</v>
      </c>
      <c r="AH286" s="67">
        <f t="shared" si="59"/>
        <v>0</v>
      </c>
      <c r="AI286" s="4"/>
    </row>
    <row r="287" spans="1:35" ht="13.5" customHeight="1">
      <c r="A287" s="1"/>
      <c r="B287" s="41"/>
      <c r="C287" s="111"/>
      <c r="D287" s="43"/>
      <c r="E287" s="39"/>
      <c r="F287" s="4"/>
      <c r="G287" s="4"/>
      <c r="H287" s="4"/>
      <c r="I287" s="4"/>
      <c r="J287" s="18"/>
      <c r="K287" s="40"/>
      <c r="L287" s="4"/>
      <c r="M287" s="4"/>
      <c r="N287" s="4"/>
      <c r="O287" s="4"/>
      <c r="P287" s="18"/>
      <c r="Q287" s="40"/>
      <c r="R287" s="4"/>
      <c r="S287" s="4"/>
      <c r="T287" s="4"/>
      <c r="U287" s="4"/>
      <c r="V287" s="18"/>
      <c r="W287" s="40"/>
      <c r="X287" s="4"/>
      <c r="Y287" s="4"/>
      <c r="Z287" s="4"/>
      <c r="AA287" s="4"/>
      <c r="AB287" s="18"/>
      <c r="AC287" s="40"/>
      <c r="AD287" s="4"/>
      <c r="AE287" s="4"/>
      <c r="AF287" s="4"/>
      <c r="AG287" s="4"/>
      <c r="AH287" s="18"/>
      <c r="AI287" s="4"/>
    </row>
    <row r="288" spans="1:35" ht="13.5" customHeight="1">
      <c r="A288" s="1"/>
      <c r="B288" s="41">
        <f>B286+1</f>
        <v>36</v>
      </c>
      <c r="C288" s="110" t="s">
        <v>68</v>
      </c>
      <c r="D288" s="43" t="str">
        <f>"Ln "&amp;FIXED(+B282,0)&amp;"+"&amp;FIXED(+B286,0)</f>
        <v>Ln 33+35</v>
      </c>
      <c r="E288" s="118">
        <f aca="true" t="shared" si="60" ref="E288:AH288">E282+E286</f>
        <v>270719.6</v>
      </c>
      <c r="F288" s="62">
        <f t="shared" si="60"/>
        <v>94050.65999999999</v>
      </c>
      <c r="G288" s="62">
        <f t="shared" si="60"/>
        <v>32866.67999999999</v>
      </c>
      <c r="H288" s="62">
        <f t="shared" si="60"/>
        <v>30587.699999999997</v>
      </c>
      <c r="I288" s="62">
        <f t="shared" si="60"/>
        <v>15785.879999999997</v>
      </c>
      <c r="J288" s="63">
        <f t="shared" si="60"/>
        <v>-4185.719999999999</v>
      </c>
      <c r="K288" s="62">
        <f t="shared" si="60"/>
        <v>36345.53999999999</v>
      </c>
      <c r="L288" s="62">
        <f t="shared" si="60"/>
        <v>4179.779999999999</v>
      </c>
      <c r="M288" s="62">
        <f t="shared" si="60"/>
        <v>12005.399999999998</v>
      </c>
      <c r="N288" s="62">
        <f t="shared" si="60"/>
        <v>6097.74</v>
      </c>
      <c r="O288" s="62">
        <f t="shared" si="60"/>
        <v>46444.34000000001</v>
      </c>
      <c r="P288" s="63">
        <f t="shared" si="60"/>
        <v>-3458.3999999999996</v>
      </c>
      <c r="Q288" s="62">
        <f t="shared" si="60"/>
        <v>0</v>
      </c>
      <c r="R288" s="62">
        <f t="shared" si="60"/>
        <v>0</v>
      </c>
      <c r="S288" s="62">
        <f t="shared" si="60"/>
        <v>0</v>
      </c>
      <c r="T288" s="62">
        <f t="shared" si="60"/>
        <v>0</v>
      </c>
      <c r="U288" s="62">
        <f t="shared" si="60"/>
        <v>0</v>
      </c>
      <c r="V288" s="63">
        <f t="shared" si="60"/>
        <v>0</v>
      </c>
      <c r="W288" s="62">
        <f t="shared" si="60"/>
        <v>0</v>
      </c>
      <c r="X288" s="62">
        <f t="shared" si="60"/>
        <v>0</v>
      </c>
      <c r="Y288" s="62">
        <f t="shared" si="60"/>
        <v>0</v>
      </c>
      <c r="Z288" s="62">
        <f t="shared" si="60"/>
        <v>0</v>
      </c>
      <c r="AA288" s="62">
        <f t="shared" si="60"/>
        <v>0</v>
      </c>
      <c r="AB288" s="63">
        <f t="shared" si="60"/>
        <v>0</v>
      </c>
      <c r="AC288" s="62">
        <f t="shared" si="60"/>
        <v>0</v>
      </c>
      <c r="AD288" s="62">
        <f t="shared" si="60"/>
        <v>0</v>
      </c>
      <c r="AE288" s="62">
        <f t="shared" si="60"/>
        <v>0</v>
      </c>
      <c r="AF288" s="62">
        <f t="shared" si="60"/>
        <v>0</v>
      </c>
      <c r="AG288" s="62">
        <f t="shared" si="60"/>
        <v>0</v>
      </c>
      <c r="AH288" s="63">
        <f t="shared" si="60"/>
        <v>0</v>
      </c>
      <c r="AI288" s="4"/>
    </row>
    <row r="289" spans="1:35" ht="13.5" customHeight="1">
      <c r="A289" s="1"/>
      <c r="B289" s="41">
        <f>B288+1</f>
        <v>37</v>
      </c>
      <c r="C289" s="110" t="s">
        <v>69</v>
      </c>
      <c r="D289" s="43" t="str">
        <f>"Ln "&amp;FIXED(+B256,0)&amp;"-"&amp;FIXED(+B288,0)</f>
        <v>Ln 9-36</v>
      </c>
      <c r="E289" s="121">
        <f aca="true" t="shared" si="61" ref="E289:AH289">E256-E288</f>
        <v>-270719.6</v>
      </c>
      <c r="F289" s="69">
        <f t="shared" si="61"/>
        <v>-94050.65999999999</v>
      </c>
      <c r="G289" s="69">
        <f t="shared" si="61"/>
        <v>-32866.67999999999</v>
      </c>
      <c r="H289" s="69">
        <f t="shared" si="61"/>
        <v>-30587.699999999997</v>
      </c>
      <c r="I289" s="69">
        <f t="shared" si="61"/>
        <v>-15785.879999999997</v>
      </c>
      <c r="J289" s="70">
        <f t="shared" si="61"/>
        <v>4185.719999999999</v>
      </c>
      <c r="K289" s="69">
        <f t="shared" si="61"/>
        <v>-36345.53999999999</v>
      </c>
      <c r="L289" s="69">
        <f t="shared" si="61"/>
        <v>-4179.779999999999</v>
      </c>
      <c r="M289" s="69">
        <f t="shared" si="61"/>
        <v>-12005.399999999998</v>
      </c>
      <c r="N289" s="69">
        <f t="shared" si="61"/>
        <v>-6097.74</v>
      </c>
      <c r="O289" s="69">
        <f t="shared" si="61"/>
        <v>-46444.34000000001</v>
      </c>
      <c r="P289" s="70">
        <f t="shared" si="61"/>
        <v>3458.3999999999996</v>
      </c>
      <c r="Q289" s="69">
        <f t="shared" si="61"/>
        <v>0</v>
      </c>
      <c r="R289" s="69">
        <f t="shared" si="61"/>
        <v>0</v>
      </c>
      <c r="S289" s="69">
        <f t="shared" si="61"/>
        <v>0</v>
      </c>
      <c r="T289" s="69">
        <f t="shared" si="61"/>
        <v>0</v>
      </c>
      <c r="U289" s="69">
        <f t="shared" si="61"/>
        <v>0</v>
      </c>
      <c r="V289" s="70">
        <f t="shared" si="61"/>
        <v>0</v>
      </c>
      <c r="W289" s="69">
        <f t="shared" si="61"/>
        <v>0</v>
      </c>
      <c r="X289" s="69">
        <f t="shared" si="61"/>
        <v>0</v>
      </c>
      <c r="Y289" s="69">
        <f t="shared" si="61"/>
        <v>0</v>
      </c>
      <c r="Z289" s="69">
        <f t="shared" si="61"/>
        <v>0</v>
      </c>
      <c r="AA289" s="69">
        <f t="shared" si="61"/>
        <v>0</v>
      </c>
      <c r="AB289" s="70">
        <f t="shared" si="61"/>
        <v>0</v>
      </c>
      <c r="AC289" s="69">
        <f t="shared" si="61"/>
        <v>0</v>
      </c>
      <c r="AD289" s="69">
        <f t="shared" si="61"/>
        <v>0</v>
      </c>
      <c r="AE289" s="69">
        <f t="shared" si="61"/>
        <v>0</v>
      </c>
      <c r="AF289" s="69">
        <f t="shared" si="61"/>
        <v>0</v>
      </c>
      <c r="AG289" s="69">
        <f t="shared" si="61"/>
        <v>0</v>
      </c>
      <c r="AH289" s="70">
        <f t="shared" si="61"/>
        <v>0</v>
      </c>
      <c r="AI289" s="4"/>
    </row>
    <row r="290" spans="1:35" ht="13.5" customHeight="1">
      <c r="A290" s="1"/>
      <c r="B290" s="35"/>
      <c r="C290" s="111"/>
      <c r="D290" s="36"/>
      <c r="E290" s="122"/>
      <c r="F290" s="72"/>
      <c r="G290" s="72"/>
      <c r="H290" s="72"/>
      <c r="I290" s="72"/>
      <c r="J290" s="73"/>
      <c r="K290" s="71"/>
      <c r="L290" s="72"/>
      <c r="M290" s="72"/>
      <c r="N290" s="72"/>
      <c r="O290" s="72"/>
      <c r="P290" s="73"/>
      <c r="Q290" s="71"/>
      <c r="R290" s="72"/>
      <c r="S290" s="72"/>
      <c r="T290" s="72"/>
      <c r="U290" s="72"/>
      <c r="V290" s="73"/>
      <c r="W290" s="71"/>
      <c r="X290" s="72"/>
      <c r="Y290" s="72"/>
      <c r="Z290" s="72"/>
      <c r="AA290" s="72"/>
      <c r="AB290" s="73"/>
      <c r="AC290" s="71"/>
      <c r="AD290" s="72"/>
      <c r="AE290" s="72"/>
      <c r="AF290" s="72"/>
      <c r="AG290" s="72"/>
      <c r="AH290" s="73"/>
      <c r="AI290" s="4"/>
    </row>
    <row r="291" spans="1:35" ht="13.5" customHeight="1">
      <c r="A291" s="1"/>
      <c r="B291" s="43"/>
      <c r="C291" s="110" t="s">
        <v>70</v>
      </c>
      <c r="D291" s="43"/>
      <c r="E291" s="123"/>
      <c r="F291" s="124"/>
      <c r="G291" s="124"/>
      <c r="H291" s="124"/>
      <c r="I291" s="124"/>
      <c r="J291" s="125"/>
      <c r="K291" s="74"/>
      <c r="L291" s="124"/>
      <c r="M291" s="124"/>
      <c r="N291" s="124"/>
      <c r="O291" s="124"/>
      <c r="P291" s="125"/>
      <c r="Q291" s="74"/>
      <c r="R291" s="124"/>
      <c r="S291" s="124"/>
      <c r="T291" s="124"/>
      <c r="U291" s="124"/>
      <c r="V291" s="125"/>
      <c r="W291" s="74"/>
      <c r="X291" s="124"/>
      <c r="Y291" s="124"/>
      <c r="Z291" s="124"/>
      <c r="AA291" s="124"/>
      <c r="AB291" s="125"/>
      <c r="AC291" s="74"/>
      <c r="AD291" s="124"/>
      <c r="AE291" s="124"/>
      <c r="AF291" s="124"/>
      <c r="AG291" s="124"/>
      <c r="AH291" s="125"/>
      <c r="AI291" s="4"/>
    </row>
    <row r="292" spans="1:35" ht="13.5" customHeight="1">
      <c r="A292" s="1"/>
      <c r="B292" s="41">
        <f>B289+1</f>
        <v>38</v>
      </c>
      <c r="C292" s="111" t="s">
        <v>71</v>
      </c>
      <c r="D292" s="43" t="str">
        <f>"From Ln "&amp;FIXED(+B334,0)</f>
        <v>From Ln 56</v>
      </c>
      <c r="E292" s="39">
        <f>SUM(F292:AH292)</f>
        <v>17097</v>
      </c>
      <c r="F292" s="45">
        <f aca="true" t="shared" si="62" ref="F292:AH292">F334</f>
        <v>0</v>
      </c>
      <c r="G292" s="45">
        <f t="shared" si="62"/>
        <v>0</v>
      </c>
      <c r="H292" s="45">
        <f t="shared" si="62"/>
        <v>0</v>
      </c>
      <c r="I292" s="45">
        <f t="shared" si="62"/>
        <v>0</v>
      </c>
      <c r="J292" s="46">
        <f t="shared" si="62"/>
        <v>0</v>
      </c>
      <c r="K292" s="75">
        <f t="shared" si="62"/>
        <v>0</v>
      </c>
      <c r="L292" s="45">
        <f t="shared" si="62"/>
        <v>0</v>
      </c>
      <c r="M292" s="45">
        <f t="shared" si="62"/>
        <v>0</v>
      </c>
      <c r="N292" s="45">
        <f t="shared" si="62"/>
        <v>42506</v>
      </c>
      <c r="O292" s="45">
        <f t="shared" si="62"/>
        <v>0</v>
      </c>
      <c r="P292" s="46">
        <f t="shared" si="62"/>
        <v>-25409</v>
      </c>
      <c r="Q292" s="75">
        <f t="shared" si="62"/>
        <v>0</v>
      </c>
      <c r="R292" s="45">
        <f t="shared" si="62"/>
        <v>0</v>
      </c>
      <c r="S292" s="45">
        <f t="shared" si="62"/>
        <v>0</v>
      </c>
      <c r="T292" s="45">
        <f t="shared" si="62"/>
        <v>0</v>
      </c>
      <c r="U292" s="45">
        <f t="shared" si="62"/>
        <v>0</v>
      </c>
      <c r="V292" s="46">
        <f t="shared" si="62"/>
        <v>0</v>
      </c>
      <c r="W292" s="75">
        <f t="shared" si="62"/>
        <v>0</v>
      </c>
      <c r="X292" s="45">
        <f t="shared" si="62"/>
        <v>0</v>
      </c>
      <c r="Y292" s="45">
        <f t="shared" si="62"/>
        <v>0</v>
      </c>
      <c r="Z292" s="45">
        <f t="shared" si="62"/>
        <v>0</v>
      </c>
      <c r="AA292" s="45">
        <f t="shared" si="62"/>
        <v>0</v>
      </c>
      <c r="AB292" s="46">
        <f t="shared" si="62"/>
        <v>0</v>
      </c>
      <c r="AC292" s="75">
        <f t="shared" si="62"/>
        <v>0</v>
      </c>
      <c r="AD292" s="45">
        <f t="shared" si="62"/>
        <v>0</v>
      </c>
      <c r="AE292" s="45">
        <f t="shared" si="62"/>
        <v>0</v>
      </c>
      <c r="AF292" s="45">
        <f t="shared" si="62"/>
        <v>0</v>
      </c>
      <c r="AG292" s="45">
        <f t="shared" si="62"/>
        <v>0</v>
      </c>
      <c r="AH292" s="46">
        <f t="shared" si="62"/>
        <v>0</v>
      </c>
      <c r="AI292" s="4"/>
    </row>
    <row r="293" spans="1:35" ht="13.5" customHeight="1">
      <c r="A293" s="1"/>
      <c r="B293" s="41">
        <f>B292+1</f>
        <v>39</v>
      </c>
      <c r="C293" s="111" t="s">
        <v>72</v>
      </c>
      <c r="D293" s="43" t="str">
        <f>"From Ln "&amp;FIXED(+B338,0)</f>
        <v>From Ln 59</v>
      </c>
      <c r="E293" s="39">
        <f>SUM(F293:AH293)</f>
        <v>0</v>
      </c>
      <c r="F293" s="49">
        <f aca="true" t="shared" si="63" ref="F293:AH293">F338</f>
        <v>0</v>
      </c>
      <c r="G293" s="49">
        <f t="shared" si="63"/>
        <v>0</v>
      </c>
      <c r="H293" s="49">
        <f t="shared" si="63"/>
        <v>0</v>
      </c>
      <c r="I293" s="49">
        <f t="shared" si="63"/>
        <v>0</v>
      </c>
      <c r="J293" s="50">
        <f t="shared" si="63"/>
        <v>0</v>
      </c>
      <c r="K293" s="76">
        <f t="shared" si="63"/>
        <v>0</v>
      </c>
      <c r="L293" s="49">
        <f t="shared" si="63"/>
        <v>0</v>
      </c>
      <c r="M293" s="49">
        <f t="shared" si="63"/>
        <v>0</v>
      </c>
      <c r="N293" s="49">
        <f t="shared" si="63"/>
        <v>0</v>
      </c>
      <c r="O293" s="49">
        <f t="shared" si="63"/>
        <v>0</v>
      </c>
      <c r="P293" s="50">
        <f t="shared" si="63"/>
        <v>0</v>
      </c>
      <c r="Q293" s="76">
        <f t="shared" si="63"/>
        <v>0</v>
      </c>
      <c r="R293" s="49">
        <f t="shared" si="63"/>
        <v>0</v>
      </c>
      <c r="S293" s="49">
        <f t="shared" si="63"/>
        <v>0</v>
      </c>
      <c r="T293" s="49">
        <f t="shared" si="63"/>
        <v>0</v>
      </c>
      <c r="U293" s="49">
        <f t="shared" si="63"/>
        <v>0</v>
      </c>
      <c r="V293" s="50">
        <f t="shared" si="63"/>
        <v>0</v>
      </c>
      <c r="W293" s="76">
        <f t="shared" si="63"/>
        <v>0</v>
      </c>
      <c r="X293" s="49">
        <f t="shared" si="63"/>
        <v>0</v>
      </c>
      <c r="Y293" s="49">
        <f t="shared" si="63"/>
        <v>0</v>
      </c>
      <c r="Z293" s="49">
        <f t="shared" si="63"/>
        <v>0</v>
      </c>
      <c r="AA293" s="49">
        <f t="shared" si="63"/>
        <v>0</v>
      </c>
      <c r="AB293" s="50">
        <f t="shared" si="63"/>
        <v>0</v>
      </c>
      <c r="AC293" s="76">
        <f t="shared" si="63"/>
        <v>0</v>
      </c>
      <c r="AD293" s="49">
        <f t="shared" si="63"/>
        <v>0</v>
      </c>
      <c r="AE293" s="49">
        <f t="shared" si="63"/>
        <v>0</v>
      </c>
      <c r="AF293" s="49">
        <f t="shared" si="63"/>
        <v>0</v>
      </c>
      <c r="AG293" s="49">
        <f t="shared" si="63"/>
        <v>0</v>
      </c>
      <c r="AH293" s="50">
        <f t="shared" si="63"/>
        <v>0</v>
      </c>
      <c r="AI293" s="4"/>
    </row>
    <row r="294" spans="1:35" ht="13.5" customHeight="1">
      <c r="A294" s="1"/>
      <c r="B294" s="41">
        <f>B293+1</f>
        <v>40</v>
      </c>
      <c r="C294" s="111" t="s">
        <v>73</v>
      </c>
      <c r="D294" s="43" t="str">
        <f>"Ln "&amp;FIXED(+B292,0)&amp;"-"&amp;FIXED(+B293,0)</f>
        <v>Ln 38-39</v>
      </c>
      <c r="E294" s="126">
        <f aca="true" t="shared" si="64" ref="E294:AH294">E292-E293</f>
        <v>17097</v>
      </c>
      <c r="F294" s="54">
        <f t="shared" si="64"/>
        <v>0</v>
      </c>
      <c r="G294" s="54">
        <f t="shared" si="64"/>
        <v>0</v>
      </c>
      <c r="H294" s="54">
        <f t="shared" si="64"/>
        <v>0</v>
      </c>
      <c r="I294" s="54">
        <f t="shared" si="64"/>
        <v>0</v>
      </c>
      <c r="J294" s="55">
        <f t="shared" si="64"/>
        <v>0</v>
      </c>
      <c r="K294" s="77">
        <f t="shared" si="64"/>
        <v>0</v>
      </c>
      <c r="L294" s="54">
        <f t="shared" si="64"/>
        <v>0</v>
      </c>
      <c r="M294" s="54">
        <f t="shared" si="64"/>
        <v>0</v>
      </c>
      <c r="N294" s="54">
        <f t="shared" si="64"/>
        <v>42506</v>
      </c>
      <c r="O294" s="54">
        <f t="shared" si="64"/>
        <v>0</v>
      </c>
      <c r="P294" s="55">
        <f t="shared" si="64"/>
        <v>-25409</v>
      </c>
      <c r="Q294" s="77">
        <f t="shared" si="64"/>
        <v>0</v>
      </c>
      <c r="R294" s="54">
        <f t="shared" si="64"/>
        <v>0</v>
      </c>
      <c r="S294" s="54">
        <f t="shared" si="64"/>
        <v>0</v>
      </c>
      <c r="T294" s="54">
        <f t="shared" si="64"/>
        <v>0</v>
      </c>
      <c r="U294" s="54">
        <f t="shared" si="64"/>
        <v>0</v>
      </c>
      <c r="V294" s="55">
        <f t="shared" si="64"/>
        <v>0</v>
      </c>
      <c r="W294" s="77">
        <f t="shared" si="64"/>
        <v>0</v>
      </c>
      <c r="X294" s="54">
        <f t="shared" si="64"/>
        <v>0</v>
      </c>
      <c r="Y294" s="54">
        <f t="shared" si="64"/>
        <v>0</v>
      </c>
      <c r="Z294" s="54">
        <f t="shared" si="64"/>
        <v>0</v>
      </c>
      <c r="AA294" s="54">
        <f t="shared" si="64"/>
        <v>0</v>
      </c>
      <c r="AB294" s="55">
        <f t="shared" si="64"/>
        <v>0</v>
      </c>
      <c r="AC294" s="77">
        <f t="shared" si="64"/>
        <v>0</v>
      </c>
      <c r="AD294" s="54">
        <f t="shared" si="64"/>
        <v>0</v>
      </c>
      <c r="AE294" s="54">
        <f t="shared" si="64"/>
        <v>0</v>
      </c>
      <c r="AF294" s="54">
        <f t="shared" si="64"/>
        <v>0</v>
      </c>
      <c r="AG294" s="54">
        <f t="shared" si="64"/>
        <v>0</v>
      </c>
      <c r="AH294" s="55">
        <f t="shared" si="64"/>
        <v>0</v>
      </c>
      <c r="AI294" s="4"/>
    </row>
    <row r="295" spans="1:35" ht="13.5" customHeight="1">
      <c r="A295" s="1"/>
      <c r="B295" s="41">
        <f>B294+1</f>
        <v>41</v>
      </c>
      <c r="C295" s="42" t="s">
        <v>74</v>
      </c>
      <c r="D295" s="43" t="str">
        <f>"From Ln "&amp;FIXED(+B339,0)</f>
        <v>From Ln 60</v>
      </c>
      <c r="E295" s="39">
        <f>SUM(F295:AH295)</f>
        <v>0</v>
      </c>
      <c r="F295" s="49">
        <f aca="true" t="shared" si="65" ref="F295:AH295">F339</f>
        <v>0</v>
      </c>
      <c r="G295" s="49">
        <f t="shared" si="65"/>
        <v>0</v>
      </c>
      <c r="H295" s="49">
        <f t="shared" si="65"/>
        <v>0</v>
      </c>
      <c r="I295" s="49">
        <f t="shared" si="65"/>
        <v>0</v>
      </c>
      <c r="J295" s="50">
        <f t="shared" si="65"/>
        <v>0</v>
      </c>
      <c r="K295" s="76">
        <f t="shared" si="65"/>
        <v>0</v>
      </c>
      <c r="L295" s="49">
        <f t="shared" si="65"/>
        <v>0</v>
      </c>
      <c r="M295" s="49">
        <f t="shared" si="65"/>
        <v>0</v>
      </c>
      <c r="N295" s="49">
        <f t="shared" si="65"/>
        <v>0</v>
      </c>
      <c r="O295" s="49">
        <f t="shared" si="65"/>
        <v>0</v>
      </c>
      <c r="P295" s="50">
        <f t="shared" si="65"/>
        <v>0</v>
      </c>
      <c r="Q295" s="76">
        <f t="shared" si="65"/>
        <v>0</v>
      </c>
      <c r="R295" s="49">
        <f t="shared" si="65"/>
        <v>0</v>
      </c>
      <c r="S295" s="49">
        <f t="shared" si="65"/>
        <v>0</v>
      </c>
      <c r="T295" s="49">
        <f t="shared" si="65"/>
        <v>0</v>
      </c>
      <c r="U295" s="49">
        <f t="shared" si="65"/>
        <v>0</v>
      </c>
      <c r="V295" s="50">
        <f t="shared" si="65"/>
        <v>0</v>
      </c>
      <c r="W295" s="76">
        <f t="shared" si="65"/>
        <v>0</v>
      </c>
      <c r="X295" s="49">
        <f t="shared" si="65"/>
        <v>0</v>
      </c>
      <c r="Y295" s="49">
        <f t="shared" si="65"/>
        <v>0</v>
      </c>
      <c r="Z295" s="49">
        <f t="shared" si="65"/>
        <v>0</v>
      </c>
      <c r="AA295" s="49">
        <f t="shared" si="65"/>
        <v>0</v>
      </c>
      <c r="AB295" s="50">
        <f t="shared" si="65"/>
        <v>0</v>
      </c>
      <c r="AC295" s="76">
        <f t="shared" si="65"/>
        <v>0</v>
      </c>
      <c r="AD295" s="49">
        <f t="shared" si="65"/>
        <v>0</v>
      </c>
      <c r="AE295" s="49">
        <f t="shared" si="65"/>
        <v>0</v>
      </c>
      <c r="AF295" s="49">
        <f t="shared" si="65"/>
        <v>0</v>
      </c>
      <c r="AG295" s="49">
        <f t="shared" si="65"/>
        <v>0</v>
      </c>
      <c r="AH295" s="50">
        <f t="shared" si="65"/>
        <v>0</v>
      </c>
      <c r="AI295" s="4"/>
    </row>
    <row r="296" spans="1:35" ht="13.5" customHeight="1">
      <c r="A296" s="1"/>
      <c r="B296" s="41">
        <f>B295+1</f>
        <v>42</v>
      </c>
      <c r="C296" s="111" t="s">
        <v>75</v>
      </c>
      <c r="D296" s="43" t="str">
        <f>"From Ln "&amp;FIXED(+B340,0)</f>
        <v>From Ln 61</v>
      </c>
      <c r="E296" s="39">
        <f>SUM(F296:AH296)</f>
        <v>0</v>
      </c>
      <c r="F296" s="49">
        <f aca="true" t="shared" si="66" ref="F296:AH296">F340</f>
        <v>0</v>
      </c>
      <c r="G296" s="49">
        <f t="shared" si="66"/>
        <v>0</v>
      </c>
      <c r="H296" s="49">
        <f t="shared" si="66"/>
        <v>0</v>
      </c>
      <c r="I296" s="49">
        <f t="shared" si="66"/>
        <v>0</v>
      </c>
      <c r="J296" s="50">
        <f t="shared" si="66"/>
        <v>0</v>
      </c>
      <c r="K296" s="76">
        <f t="shared" si="66"/>
        <v>0</v>
      </c>
      <c r="L296" s="49">
        <f t="shared" si="66"/>
        <v>0</v>
      </c>
      <c r="M296" s="49">
        <f t="shared" si="66"/>
        <v>0</v>
      </c>
      <c r="N296" s="49">
        <f t="shared" si="66"/>
        <v>0</v>
      </c>
      <c r="O296" s="49">
        <f t="shared" si="66"/>
        <v>0</v>
      </c>
      <c r="P296" s="50">
        <f t="shared" si="66"/>
        <v>0</v>
      </c>
      <c r="Q296" s="76">
        <f t="shared" si="66"/>
        <v>0</v>
      </c>
      <c r="R296" s="49">
        <f t="shared" si="66"/>
        <v>0</v>
      </c>
      <c r="S296" s="49">
        <f t="shared" si="66"/>
        <v>0</v>
      </c>
      <c r="T296" s="49">
        <f t="shared" si="66"/>
        <v>0</v>
      </c>
      <c r="U296" s="49">
        <f t="shared" si="66"/>
        <v>0</v>
      </c>
      <c r="V296" s="50">
        <f t="shared" si="66"/>
        <v>0</v>
      </c>
      <c r="W296" s="76">
        <f t="shared" si="66"/>
        <v>0</v>
      </c>
      <c r="X296" s="49">
        <f t="shared" si="66"/>
        <v>0</v>
      </c>
      <c r="Y296" s="49">
        <f t="shared" si="66"/>
        <v>0</v>
      </c>
      <c r="Z296" s="49">
        <f t="shared" si="66"/>
        <v>0</v>
      </c>
      <c r="AA296" s="49">
        <f t="shared" si="66"/>
        <v>0</v>
      </c>
      <c r="AB296" s="50">
        <f t="shared" si="66"/>
        <v>0</v>
      </c>
      <c r="AC296" s="76">
        <f t="shared" si="66"/>
        <v>0</v>
      </c>
      <c r="AD296" s="49">
        <f t="shared" si="66"/>
        <v>0</v>
      </c>
      <c r="AE296" s="49">
        <f t="shared" si="66"/>
        <v>0</v>
      </c>
      <c r="AF296" s="49">
        <f t="shared" si="66"/>
        <v>0</v>
      </c>
      <c r="AG296" s="49">
        <f t="shared" si="66"/>
        <v>0</v>
      </c>
      <c r="AH296" s="50">
        <f t="shared" si="66"/>
        <v>0</v>
      </c>
      <c r="AI296" s="4"/>
    </row>
    <row r="297" spans="1:35" ht="13.5" customHeight="1">
      <c r="A297" s="1"/>
      <c r="B297" s="41">
        <f>B296+1</f>
        <v>43</v>
      </c>
      <c r="C297" s="111" t="s">
        <v>76</v>
      </c>
      <c r="D297" s="43" t="str">
        <f>"From Ln "&amp;FIXED(+B342,0)</f>
        <v>From Ln 62</v>
      </c>
      <c r="E297" s="39">
        <f>SUM(F297:AH297)</f>
        <v>0</v>
      </c>
      <c r="F297" s="49">
        <f aca="true" t="shared" si="67" ref="F297:AH297">F342</f>
        <v>0</v>
      </c>
      <c r="G297" s="49">
        <f t="shared" si="67"/>
        <v>0</v>
      </c>
      <c r="H297" s="49">
        <f t="shared" si="67"/>
        <v>0</v>
      </c>
      <c r="I297" s="49">
        <f t="shared" si="67"/>
        <v>0</v>
      </c>
      <c r="J297" s="50">
        <f t="shared" si="67"/>
        <v>0</v>
      </c>
      <c r="K297" s="76">
        <f t="shared" si="67"/>
        <v>0</v>
      </c>
      <c r="L297" s="49">
        <f t="shared" si="67"/>
        <v>0</v>
      </c>
      <c r="M297" s="49">
        <f t="shared" si="67"/>
        <v>0</v>
      </c>
      <c r="N297" s="49">
        <f t="shared" si="67"/>
        <v>0</v>
      </c>
      <c r="O297" s="49">
        <f t="shared" si="67"/>
        <v>0</v>
      </c>
      <c r="P297" s="50">
        <f t="shared" si="67"/>
        <v>0</v>
      </c>
      <c r="Q297" s="76">
        <f t="shared" si="67"/>
        <v>0</v>
      </c>
      <c r="R297" s="49">
        <f t="shared" si="67"/>
        <v>0</v>
      </c>
      <c r="S297" s="49">
        <f t="shared" si="67"/>
        <v>0</v>
      </c>
      <c r="T297" s="49">
        <f t="shared" si="67"/>
        <v>0</v>
      </c>
      <c r="U297" s="49">
        <f t="shared" si="67"/>
        <v>0</v>
      </c>
      <c r="V297" s="50">
        <f t="shared" si="67"/>
        <v>0</v>
      </c>
      <c r="W297" s="76">
        <f t="shared" si="67"/>
        <v>0</v>
      </c>
      <c r="X297" s="49">
        <f t="shared" si="67"/>
        <v>0</v>
      </c>
      <c r="Y297" s="49">
        <f t="shared" si="67"/>
        <v>0</v>
      </c>
      <c r="Z297" s="49">
        <f t="shared" si="67"/>
        <v>0</v>
      </c>
      <c r="AA297" s="49">
        <f t="shared" si="67"/>
        <v>0</v>
      </c>
      <c r="AB297" s="50">
        <f t="shared" si="67"/>
        <v>0</v>
      </c>
      <c r="AC297" s="76">
        <f t="shared" si="67"/>
        <v>0</v>
      </c>
      <c r="AD297" s="49">
        <f t="shared" si="67"/>
        <v>0</v>
      </c>
      <c r="AE297" s="49">
        <f t="shared" si="67"/>
        <v>0</v>
      </c>
      <c r="AF297" s="49">
        <f t="shared" si="67"/>
        <v>0</v>
      </c>
      <c r="AG297" s="49">
        <f t="shared" si="67"/>
        <v>0</v>
      </c>
      <c r="AH297" s="50">
        <f t="shared" si="67"/>
        <v>0</v>
      </c>
      <c r="AI297" s="4"/>
    </row>
    <row r="298" spans="1:35" ht="13.5" customHeight="1">
      <c r="A298" s="1"/>
      <c r="B298" s="43"/>
      <c r="C298" s="111"/>
      <c r="D298" s="43"/>
      <c r="E298" s="127"/>
      <c r="F298" s="128"/>
      <c r="G298" s="128"/>
      <c r="H298" s="128"/>
      <c r="I298" s="128"/>
      <c r="J298" s="129"/>
      <c r="K298" s="78"/>
      <c r="L298" s="128"/>
      <c r="M298" s="128"/>
      <c r="N298" s="128"/>
      <c r="O298" s="128"/>
      <c r="P298" s="129"/>
      <c r="Q298" s="78"/>
      <c r="R298" s="128"/>
      <c r="S298" s="128"/>
      <c r="T298" s="128"/>
      <c r="U298" s="128"/>
      <c r="V298" s="129"/>
      <c r="W298" s="78"/>
      <c r="X298" s="128"/>
      <c r="Y298" s="128"/>
      <c r="Z298" s="128"/>
      <c r="AA298" s="128"/>
      <c r="AB298" s="129"/>
      <c r="AC298" s="78"/>
      <c r="AD298" s="128"/>
      <c r="AE298" s="128"/>
      <c r="AF298" s="128"/>
      <c r="AG298" s="128"/>
      <c r="AH298" s="129"/>
      <c r="AI298" s="4"/>
    </row>
    <row r="299" spans="1:35" ht="13.5" customHeight="1">
      <c r="A299" s="1"/>
      <c r="B299" s="41">
        <f>B297+1</f>
        <v>44</v>
      </c>
      <c r="C299" s="110" t="s">
        <v>77</v>
      </c>
      <c r="D299" s="43" t="str">
        <f>"Ln "&amp;FIXED(+B294,0)&amp;"+"&amp;FIXED(+B295,0)&amp;"+"&amp;FIXED(+B296,0)&amp;"+"&amp;FIXED(+B297,0)</f>
        <v>Ln 40+41+42+43</v>
      </c>
      <c r="E299" s="121">
        <f aca="true" t="shared" si="68" ref="E299:AH299">E294+E295+E296+E297</f>
        <v>17097</v>
      </c>
      <c r="F299" s="68">
        <f t="shared" si="68"/>
        <v>0</v>
      </c>
      <c r="G299" s="69">
        <f t="shared" si="68"/>
        <v>0</v>
      </c>
      <c r="H299" s="69">
        <f t="shared" si="68"/>
        <v>0</v>
      </c>
      <c r="I299" s="69">
        <f t="shared" si="68"/>
        <v>0</v>
      </c>
      <c r="J299" s="70">
        <f t="shared" si="68"/>
        <v>0</v>
      </c>
      <c r="K299" s="68">
        <f t="shared" si="68"/>
        <v>0</v>
      </c>
      <c r="L299" s="69">
        <f t="shared" si="68"/>
        <v>0</v>
      </c>
      <c r="M299" s="69">
        <f t="shared" si="68"/>
        <v>0</v>
      </c>
      <c r="N299" s="69">
        <f t="shared" si="68"/>
        <v>42506</v>
      </c>
      <c r="O299" s="69">
        <f t="shared" si="68"/>
        <v>0</v>
      </c>
      <c r="P299" s="70">
        <f t="shared" si="68"/>
        <v>-25409</v>
      </c>
      <c r="Q299" s="68">
        <f t="shared" si="68"/>
        <v>0</v>
      </c>
      <c r="R299" s="69">
        <f t="shared" si="68"/>
        <v>0</v>
      </c>
      <c r="S299" s="69">
        <f t="shared" si="68"/>
        <v>0</v>
      </c>
      <c r="T299" s="69">
        <f t="shared" si="68"/>
        <v>0</v>
      </c>
      <c r="U299" s="69">
        <f t="shared" si="68"/>
        <v>0</v>
      </c>
      <c r="V299" s="70">
        <f t="shared" si="68"/>
        <v>0</v>
      </c>
      <c r="W299" s="68">
        <f t="shared" si="68"/>
        <v>0</v>
      </c>
      <c r="X299" s="69">
        <f t="shared" si="68"/>
        <v>0</v>
      </c>
      <c r="Y299" s="69">
        <f t="shared" si="68"/>
        <v>0</v>
      </c>
      <c r="Z299" s="69">
        <f t="shared" si="68"/>
        <v>0</v>
      </c>
      <c r="AA299" s="69">
        <f t="shared" si="68"/>
        <v>0</v>
      </c>
      <c r="AB299" s="70">
        <f t="shared" si="68"/>
        <v>0</v>
      </c>
      <c r="AC299" s="68">
        <f t="shared" si="68"/>
        <v>0</v>
      </c>
      <c r="AD299" s="69">
        <f t="shared" si="68"/>
        <v>0</v>
      </c>
      <c r="AE299" s="69">
        <f t="shared" si="68"/>
        <v>0</v>
      </c>
      <c r="AF299" s="69">
        <f t="shared" si="68"/>
        <v>0</v>
      </c>
      <c r="AG299" s="69">
        <f t="shared" si="68"/>
        <v>0</v>
      </c>
      <c r="AH299" s="70">
        <f t="shared" si="68"/>
        <v>0</v>
      </c>
      <c r="AI299" s="4"/>
    </row>
    <row r="300" spans="1:35" ht="13.5" customHeight="1">
      <c r="A300" s="1"/>
      <c r="B300" s="35"/>
      <c r="C300" s="111"/>
      <c r="D300" s="43"/>
      <c r="E300" s="122"/>
      <c r="F300" s="72"/>
      <c r="G300" s="72"/>
      <c r="H300" s="72"/>
      <c r="I300" s="72"/>
      <c r="J300" s="73"/>
      <c r="K300" s="71"/>
      <c r="L300" s="72"/>
      <c r="M300" s="72"/>
      <c r="N300" s="72"/>
      <c r="O300" s="72"/>
      <c r="P300" s="73"/>
      <c r="Q300" s="71"/>
      <c r="R300" s="72"/>
      <c r="S300" s="72"/>
      <c r="T300" s="72"/>
      <c r="U300" s="72"/>
      <c r="V300" s="73"/>
      <c r="W300" s="71"/>
      <c r="X300" s="72"/>
      <c r="Y300" s="72"/>
      <c r="Z300" s="72"/>
      <c r="AA300" s="72"/>
      <c r="AB300" s="73"/>
      <c r="AC300" s="71"/>
      <c r="AD300" s="72"/>
      <c r="AE300" s="72"/>
      <c r="AF300" s="72"/>
      <c r="AG300" s="72"/>
      <c r="AH300" s="73"/>
      <c r="AI300" s="4"/>
    </row>
    <row r="301" spans="1:35" ht="13.5" customHeight="1">
      <c r="A301" s="1"/>
      <c r="B301" s="41"/>
      <c r="C301" s="110"/>
      <c r="D301" s="43"/>
      <c r="E301" s="130"/>
      <c r="F301" s="131"/>
      <c r="G301" s="131"/>
      <c r="H301" s="131"/>
      <c r="I301" s="131"/>
      <c r="J301" s="132"/>
      <c r="K301" s="131"/>
      <c r="L301" s="131"/>
      <c r="M301" s="131"/>
      <c r="N301" s="131"/>
      <c r="O301" s="131"/>
      <c r="P301" s="132"/>
      <c r="Q301" s="131"/>
      <c r="R301" s="131"/>
      <c r="S301" s="131"/>
      <c r="T301" s="131"/>
      <c r="U301" s="131"/>
      <c r="V301" s="132"/>
      <c r="W301" s="131"/>
      <c r="X301" s="131"/>
      <c r="Y301" s="131"/>
      <c r="Z301" s="131"/>
      <c r="AA301" s="131"/>
      <c r="AB301" s="132"/>
      <c r="AC301" s="131"/>
      <c r="AD301" s="131"/>
      <c r="AE301" s="131"/>
      <c r="AF301" s="131"/>
      <c r="AG301" s="131"/>
      <c r="AH301" s="132"/>
      <c r="AI301" s="4"/>
    </row>
    <row r="302" spans="1:35" ht="13.5" customHeight="1">
      <c r="A302" s="1"/>
      <c r="B302" s="82"/>
      <c r="C302" s="84"/>
      <c r="D302" s="84"/>
      <c r="E302" s="134"/>
      <c r="F302" s="135"/>
      <c r="G302" s="135"/>
      <c r="H302" s="135"/>
      <c r="I302" s="135"/>
      <c r="J302" s="136"/>
      <c r="K302" s="135"/>
      <c r="L302" s="135"/>
      <c r="M302" s="135"/>
      <c r="N302" s="135"/>
      <c r="O302" s="135"/>
      <c r="P302" s="136"/>
      <c r="Q302" s="135"/>
      <c r="R302" s="135"/>
      <c r="S302" s="135"/>
      <c r="T302" s="135"/>
      <c r="U302" s="135"/>
      <c r="V302" s="136"/>
      <c r="W302" s="135"/>
      <c r="X302" s="135"/>
      <c r="Y302" s="135"/>
      <c r="Z302" s="135"/>
      <c r="AA302" s="135"/>
      <c r="AB302" s="136"/>
      <c r="AC302" s="135"/>
      <c r="AD302" s="135"/>
      <c r="AE302" s="135"/>
      <c r="AF302" s="135"/>
      <c r="AG302" s="135"/>
      <c r="AH302" s="136"/>
      <c r="AI302" s="4"/>
    </row>
    <row r="303" spans="1:35" ht="13.5" customHeight="1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spans="1:35" ht="13.5" customHeight="1">
      <c r="A304" s="4"/>
      <c r="B304" s="4"/>
      <c r="C304" s="4"/>
      <c r="D304" s="4"/>
      <c r="E304" s="4"/>
      <c r="F304" s="47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spans="1:35" ht="13.5" customHeight="1">
      <c r="A305" s="4"/>
      <c r="B305" s="4"/>
      <c r="C305" s="4"/>
      <c r="D305" s="4"/>
      <c r="E305" s="4"/>
      <c r="F305" s="47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spans="1:35" ht="13.5" customHeight="1">
      <c r="A306" s="1" t="s">
        <v>227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spans="1:35" ht="13.5" customHeight="1">
      <c r="A307" s="4"/>
      <c r="B307" s="8" t="str">
        <f>$B$352</f>
        <v>RAINIER VIEW WATER CO., INC.</v>
      </c>
      <c r="C307" s="9"/>
      <c r="D307" s="12"/>
      <c r="E307" s="11"/>
      <c r="F307" s="11"/>
      <c r="G307" s="11"/>
      <c r="H307" s="11"/>
      <c r="I307" s="12" t="str">
        <f>$G$352</f>
        <v>Appendix A</v>
      </c>
      <c r="J307" s="13"/>
      <c r="K307" s="11"/>
      <c r="L307" s="11"/>
      <c r="M307" s="11"/>
      <c r="N307" s="11"/>
      <c r="O307" s="12" t="str">
        <f>$G$352</f>
        <v>Appendix A</v>
      </c>
      <c r="P307" s="13"/>
      <c r="Q307" s="11"/>
      <c r="R307" s="11"/>
      <c r="S307" s="11"/>
      <c r="T307" s="11"/>
      <c r="U307" s="12" t="str">
        <f>$G$352</f>
        <v>Appendix A</v>
      </c>
      <c r="V307" s="13"/>
      <c r="W307" s="11"/>
      <c r="X307" s="11"/>
      <c r="Y307" s="11"/>
      <c r="Z307" s="11"/>
      <c r="AA307" s="12" t="str">
        <f>$G$352</f>
        <v>Appendix A</v>
      </c>
      <c r="AB307" s="13"/>
      <c r="AC307" s="9"/>
      <c r="AD307" s="11"/>
      <c r="AE307" s="11"/>
      <c r="AF307" s="11"/>
      <c r="AG307" s="12" t="str">
        <f>$G$352</f>
        <v>Appendix A</v>
      </c>
      <c r="AH307" s="13"/>
      <c r="AI307" s="4"/>
    </row>
    <row r="308" spans="1:35" ht="13.5" customHeight="1">
      <c r="A308" s="4"/>
      <c r="B308" s="14" t="s">
        <v>228</v>
      </c>
      <c r="C308" s="1"/>
      <c r="D308" s="17"/>
      <c r="E308" s="4"/>
      <c r="F308" s="4"/>
      <c r="G308" s="4"/>
      <c r="H308" s="4"/>
      <c r="I308" s="17" t="str">
        <f>$G$353</f>
        <v>Docket No. UW-010877</v>
      </c>
      <c r="J308" s="18"/>
      <c r="K308" s="4"/>
      <c r="L308" s="4"/>
      <c r="M308" s="4"/>
      <c r="N308" s="4"/>
      <c r="O308" s="17" t="str">
        <f>$G$353</f>
        <v>Docket No. UW-010877</v>
      </c>
      <c r="P308" s="18"/>
      <c r="Q308" s="4"/>
      <c r="R308" s="4"/>
      <c r="S308" s="4"/>
      <c r="T308" s="4"/>
      <c r="U308" s="17" t="str">
        <f>$G$353</f>
        <v>Docket No. UW-010877</v>
      </c>
      <c r="V308" s="18"/>
      <c r="W308" s="4"/>
      <c r="X308" s="4"/>
      <c r="Y308" s="4"/>
      <c r="Z308" s="4"/>
      <c r="AA308" s="17" t="str">
        <f>$G$353</f>
        <v>Docket No. UW-010877</v>
      </c>
      <c r="AB308" s="18"/>
      <c r="AC308" s="4"/>
      <c r="AD308" s="4"/>
      <c r="AE308" s="4"/>
      <c r="AF308" s="4"/>
      <c r="AG308" s="17" t="str">
        <f>$G$353</f>
        <v>Docket No. UW-010877</v>
      </c>
      <c r="AH308" s="18"/>
      <c r="AI308" s="4"/>
    </row>
    <row r="309" spans="1:35" ht="13.5" customHeight="1">
      <c r="A309" s="4"/>
      <c r="B309" s="14" t="s">
        <v>159</v>
      </c>
      <c r="C309" s="4"/>
      <c r="D309" s="17"/>
      <c r="E309" s="4"/>
      <c r="F309" s="4"/>
      <c r="G309" s="4"/>
      <c r="H309" s="4"/>
      <c r="I309" s="3" t="s">
        <v>229</v>
      </c>
      <c r="J309" s="18"/>
      <c r="K309" s="4"/>
      <c r="L309" s="4"/>
      <c r="M309" s="4"/>
      <c r="N309" s="4"/>
      <c r="O309" s="3" t="s">
        <v>230</v>
      </c>
      <c r="P309" s="18"/>
      <c r="Q309" s="4"/>
      <c r="R309" s="4"/>
      <c r="S309" s="4"/>
      <c r="T309" s="4"/>
      <c r="U309" s="3" t="s">
        <v>231</v>
      </c>
      <c r="V309" s="18"/>
      <c r="W309" s="4"/>
      <c r="X309" s="4"/>
      <c r="Y309" s="4"/>
      <c r="Z309" s="4"/>
      <c r="AA309" s="3" t="s">
        <v>232</v>
      </c>
      <c r="AB309" s="18"/>
      <c r="AC309" s="4"/>
      <c r="AD309" s="4"/>
      <c r="AE309" s="4"/>
      <c r="AF309" s="4"/>
      <c r="AG309" s="3" t="s">
        <v>233</v>
      </c>
      <c r="AH309" s="18"/>
      <c r="AI309" s="4"/>
    </row>
    <row r="310" spans="1:35" ht="13.5" customHeight="1">
      <c r="A310" s="4"/>
      <c r="B310" s="19" t="str">
        <f>$B$354</f>
        <v>FOR THE 12 MONTHS ENDED DECEMBER 31, 2000</v>
      </c>
      <c r="C310" s="4"/>
      <c r="D310" s="17"/>
      <c r="E310" s="4"/>
      <c r="F310" s="4"/>
      <c r="G310" s="4"/>
      <c r="H310" s="4"/>
      <c r="I310" s="4"/>
      <c r="J310" s="18"/>
      <c r="K310" s="4"/>
      <c r="L310" s="4"/>
      <c r="M310" s="4"/>
      <c r="N310" s="4"/>
      <c r="O310" s="4"/>
      <c r="P310" s="18"/>
      <c r="Q310" s="4"/>
      <c r="R310" s="4"/>
      <c r="S310" s="4"/>
      <c r="T310" s="4"/>
      <c r="U310" s="4"/>
      <c r="V310" s="18"/>
      <c r="W310" s="4"/>
      <c r="X310" s="4"/>
      <c r="Y310" s="4"/>
      <c r="Z310" s="4"/>
      <c r="AA310" s="4"/>
      <c r="AB310" s="18"/>
      <c r="AC310" s="4"/>
      <c r="AD310" s="4"/>
      <c r="AE310" s="4"/>
      <c r="AF310" s="4"/>
      <c r="AG310" s="4"/>
      <c r="AH310" s="18"/>
      <c r="AI310" s="4"/>
    </row>
    <row r="311" spans="1:35" ht="13.5" customHeight="1">
      <c r="A311" s="4"/>
      <c r="B311" s="19"/>
      <c r="C311" s="17"/>
      <c r="D311" s="17"/>
      <c r="E311" s="22"/>
      <c r="F311" s="22" t="s">
        <v>644</v>
      </c>
      <c r="G311" s="22" t="s">
        <v>645</v>
      </c>
      <c r="H311" s="22" t="s">
        <v>646</v>
      </c>
      <c r="I311" s="22" t="s">
        <v>647</v>
      </c>
      <c r="J311" s="26" t="s">
        <v>648</v>
      </c>
      <c r="K311" s="22" t="s">
        <v>649</v>
      </c>
      <c r="L311" s="22" t="s">
        <v>650</v>
      </c>
      <c r="M311" s="22" t="s">
        <v>651</v>
      </c>
      <c r="N311" s="22" t="s">
        <v>652</v>
      </c>
      <c r="O311" s="22" t="s">
        <v>653</v>
      </c>
      <c r="P311" s="26" t="s">
        <v>654</v>
      </c>
      <c r="Q311" s="22" t="s">
        <v>655</v>
      </c>
      <c r="R311" s="22" t="s">
        <v>656</v>
      </c>
      <c r="S311" s="22" t="s">
        <v>657</v>
      </c>
      <c r="T311" s="22" t="s">
        <v>186</v>
      </c>
      <c r="U311" s="22" t="s">
        <v>187</v>
      </c>
      <c r="V311" s="26" t="s">
        <v>188</v>
      </c>
      <c r="W311" s="22" t="s">
        <v>189</v>
      </c>
      <c r="X311" s="22" t="s">
        <v>190</v>
      </c>
      <c r="Y311" s="22" t="s">
        <v>191</v>
      </c>
      <c r="Z311" s="22" t="s">
        <v>191</v>
      </c>
      <c r="AA311" s="22" t="s">
        <v>191</v>
      </c>
      <c r="AB311" s="26" t="s">
        <v>191</v>
      </c>
      <c r="AC311" s="22" t="s">
        <v>191</v>
      </c>
      <c r="AD311" s="22" t="s">
        <v>191</v>
      </c>
      <c r="AE311" s="22" t="s">
        <v>191</v>
      </c>
      <c r="AF311" s="22" t="s">
        <v>191</v>
      </c>
      <c r="AG311" s="22" t="s">
        <v>191</v>
      </c>
      <c r="AH311" s="26" t="s">
        <v>191</v>
      </c>
      <c r="AI311" s="4"/>
    </row>
    <row r="312" spans="1:35" ht="13.5" customHeight="1">
      <c r="A312" s="4"/>
      <c r="B312" s="14" t="str">
        <f>IF(E372&lt;&gt;0,+"(WITH FEDERAL INCOME TAXES IMPUTED)",+" (WITHOUT FEDERAL INCOME TAXES IMPUTED)")</f>
        <v>(WITH FEDERAL INCOME TAXES IMPUTED)</v>
      </c>
      <c r="C312" s="17"/>
      <c r="D312" s="17"/>
      <c r="E312" s="24" t="s">
        <v>9</v>
      </c>
      <c r="F312" s="22"/>
      <c r="G312" s="22" t="s">
        <v>193</v>
      </c>
      <c r="H312" s="22"/>
      <c r="I312" s="22"/>
      <c r="J312" s="26" t="s">
        <v>192</v>
      </c>
      <c r="K312" s="22" t="s">
        <v>658</v>
      </c>
      <c r="L312" s="22"/>
      <c r="M312" s="22" t="s">
        <v>659</v>
      </c>
      <c r="N312" s="22" t="s">
        <v>200</v>
      </c>
      <c r="O312" s="22" t="s">
        <v>637</v>
      </c>
      <c r="P312" s="26" t="s">
        <v>200</v>
      </c>
      <c r="Q312" s="24"/>
      <c r="R312" s="24"/>
      <c r="S312" s="22"/>
      <c r="T312" s="17"/>
      <c r="U312" s="22"/>
      <c r="V312" s="26"/>
      <c r="W312" s="22"/>
      <c r="X312" s="22"/>
      <c r="Y312" s="17"/>
      <c r="Z312" s="17"/>
      <c r="AA312" s="17"/>
      <c r="AB312" s="106"/>
      <c r="AC312" s="22"/>
      <c r="AD312" s="22"/>
      <c r="AE312" s="22"/>
      <c r="AF312" s="22"/>
      <c r="AG312" s="22"/>
      <c r="AH312" s="106"/>
      <c r="AI312" s="4"/>
    </row>
    <row r="313" spans="1:35" ht="13.5" customHeight="1">
      <c r="A313" s="4"/>
      <c r="B313" s="25" t="s">
        <v>14</v>
      </c>
      <c r="C313" s="17"/>
      <c r="D313" s="17"/>
      <c r="E313" s="24" t="s">
        <v>13</v>
      </c>
      <c r="F313" s="22"/>
      <c r="G313" s="22" t="s">
        <v>202</v>
      </c>
      <c r="H313" s="22" t="s">
        <v>206</v>
      </c>
      <c r="I313" s="22" t="s">
        <v>205</v>
      </c>
      <c r="J313" s="26" t="s">
        <v>195</v>
      </c>
      <c r="K313" s="22" t="s">
        <v>195</v>
      </c>
      <c r="L313" s="22" t="s">
        <v>660</v>
      </c>
      <c r="M313" s="22" t="s">
        <v>291</v>
      </c>
      <c r="N313" s="22" t="s">
        <v>661</v>
      </c>
      <c r="O313" s="22" t="s">
        <v>216</v>
      </c>
      <c r="P313" s="26" t="s">
        <v>212</v>
      </c>
      <c r="Q313" s="22"/>
      <c r="R313" s="22"/>
      <c r="S313" s="22"/>
      <c r="T313" s="17"/>
      <c r="U313" s="22"/>
      <c r="V313" s="26"/>
      <c r="W313" s="22"/>
      <c r="X313" s="22"/>
      <c r="Y313" s="17"/>
      <c r="Z313" s="17"/>
      <c r="AA313" s="17"/>
      <c r="AB313" s="106"/>
      <c r="AC313" s="22"/>
      <c r="AD313" s="22"/>
      <c r="AE313" s="22"/>
      <c r="AF313" s="22"/>
      <c r="AG313" s="22"/>
      <c r="AH313" s="106"/>
      <c r="AI313" s="4"/>
    </row>
    <row r="314" spans="1:35" ht="13.5" customHeight="1">
      <c r="A314" s="4"/>
      <c r="B314" s="27" t="s">
        <v>18</v>
      </c>
      <c r="C314" s="28" t="s">
        <v>19</v>
      </c>
      <c r="D314" s="28" t="s">
        <v>20</v>
      </c>
      <c r="E314" s="29" t="s">
        <v>22</v>
      </c>
      <c r="F314" s="28" t="s">
        <v>199</v>
      </c>
      <c r="G314" s="28" t="s">
        <v>215</v>
      </c>
      <c r="H314" s="22" t="s">
        <v>204</v>
      </c>
      <c r="I314" s="28" t="s">
        <v>218</v>
      </c>
      <c r="J314" s="26" t="s">
        <v>217</v>
      </c>
      <c r="K314" s="22" t="s">
        <v>217</v>
      </c>
      <c r="L314" s="22" t="s">
        <v>216</v>
      </c>
      <c r="M314" s="22" t="s">
        <v>217</v>
      </c>
      <c r="N314" s="22" t="s">
        <v>662</v>
      </c>
      <c r="O314" s="28" t="s">
        <v>217</v>
      </c>
      <c r="P314" s="26" t="s">
        <v>224</v>
      </c>
      <c r="Q314" s="28"/>
      <c r="R314" s="28"/>
      <c r="S314" s="22"/>
      <c r="T314" s="22"/>
      <c r="U314" s="22"/>
      <c r="V314" s="26"/>
      <c r="W314" s="22"/>
      <c r="X314" s="22"/>
      <c r="Y314" s="17"/>
      <c r="Z314" s="17"/>
      <c r="AA314" s="17"/>
      <c r="AB314" s="106"/>
      <c r="AC314" s="22"/>
      <c r="AD314" s="22"/>
      <c r="AE314" s="22"/>
      <c r="AF314" s="22"/>
      <c r="AG314" s="22"/>
      <c r="AH314" s="106"/>
      <c r="AI314" s="4"/>
    </row>
    <row r="315" spans="1:35" ht="13.5" customHeight="1">
      <c r="A315" s="4"/>
      <c r="B315" s="31"/>
      <c r="C315" s="31" t="s">
        <v>25</v>
      </c>
      <c r="D315" s="31" t="s">
        <v>26</v>
      </c>
      <c r="E315" s="32" t="s">
        <v>27</v>
      </c>
      <c r="F315" s="33" t="s">
        <v>28</v>
      </c>
      <c r="G315" s="33" t="s">
        <v>29</v>
      </c>
      <c r="H315" s="33" t="s">
        <v>30</v>
      </c>
      <c r="I315" s="33" t="s">
        <v>31</v>
      </c>
      <c r="J315" s="34" t="s">
        <v>32</v>
      </c>
      <c r="K315" s="31" t="s">
        <v>33</v>
      </c>
      <c r="L315" s="33" t="s">
        <v>140</v>
      </c>
      <c r="M315" s="33" t="s">
        <v>141</v>
      </c>
      <c r="N315" s="33" t="s">
        <v>142</v>
      </c>
      <c r="O315" s="33" t="s">
        <v>143</v>
      </c>
      <c r="P315" s="34" t="s">
        <v>144</v>
      </c>
      <c r="Q315" s="31" t="s">
        <v>145</v>
      </c>
      <c r="R315" s="33" t="s">
        <v>145</v>
      </c>
      <c r="S315" s="33" t="s">
        <v>148</v>
      </c>
      <c r="T315" s="33" t="s">
        <v>146</v>
      </c>
      <c r="U315" s="33" t="s">
        <v>147</v>
      </c>
      <c r="V315" s="34" t="s">
        <v>144</v>
      </c>
      <c r="W315" s="31" t="s">
        <v>144</v>
      </c>
      <c r="X315" s="33" t="s">
        <v>148</v>
      </c>
      <c r="Y315" s="33" t="s">
        <v>146</v>
      </c>
      <c r="Z315" s="33" t="s">
        <v>149</v>
      </c>
      <c r="AA315" s="33" t="s">
        <v>150</v>
      </c>
      <c r="AB315" s="34" t="s">
        <v>149</v>
      </c>
      <c r="AC315" s="107" t="s">
        <v>151</v>
      </c>
      <c r="AD315" s="108" t="s">
        <v>152</v>
      </c>
      <c r="AE315" s="108" t="s">
        <v>153</v>
      </c>
      <c r="AF315" s="108" t="s">
        <v>154</v>
      </c>
      <c r="AG315" s="108" t="s">
        <v>155</v>
      </c>
      <c r="AH315" s="109" t="s">
        <v>156</v>
      </c>
      <c r="AI315" s="4"/>
    </row>
    <row r="316" spans="1:35" ht="13.5" customHeight="1">
      <c r="A316" s="4"/>
      <c r="B316" s="35"/>
      <c r="C316" s="35"/>
      <c r="D316" s="35"/>
      <c r="E316" s="36"/>
      <c r="F316" s="37"/>
      <c r="G316" s="37"/>
      <c r="H316" s="4"/>
      <c r="I316" s="4"/>
      <c r="J316" s="18"/>
      <c r="K316" s="40"/>
      <c r="L316" s="4"/>
      <c r="M316" s="4"/>
      <c r="N316" s="4"/>
      <c r="O316" s="4"/>
      <c r="P316" s="18"/>
      <c r="Q316" s="40"/>
      <c r="R316" s="4"/>
      <c r="S316" s="4"/>
      <c r="T316" s="4"/>
      <c r="U316" s="4"/>
      <c r="V316" s="18"/>
      <c r="W316" s="40"/>
      <c r="X316" s="4"/>
      <c r="Y316" s="4"/>
      <c r="Z316" s="4"/>
      <c r="AA316" s="4"/>
      <c r="AB316" s="18"/>
      <c r="AC316" s="40"/>
      <c r="AD316" s="4"/>
      <c r="AE316" s="4"/>
      <c r="AF316" s="4"/>
      <c r="AG316" s="4"/>
      <c r="AH316" s="18"/>
      <c r="AI316" s="4"/>
    </row>
    <row r="317" spans="1:35" ht="13.5" customHeight="1">
      <c r="A317" s="4"/>
      <c r="B317" s="35"/>
      <c r="C317" s="89" t="s">
        <v>84</v>
      </c>
      <c r="D317" s="41"/>
      <c r="E317" s="39"/>
      <c r="F317" s="4"/>
      <c r="G317" s="4"/>
      <c r="H317" s="4"/>
      <c r="I317" s="4"/>
      <c r="J317" s="18"/>
      <c r="K317" s="40"/>
      <c r="L317" s="4"/>
      <c r="M317" s="4"/>
      <c r="N317" s="4"/>
      <c r="O317" s="4"/>
      <c r="P317" s="18"/>
      <c r="Q317" s="40"/>
      <c r="R317" s="4"/>
      <c r="S317" s="4"/>
      <c r="T317" s="4"/>
      <c r="U317" s="4"/>
      <c r="V317" s="18"/>
      <c r="W317" s="40"/>
      <c r="X317" s="4"/>
      <c r="Y317" s="4"/>
      <c r="Z317" s="4"/>
      <c r="AA317" s="4"/>
      <c r="AB317" s="18"/>
      <c r="AC317" s="40"/>
      <c r="AD317" s="4"/>
      <c r="AE317" s="4"/>
      <c r="AF317" s="4"/>
      <c r="AG317" s="4"/>
      <c r="AH317" s="18"/>
      <c r="AI317" s="4"/>
    </row>
    <row r="318" spans="1:35" ht="13.5" customHeight="1">
      <c r="A318" s="4"/>
      <c r="B318" s="41">
        <f>B299+1</f>
        <v>45</v>
      </c>
      <c r="C318" s="42" t="s">
        <v>85</v>
      </c>
      <c r="D318" s="41" t="str">
        <f>"From Ln "&amp;FIXED(+B284,0)</f>
        <v>From Ln 34</v>
      </c>
      <c r="E318" s="112">
        <f>SUM(F318:AH318)</f>
        <v>-339811</v>
      </c>
      <c r="F318" s="45">
        <f aca="true" t="shared" si="69" ref="F318:AH318">F256-F282</f>
        <v>-142501</v>
      </c>
      <c r="G318" s="45">
        <f t="shared" si="69"/>
        <v>-49798</v>
      </c>
      <c r="H318" s="45">
        <f t="shared" si="69"/>
        <v>-46345</v>
      </c>
      <c r="I318" s="45">
        <f t="shared" si="69"/>
        <v>-23918</v>
      </c>
      <c r="J318" s="46">
        <f t="shared" si="69"/>
        <v>6342</v>
      </c>
      <c r="K318" s="75">
        <f t="shared" si="69"/>
        <v>-55069</v>
      </c>
      <c r="L318" s="45">
        <f t="shared" si="69"/>
        <v>-6333</v>
      </c>
      <c r="M318" s="45">
        <f t="shared" si="69"/>
        <v>-18190</v>
      </c>
      <c r="N318" s="45">
        <f t="shared" si="69"/>
        <v>-9239</v>
      </c>
      <c r="O318" s="45">
        <f t="shared" si="69"/>
        <v>0</v>
      </c>
      <c r="P318" s="46">
        <f t="shared" si="69"/>
        <v>5240</v>
      </c>
      <c r="Q318" s="75">
        <f t="shared" si="69"/>
        <v>0</v>
      </c>
      <c r="R318" s="45">
        <f t="shared" si="69"/>
        <v>0</v>
      </c>
      <c r="S318" s="45">
        <f t="shared" si="69"/>
        <v>0</v>
      </c>
      <c r="T318" s="45">
        <f t="shared" si="69"/>
        <v>0</v>
      </c>
      <c r="U318" s="45">
        <f t="shared" si="69"/>
        <v>0</v>
      </c>
      <c r="V318" s="46">
        <f t="shared" si="69"/>
        <v>0</v>
      </c>
      <c r="W318" s="75">
        <f t="shared" si="69"/>
        <v>0</v>
      </c>
      <c r="X318" s="45">
        <f t="shared" si="69"/>
        <v>0</v>
      </c>
      <c r="Y318" s="45">
        <f t="shared" si="69"/>
        <v>0</v>
      </c>
      <c r="Z318" s="45">
        <f t="shared" si="69"/>
        <v>0</v>
      </c>
      <c r="AA318" s="45">
        <f t="shared" si="69"/>
        <v>0</v>
      </c>
      <c r="AB318" s="46">
        <f t="shared" si="69"/>
        <v>0</v>
      </c>
      <c r="AC318" s="75">
        <f t="shared" si="69"/>
        <v>0</v>
      </c>
      <c r="AD318" s="45">
        <f t="shared" si="69"/>
        <v>0</v>
      </c>
      <c r="AE318" s="45">
        <f t="shared" si="69"/>
        <v>0</v>
      </c>
      <c r="AF318" s="45">
        <f t="shared" si="69"/>
        <v>0</v>
      </c>
      <c r="AG318" s="45">
        <f t="shared" si="69"/>
        <v>0</v>
      </c>
      <c r="AH318" s="46">
        <f t="shared" si="69"/>
        <v>0</v>
      </c>
      <c r="AI318" s="4"/>
    </row>
    <row r="319" spans="1:35" ht="13.5" customHeight="1">
      <c r="A319" s="4"/>
      <c r="B319" s="41">
        <f>B318+1</f>
        <v>46</v>
      </c>
      <c r="C319" s="40" t="s">
        <v>165</v>
      </c>
      <c r="D319" s="35" t="s">
        <v>36</v>
      </c>
      <c r="E319" s="39">
        <f>SUM(F319:AH319)</f>
        <v>0</v>
      </c>
      <c r="F319" s="4">
        <v>0</v>
      </c>
      <c r="G319" s="4">
        <v>0</v>
      </c>
      <c r="H319" s="4">
        <v>0</v>
      </c>
      <c r="I319" s="4">
        <v>0</v>
      </c>
      <c r="J319" s="18">
        <v>0</v>
      </c>
      <c r="K319" s="40">
        <v>0</v>
      </c>
      <c r="L319" s="4">
        <v>0</v>
      </c>
      <c r="M319" s="4">
        <v>0</v>
      </c>
      <c r="N319" s="4">
        <v>0</v>
      </c>
      <c r="O319" s="4">
        <v>0</v>
      </c>
      <c r="P319" s="18">
        <v>0</v>
      </c>
      <c r="Q319" s="40">
        <v>0</v>
      </c>
      <c r="R319" s="4">
        <v>0</v>
      </c>
      <c r="S319" s="4">
        <v>0</v>
      </c>
      <c r="T319" s="4">
        <v>0</v>
      </c>
      <c r="U319" s="4">
        <v>0</v>
      </c>
      <c r="V319" s="18">
        <v>0</v>
      </c>
      <c r="W319" s="40">
        <v>0</v>
      </c>
      <c r="X319" s="4">
        <v>0</v>
      </c>
      <c r="Y319" s="4">
        <v>0</v>
      </c>
      <c r="Z319" s="4">
        <v>0</v>
      </c>
      <c r="AA319" s="4">
        <v>0</v>
      </c>
      <c r="AB319" s="18">
        <v>0</v>
      </c>
      <c r="AC319" s="40">
        <v>0</v>
      </c>
      <c r="AD319" s="4">
        <v>0</v>
      </c>
      <c r="AE319" s="4">
        <v>0</v>
      </c>
      <c r="AF319" s="4">
        <v>0</v>
      </c>
      <c r="AG319" s="4">
        <v>0</v>
      </c>
      <c r="AH319" s="18">
        <v>0</v>
      </c>
      <c r="AI319" s="4"/>
    </row>
    <row r="320" spans="1:35" ht="13.5" customHeight="1">
      <c r="A320" s="4"/>
      <c r="B320" s="41">
        <f>B319+1</f>
        <v>47</v>
      </c>
      <c r="C320" s="40" t="s">
        <v>87</v>
      </c>
      <c r="D320" s="35" t="s">
        <v>36</v>
      </c>
      <c r="E320" s="39">
        <f>SUM(F320:AH320)</f>
        <v>136601</v>
      </c>
      <c r="F320" s="1">
        <v>0</v>
      </c>
      <c r="G320" s="1">
        <v>0</v>
      </c>
      <c r="H320" s="1">
        <v>0</v>
      </c>
      <c r="I320" s="1">
        <v>0</v>
      </c>
      <c r="J320" s="67">
        <v>0</v>
      </c>
      <c r="K320" s="42">
        <v>0</v>
      </c>
      <c r="L320" s="1">
        <v>0</v>
      </c>
      <c r="M320" s="1">
        <v>0</v>
      </c>
      <c r="N320" s="1">
        <v>0</v>
      </c>
      <c r="O320" s="1">
        <f>-E459</f>
        <v>136601</v>
      </c>
      <c r="P320" s="67">
        <v>0</v>
      </c>
      <c r="Q320" s="42">
        <v>0</v>
      </c>
      <c r="R320" s="1">
        <v>0</v>
      </c>
      <c r="S320" s="1">
        <v>0</v>
      </c>
      <c r="T320" s="1">
        <v>0</v>
      </c>
      <c r="U320" s="1">
        <v>0</v>
      </c>
      <c r="V320" s="67">
        <v>0</v>
      </c>
      <c r="W320" s="42">
        <v>0</v>
      </c>
      <c r="X320" s="1">
        <v>0</v>
      </c>
      <c r="Y320" s="1">
        <v>0</v>
      </c>
      <c r="Z320" s="1">
        <v>0</v>
      </c>
      <c r="AA320" s="1">
        <v>0</v>
      </c>
      <c r="AB320" s="67">
        <v>0</v>
      </c>
      <c r="AC320" s="42">
        <v>0</v>
      </c>
      <c r="AD320" s="1">
        <v>0</v>
      </c>
      <c r="AE320" s="1">
        <v>0</v>
      </c>
      <c r="AF320" s="1">
        <v>0</v>
      </c>
      <c r="AG320" s="1">
        <v>0</v>
      </c>
      <c r="AH320" s="67">
        <v>0</v>
      </c>
      <c r="AI320" s="4"/>
    </row>
    <row r="321" spans="1:35" ht="13.5" customHeight="1">
      <c r="A321" s="4"/>
      <c r="B321" s="41">
        <f>B320+1</f>
        <v>48</v>
      </c>
      <c r="C321" s="40" t="s">
        <v>88</v>
      </c>
      <c r="D321" s="41" t="str">
        <f>"Ln "&amp;FIXED(+B318,0)&amp;"+"&amp;FIXED(+B319,0)&amp;"+"&amp;FIXED(+B320,0)</f>
        <v>Ln 45+46+47</v>
      </c>
      <c r="E321" s="111">
        <f aca="true" t="shared" si="70" ref="E321:AH321">E318+E319+E320</f>
        <v>-203210</v>
      </c>
      <c r="F321" s="42">
        <f t="shared" si="70"/>
        <v>-142501</v>
      </c>
      <c r="G321" s="1">
        <f t="shared" si="70"/>
        <v>-49798</v>
      </c>
      <c r="H321" s="1">
        <f t="shared" si="70"/>
        <v>-46345</v>
      </c>
      <c r="I321" s="1">
        <f t="shared" si="70"/>
        <v>-23918</v>
      </c>
      <c r="J321" s="67">
        <f t="shared" si="70"/>
        <v>6342</v>
      </c>
      <c r="K321" s="42">
        <f t="shared" si="70"/>
        <v>-55069</v>
      </c>
      <c r="L321" s="1">
        <f t="shared" si="70"/>
        <v>-6333</v>
      </c>
      <c r="M321" s="1">
        <f t="shared" si="70"/>
        <v>-18190</v>
      </c>
      <c r="N321" s="1">
        <f t="shared" si="70"/>
        <v>-9239</v>
      </c>
      <c r="O321" s="1">
        <f t="shared" si="70"/>
        <v>136601</v>
      </c>
      <c r="P321" s="67">
        <f t="shared" si="70"/>
        <v>5240</v>
      </c>
      <c r="Q321" s="42">
        <f t="shared" si="70"/>
        <v>0</v>
      </c>
      <c r="R321" s="1">
        <f t="shared" si="70"/>
        <v>0</v>
      </c>
      <c r="S321" s="1">
        <f t="shared" si="70"/>
        <v>0</v>
      </c>
      <c r="T321" s="1">
        <f t="shared" si="70"/>
        <v>0</v>
      </c>
      <c r="U321" s="1">
        <f t="shared" si="70"/>
        <v>0</v>
      </c>
      <c r="V321" s="67">
        <f t="shared" si="70"/>
        <v>0</v>
      </c>
      <c r="W321" s="42">
        <f t="shared" si="70"/>
        <v>0</v>
      </c>
      <c r="X321" s="1">
        <f t="shared" si="70"/>
        <v>0</v>
      </c>
      <c r="Y321" s="1">
        <f t="shared" si="70"/>
        <v>0</v>
      </c>
      <c r="Z321" s="1">
        <f t="shared" si="70"/>
        <v>0</v>
      </c>
      <c r="AA321" s="1">
        <f t="shared" si="70"/>
        <v>0</v>
      </c>
      <c r="AB321" s="67">
        <f t="shared" si="70"/>
        <v>0</v>
      </c>
      <c r="AC321" s="42">
        <f t="shared" si="70"/>
        <v>0</v>
      </c>
      <c r="AD321" s="1">
        <f t="shared" si="70"/>
        <v>0</v>
      </c>
      <c r="AE321" s="1">
        <f t="shared" si="70"/>
        <v>0</v>
      </c>
      <c r="AF321" s="1">
        <f t="shared" si="70"/>
        <v>0</v>
      </c>
      <c r="AG321" s="1">
        <f t="shared" si="70"/>
        <v>0</v>
      </c>
      <c r="AH321" s="67">
        <f t="shared" si="70"/>
        <v>0</v>
      </c>
      <c r="AI321" s="4"/>
    </row>
    <row r="322" spans="1:35" ht="13.5" customHeight="1">
      <c r="A322" s="4"/>
      <c r="B322" s="35"/>
      <c r="C322" s="40"/>
      <c r="D322" s="40"/>
      <c r="E322" s="39"/>
      <c r="F322" s="4"/>
      <c r="G322" s="4"/>
      <c r="H322" s="4"/>
      <c r="I322" s="4"/>
      <c r="J322" s="18"/>
      <c r="K322" s="40"/>
      <c r="L322" s="4"/>
      <c r="M322" s="4"/>
      <c r="N322" s="4"/>
      <c r="O322" s="4"/>
      <c r="P322" s="18"/>
      <c r="Q322" s="40"/>
      <c r="R322" s="4"/>
      <c r="S322" s="4"/>
      <c r="T322" s="4"/>
      <c r="U322" s="4"/>
      <c r="V322" s="18"/>
      <c r="W322" s="40"/>
      <c r="X322" s="4"/>
      <c r="Y322" s="4"/>
      <c r="Z322" s="4"/>
      <c r="AA322" s="4"/>
      <c r="AB322" s="18"/>
      <c r="AC322" s="40"/>
      <c r="AD322" s="4"/>
      <c r="AE322" s="4"/>
      <c r="AF322" s="4"/>
      <c r="AG322" s="4"/>
      <c r="AH322" s="18"/>
      <c r="AI322" s="4"/>
    </row>
    <row r="323" spans="1:35" ht="13.5" customHeight="1">
      <c r="A323" s="4"/>
      <c r="B323" s="41">
        <f>B321+1</f>
        <v>49</v>
      </c>
      <c r="C323" s="42" t="s">
        <v>89</v>
      </c>
      <c r="D323" s="42" t="str">
        <f>"Ln "&amp;FIXED(+B321,0)&amp;" x ("&amp;FIXED(+$E$372*100,2)&amp;"%/100)"</f>
        <v>Ln 48 x (34.00%/100)</v>
      </c>
      <c r="E323" s="137">
        <f aca="true" t="shared" si="71" ref="E323:AH323">E321*$E$372</f>
        <v>-69091.40000000002</v>
      </c>
      <c r="F323" s="138">
        <f t="shared" si="71"/>
        <v>-48450.34000000001</v>
      </c>
      <c r="G323" s="138">
        <f t="shared" si="71"/>
        <v>-16931.320000000003</v>
      </c>
      <c r="H323" s="138">
        <f t="shared" si="71"/>
        <v>-15757.300000000003</v>
      </c>
      <c r="I323" s="138">
        <f t="shared" si="71"/>
        <v>-8132.120000000002</v>
      </c>
      <c r="J323" s="139">
        <f t="shared" si="71"/>
        <v>2156.2800000000007</v>
      </c>
      <c r="K323" s="140">
        <f t="shared" si="71"/>
        <v>-18723.460000000003</v>
      </c>
      <c r="L323" s="138">
        <f t="shared" si="71"/>
        <v>-2153.2200000000007</v>
      </c>
      <c r="M323" s="138">
        <f t="shared" si="71"/>
        <v>-6184.600000000001</v>
      </c>
      <c r="N323" s="138">
        <f t="shared" si="71"/>
        <v>-3141.2600000000007</v>
      </c>
      <c r="O323" s="138">
        <f t="shared" si="71"/>
        <v>46444.34000000001</v>
      </c>
      <c r="P323" s="139">
        <f t="shared" si="71"/>
        <v>1781.6000000000004</v>
      </c>
      <c r="Q323" s="140">
        <f t="shared" si="71"/>
        <v>0</v>
      </c>
      <c r="R323" s="138">
        <f t="shared" si="71"/>
        <v>0</v>
      </c>
      <c r="S323" s="138">
        <f t="shared" si="71"/>
        <v>0</v>
      </c>
      <c r="T323" s="138">
        <f t="shared" si="71"/>
        <v>0</v>
      </c>
      <c r="U323" s="138">
        <f t="shared" si="71"/>
        <v>0</v>
      </c>
      <c r="V323" s="139">
        <f t="shared" si="71"/>
        <v>0</v>
      </c>
      <c r="W323" s="140">
        <f t="shared" si="71"/>
        <v>0</v>
      </c>
      <c r="X323" s="138">
        <f t="shared" si="71"/>
        <v>0</v>
      </c>
      <c r="Y323" s="138">
        <f t="shared" si="71"/>
        <v>0</v>
      </c>
      <c r="Z323" s="138">
        <f t="shared" si="71"/>
        <v>0</v>
      </c>
      <c r="AA323" s="138">
        <f t="shared" si="71"/>
        <v>0</v>
      </c>
      <c r="AB323" s="139">
        <f t="shared" si="71"/>
        <v>0</v>
      </c>
      <c r="AC323" s="140">
        <f t="shared" si="71"/>
        <v>0</v>
      </c>
      <c r="AD323" s="138">
        <f t="shared" si="71"/>
        <v>0</v>
      </c>
      <c r="AE323" s="138">
        <f t="shared" si="71"/>
        <v>0</v>
      </c>
      <c r="AF323" s="138">
        <f t="shared" si="71"/>
        <v>0</v>
      </c>
      <c r="AG323" s="138">
        <f t="shared" si="71"/>
        <v>0</v>
      </c>
      <c r="AH323" s="139">
        <f t="shared" si="71"/>
        <v>0</v>
      </c>
      <c r="AI323" s="4"/>
    </row>
    <row r="324" spans="1:35" ht="13.5" customHeight="1">
      <c r="A324" s="4"/>
      <c r="B324" s="35"/>
      <c r="C324" s="40" t="s">
        <v>90</v>
      </c>
      <c r="D324" s="41"/>
      <c r="E324" s="141"/>
      <c r="F324" s="94"/>
      <c r="G324" s="94"/>
      <c r="H324" s="94"/>
      <c r="I324" s="94"/>
      <c r="J324" s="95"/>
      <c r="K324" s="93"/>
      <c r="L324" s="94"/>
      <c r="M324" s="94"/>
      <c r="N324" s="94"/>
      <c r="O324" s="94"/>
      <c r="P324" s="95"/>
      <c r="Q324" s="93"/>
      <c r="R324" s="94"/>
      <c r="S324" s="94"/>
      <c r="T324" s="94"/>
      <c r="U324" s="94"/>
      <c r="V324" s="95"/>
      <c r="W324" s="93"/>
      <c r="X324" s="94"/>
      <c r="Y324" s="94"/>
      <c r="Z324" s="94"/>
      <c r="AA324" s="94"/>
      <c r="AB324" s="95"/>
      <c r="AC324" s="93"/>
      <c r="AD324" s="94"/>
      <c r="AE324" s="94"/>
      <c r="AF324" s="94"/>
      <c r="AG324" s="94"/>
      <c r="AH324" s="95"/>
      <c r="AI324" s="4"/>
    </row>
    <row r="325" spans="1:35" ht="13.5" customHeight="1">
      <c r="A325" s="4"/>
      <c r="B325" s="41">
        <f>B323+1</f>
        <v>50</v>
      </c>
      <c r="C325" s="42" t="s">
        <v>91</v>
      </c>
      <c r="D325" s="41" t="s">
        <v>36</v>
      </c>
      <c r="E325" s="137">
        <f>SUM(F325:AH325)</f>
        <v>-69091.40000000001</v>
      </c>
      <c r="F325" s="91">
        <f aca="true" t="shared" si="72" ref="F325:AH325">F323</f>
        <v>-48450.34000000001</v>
      </c>
      <c r="G325" s="91">
        <f t="shared" si="72"/>
        <v>-16931.320000000003</v>
      </c>
      <c r="H325" s="91">
        <f t="shared" si="72"/>
        <v>-15757.300000000003</v>
      </c>
      <c r="I325" s="91">
        <f t="shared" si="72"/>
        <v>-8132.120000000002</v>
      </c>
      <c r="J325" s="92">
        <f t="shared" si="72"/>
        <v>2156.2800000000007</v>
      </c>
      <c r="K325" s="91">
        <f t="shared" si="72"/>
        <v>-18723.460000000003</v>
      </c>
      <c r="L325" s="91">
        <f t="shared" si="72"/>
        <v>-2153.2200000000007</v>
      </c>
      <c r="M325" s="91">
        <f t="shared" si="72"/>
        <v>-6184.600000000001</v>
      </c>
      <c r="N325" s="91">
        <f t="shared" si="72"/>
        <v>-3141.2600000000007</v>
      </c>
      <c r="O325" s="91">
        <f t="shared" si="72"/>
        <v>46444.34000000001</v>
      </c>
      <c r="P325" s="92">
        <f t="shared" si="72"/>
        <v>1781.6000000000004</v>
      </c>
      <c r="Q325" s="91">
        <f t="shared" si="72"/>
        <v>0</v>
      </c>
      <c r="R325" s="91">
        <f t="shared" si="72"/>
        <v>0</v>
      </c>
      <c r="S325" s="91">
        <f t="shared" si="72"/>
        <v>0</v>
      </c>
      <c r="T325" s="91">
        <f t="shared" si="72"/>
        <v>0</v>
      </c>
      <c r="U325" s="91">
        <f t="shared" si="72"/>
        <v>0</v>
      </c>
      <c r="V325" s="92">
        <f t="shared" si="72"/>
        <v>0</v>
      </c>
      <c r="W325" s="90">
        <f t="shared" si="72"/>
        <v>0</v>
      </c>
      <c r="X325" s="91">
        <f t="shared" si="72"/>
        <v>0</v>
      </c>
      <c r="Y325" s="91">
        <f t="shared" si="72"/>
        <v>0</v>
      </c>
      <c r="Z325" s="91">
        <f t="shared" si="72"/>
        <v>0</v>
      </c>
      <c r="AA325" s="91">
        <f t="shared" si="72"/>
        <v>0</v>
      </c>
      <c r="AB325" s="139">
        <f t="shared" si="72"/>
        <v>0</v>
      </c>
      <c r="AC325" s="90">
        <f t="shared" si="72"/>
        <v>0</v>
      </c>
      <c r="AD325" s="91">
        <f t="shared" si="72"/>
        <v>0</v>
      </c>
      <c r="AE325" s="91">
        <f t="shared" si="72"/>
        <v>0</v>
      </c>
      <c r="AF325" s="91">
        <f t="shared" si="72"/>
        <v>0</v>
      </c>
      <c r="AG325" s="91">
        <f t="shared" si="72"/>
        <v>0</v>
      </c>
      <c r="AH325" s="139">
        <f t="shared" si="72"/>
        <v>0</v>
      </c>
      <c r="AI325" s="4"/>
    </row>
    <row r="326" spans="1:35" ht="13.5" customHeight="1">
      <c r="A326" s="4"/>
      <c r="B326" s="35"/>
      <c r="C326" s="40"/>
      <c r="D326" s="40"/>
      <c r="E326" s="39"/>
      <c r="F326" s="4"/>
      <c r="G326" s="4"/>
      <c r="H326" s="4"/>
      <c r="I326" s="4"/>
      <c r="J326" s="18"/>
      <c r="K326" s="40"/>
      <c r="L326" s="4"/>
      <c r="M326" s="4"/>
      <c r="N326" s="4"/>
      <c r="O326" s="4"/>
      <c r="P326" s="18"/>
      <c r="Q326" s="40"/>
      <c r="R326" s="4"/>
      <c r="S326" s="4"/>
      <c r="T326" s="4"/>
      <c r="U326" s="4"/>
      <c r="V326" s="18"/>
      <c r="W326" s="40"/>
      <c r="X326" s="4"/>
      <c r="Y326" s="4"/>
      <c r="Z326" s="4"/>
      <c r="AA326" s="4"/>
      <c r="AB326" s="18"/>
      <c r="AC326" s="40"/>
      <c r="AD326" s="4"/>
      <c r="AE326" s="4"/>
      <c r="AF326" s="4"/>
      <c r="AG326" s="4"/>
      <c r="AH326" s="18"/>
      <c r="AI326" s="4"/>
    </row>
    <row r="327" spans="1:35" ht="13.5" customHeight="1">
      <c r="A327" s="4"/>
      <c r="B327" s="35"/>
      <c r="C327" s="89" t="s">
        <v>70</v>
      </c>
      <c r="D327" s="42"/>
      <c r="E327" s="39"/>
      <c r="F327" s="4"/>
      <c r="G327" s="4"/>
      <c r="H327" s="4"/>
      <c r="I327" s="4"/>
      <c r="J327" s="18"/>
      <c r="K327" s="40"/>
      <c r="L327" s="4"/>
      <c r="M327" s="4"/>
      <c r="N327" s="4"/>
      <c r="O327" s="4"/>
      <c r="P327" s="18"/>
      <c r="Q327" s="40"/>
      <c r="R327" s="4"/>
      <c r="S327" s="4"/>
      <c r="T327" s="4"/>
      <c r="U327" s="4"/>
      <c r="V327" s="18"/>
      <c r="W327" s="40"/>
      <c r="X327" s="4"/>
      <c r="Y327" s="4"/>
      <c r="Z327" s="4"/>
      <c r="AA327" s="4"/>
      <c r="AB327" s="18"/>
      <c r="AC327" s="40"/>
      <c r="AD327" s="4"/>
      <c r="AE327" s="4"/>
      <c r="AF327" s="4"/>
      <c r="AG327" s="4"/>
      <c r="AH327" s="18"/>
      <c r="AI327" s="4"/>
    </row>
    <row r="328" spans="1:35" ht="13.5" customHeight="1">
      <c r="A328" s="4"/>
      <c r="B328" s="35"/>
      <c r="C328" s="14" t="s">
        <v>92</v>
      </c>
      <c r="D328" s="40"/>
      <c r="E328" s="39"/>
      <c r="F328" s="4"/>
      <c r="G328" s="4"/>
      <c r="H328" s="4"/>
      <c r="I328" s="4"/>
      <c r="J328" s="18"/>
      <c r="K328" s="40"/>
      <c r="L328" s="4"/>
      <c r="M328" s="4"/>
      <c r="N328" s="4"/>
      <c r="O328" s="4"/>
      <c r="P328" s="18"/>
      <c r="Q328" s="40"/>
      <c r="R328" s="4"/>
      <c r="S328" s="4"/>
      <c r="T328" s="4"/>
      <c r="U328" s="4"/>
      <c r="V328" s="18"/>
      <c r="W328" s="40"/>
      <c r="X328" s="4"/>
      <c r="Y328" s="4"/>
      <c r="Z328" s="4"/>
      <c r="AA328" s="4"/>
      <c r="AB328" s="18"/>
      <c r="AC328" s="40"/>
      <c r="AD328" s="4"/>
      <c r="AE328" s="4"/>
      <c r="AF328" s="4"/>
      <c r="AG328" s="4"/>
      <c r="AH328" s="18"/>
      <c r="AI328" s="4"/>
    </row>
    <row r="329" spans="1:35" ht="13.5" customHeight="1">
      <c r="A329" s="4"/>
      <c r="B329" s="41">
        <f>B325+1</f>
        <v>51</v>
      </c>
      <c r="C329" s="42" t="s">
        <v>93</v>
      </c>
      <c r="D329" s="41" t="s">
        <v>36</v>
      </c>
      <c r="E329" s="112">
        <f>SUM(F329:AH329)</f>
        <v>17097</v>
      </c>
      <c r="F329" s="113">
        <v>0</v>
      </c>
      <c r="G329" s="113">
        <v>0</v>
      </c>
      <c r="H329" s="113">
        <v>0</v>
      </c>
      <c r="I329" s="113">
        <v>0</v>
      </c>
      <c r="J329" s="114">
        <v>0</v>
      </c>
      <c r="K329" s="44">
        <v>0</v>
      </c>
      <c r="L329" s="113">
        <v>0</v>
      </c>
      <c r="M329" s="113">
        <v>0</v>
      </c>
      <c r="N329" s="113">
        <v>42506</v>
      </c>
      <c r="O329" s="113">
        <v>0</v>
      </c>
      <c r="P329" s="114">
        <f>-35890+10481</f>
        <v>-25409</v>
      </c>
      <c r="Q329" s="44">
        <v>0</v>
      </c>
      <c r="R329" s="113">
        <v>0</v>
      </c>
      <c r="S329" s="113">
        <v>0</v>
      </c>
      <c r="T329" s="113">
        <v>0</v>
      </c>
      <c r="U329" s="113">
        <v>0</v>
      </c>
      <c r="V329" s="114">
        <v>0</v>
      </c>
      <c r="W329" s="44">
        <v>0</v>
      </c>
      <c r="X329" s="113">
        <v>0</v>
      </c>
      <c r="Y329" s="113">
        <v>0</v>
      </c>
      <c r="Z329" s="113">
        <v>0</v>
      </c>
      <c r="AA329" s="113">
        <v>0</v>
      </c>
      <c r="AB329" s="114">
        <v>0</v>
      </c>
      <c r="AC329" s="44">
        <v>0</v>
      </c>
      <c r="AD329" s="113">
        <v>0</v>
      </c>
      <c r="AE329" s="113">
        <v>0</v>
      </c>
      <c r="AF329" s="113">
        <v>0</v>
      </c>
      <c r="AG329" s="113">
        <v>0</v>
      </c>
      <c r="AH329" s="114">
        <v>0</v>
      </c>
      <c r="AI329" s="4"/>
    </row>
    <row r="330" spans="1:35" ht="13.5" customHeight="1">
      <c r="A330" s="4"/>
      <c r="B330" s="41">
        <f>B329+1</f>
        <v>52</v>
      </c>
      <c r="C330" s="42"/>
      <c r="D330" s="41" t="s">
        <v>36</v>
      </c>
      <c r="E330" s="39">
        <f>SUM(F330:AH330)</f>
        <v>0</v>
      </c>
      <c r="F330" s="2">
        <v>0</v>
      </c>
      <c r="G330" s="2">
        <v>0</v>
      </c>
      <c r="H330" s="2">
        <v>0</v>
      </c>
      <c r="I330" s="2">
        <v>0</v>
      </c>
      <c r="J330" s="115">
        <v>0</v>
      </c>
      <c r="K330" s="48">
        <v>0</v>
      </c>
      <c r="L330" s="2">
        <v>0</v>
      </c>
      <c r="M330" s="2">
        <v>0</v>
      </c>
      <c r="N330" s="2">
        <v>0</v>
      </c>
      <c r="O330" s="2">
        <v>0</v>
      </c>
      <c r="P330" s="115">
        <v>0</v>
      </c>
      <c r="Q330" s="48">
        <v>0</v>
      </c>
      <c r="R330" s="2">
        <v>0</v>
      </c>
      <c r="S330" s="2">
        <v>0</v>
      </c>
      <c r="T330" s="2">
        <v>0</v>
      </c>
      <c r="U330" s="2">
        <v>0</v>
      </c>
      <c r="V330" s="115">
        <v>0</v>
      </c>
      <c r="W330" s="48">
        <v>0</v>
      </c>
      <c r="X330" s="2">
        <v>0</v>
      </c>
      <c r="Y330" s="2">
        <v>0</v>
      </c>
      <c r="Z330" s="2">
        <v>0</v>
      </c>
      <c r="AA330" s="2">
        <v>0</v>
      </c>
      <c r="AB330" s="115">
        <v>0</v>
      </c>
      <c r="AC330" s="48">
        <v>0</v>
      </c>
      <c r="AD330" s="2">
        <v>0</v>
      </c>
      <c r="AE330" s="2">
        <v>0</v>
      </c>
      <c r="AF330" s="2">
        <v>0</v>
      </c>
      <c r="AG330" s="2">
        <v>0</v>
      </c>
      <c r="AH330" s="115">
        <v>0</v>
      </c>
      <c r="AI330" s="4"/>
    </row>
    <row r="331" spans="1:35" ht="13.5" customHeight="1">
      <c r="A331" s="4"/>
      <c r="B331" s="41">
        <f>B330+1</f>
        <v>53</v>
      </c>
      <c r="C331" s="42"/>
      <c r="D331" s="41" t="s">
        <v>36</v>
      </c>
      <c r="E331" s="39">
        <f>SUM(F331:AH331)</f>
        <v>0</v>
      </c>
      <c r="F331" s="1">
        <v>0</v>
      </c>
      <c r="G331" s="1">
        <v>0</v>
      </c>
      <c r="H331" s="1">
        <v>0</v>
      </c>
      <c r="I331" s="1">
        <v>0</v>
      </c>
      <c r="J331" s="67">
        <v>0</v>
      </c>
      <c r="K331" s="42">
        <v>0</v>
      </c>
      <c r="L331" s="1">
        <v>0</v>
      </c>
      <c r="M331" s="1">
        <v>0</v>
      </c>
      <c r="N331" s="1">
        <v>0</v>
      </c>
      <c r="O331" s="1">
        <v>0</v>
      </c>
      <c r="P331" s="67">
        <v>0</v>
      </c>
      <c r="Q331" s="42">
        <v>0</v>
      </c>
      <c r="R331" s="1">
        <v>0</v>
      </c>
      <c r="S331" s="1">
        <v>0</v>
      </c>
      <c r="T331" s="1">
        <v>0</v>
      </c>
      <c r="U331" s="1">
        <v>0</v>
      </c>
      <c r="V331" s="67">
        <v>0</v>
      </c>
      <c r="W331" s="42">
        <v>0</v>
      </c>
      <c r="X331" s="1">
        <v>0</v>
      </c>
      <c r="Y331" s="1">
        <v>0</v>
      </c>
      <c r="Z331" s="1">
        <v>0</v>
      </c>
      <c r="AA331" s="1">
        <v>0</v>
      </c>
      <c r="AB331" s="67">
        <v>0</v>
      </c>
      <c r="AC331" s="42">
        <v>0</v>
      </c>
      <c r="AD331" s="1">
        <v>0</v>
      </c>
      <c r="AE331" s="1">
        <v>0</v>
      </c>
      <c r="AF331" s="1">
        <v>0</v>
      </c>
      <c r="AG331" s="1">
        <v>0</v>
      </c>
      <c r="AH331" s="67">
        <v>0</v>
      </c>
      <c r="AI331" s="4"/>
    </row>
    <row r="332" spans="1:35" ht="13.5" customHeight="1">
      <c r="A332" s="4"/>
      <c r="B332" s="41">
        <f>B331+1</f>
        <v>54</v>
      </c>
      <c r="C332" s="42"/>
      <c r="D332" s="41" t="s">
        <v>36</v>
      </c>
      <c r="E332" s="39">
        <f>SUM(F332:AH332)</f>
        <v>0</v>
      </c>
      <c r="F332" s="1">
        <v>0</v>
      </c>
      <c r="G332" s="1">
        <v>0</v>
      </c>
      <c r="H332" s="1">
        <v>0</v>
      </c>
      <c r="I332" s="1">
        <v>0</v>
      </c>
      <c r="J332" s="67">
        <v>0</v>
      </c>
      <c r="K332" s="42">
        <v>0</v>
      </c>
      <c r="L332" s="1">
        <v>0</v>
      </c>
      <c r="M332" s="1">
        <v>0</v>
      </c>
      <c r="N332" s="1">
        <v>0</v>
      </c>
      <c r="O332" s="1">
        <v>0</v>
      </c>
      <c r="P332" s="67">
        <v>0</v>
      </c>
      <c r="Q332" s="42">
        <v>0</v>
      </c>
      <c r="R332" s="1">
        <v>0</v>
      </c>
      <c r="S332" s="1">
        <v>0</v>
      </c>
      <c r="T332" s="1">
        <v>0</v>
      </c>
      <c r="U332" s="1">
        <v>0</v>
      </c>
      <c r="V332" s="67">
        <v>0</v>
      </c>
      <c r="W332" s="42">
        <v>0</v>
      </c>
      <c r="X332" s="1">
        <v>0</v>
      </c>
      <c r="Y332" s="1">
        <v>0</v>
      </c>
      <c r="Z332" s="1">
        <v>0</v>
      </c>
      <c r="AA332" s="1">
        <v>0</v>
      </c>
      <c r="AB332" s="67">
        <v>0</v>
      </c>
      <c r="AC332" s="42">
        <v>0</v>
      </c>
      <c r="AD332" s="1">
        <v>0</v>
      </c>
      <c r="AE332" s="1">
        <v>0</v>
      </c>
      <c r="AF332" s="1">
        <v>0</v>
      </c>
      <c r="AG332" s="1">
        <v>0</v>
      </c>
      <c r="AH332" s="67">
        <v>0</v>
      </c>
      <c r="AI332" s="4"/>
    </row>
    <row r="333" spans="1:35" ht="13.5" customHeight="1">
      <c r="A333" s="4"/>
      <c r="B333" s="41">
        <f>B332+1</f>
        <v>55</v>
      </c>
      <c r="C333" s="42"/>
      <c r="D333" s="41" t="s">
        <v>36</v>
      </c>
      <c r="E333" s="39">
        <f>SUM(F333:AH333)</f>
        <v>0</v>
      </c>
      <c r="F333" s="1">
        <v>0</v>
      </c>
      <c r="G333" s="1">
        <v>0</v>
      </c>
      <c r="H333" s="1">
        <v>0</v>
      </c>
      <c r="I333" s="1">
        <v>0</v>
      </c>
      <c r="J333" s="67">
        <v>0</v>
      </c>
      <c r="K333" s="42">
        <v>0</v>
      </c>
      <c r="L333" s="1">
        <v>0</v>
      </c>
      <c r="M333" s="1">
        <v>0</v>
      </c>
      <c r="N333" s="1">
        <v>0</v>
      </c>
      <c r="O333" s="1">
        <v>0</v>
      </c>
      <c r="P333" s="67">
        <v>0</v>
      </c>
      <c r="Q333" s="42">
        <v>0</v>
      </c>
      <c r="R333" s="1">
        <v>0</v>
      </c>
      <c r="S333" s="1">
        <v>0</v>
      </c>
      <c r="T333" s="1">
        <v>0</v>
      </c>
      <c r="U333" s="1">
        <v>0</v>
      </c>
      <c r="V333" s="67">
        <v>0</v>
      </c>
      <c r="W333" s="42">
        <v>0</v>
      </c>
      <c r="X333" s="1">
        <v>0</v>
      </c>
      <c r="Y333" s="1">
        <v>0</v>
      </c>
      <c r="Z333" s="1">
        <v>0</v>
      </c>
      <c r="AA333" s="1">
        <v>0</v>
      </c>
      <c r="AB333" s="67">
        <v>0</v>
      </c>
      <c r="AC333" s="42">
        <v>0</v>
      </c>
      <c r="AD333" s="1">
        <v>0</v>
      </c>
      <c r="AE333" s="1">
        <v>0</v>
      </c>
      <c r="AF333" s="1">
        <v>0</v>
      </c>
      <c r="AG333" s="1">
        <v>0</v>
      </c>
      <c r="AH333" s="67">
        <v>0</v>
      </c>
      <c r="AI333" s="4"/>
    </row>
    <row r="334" spans="1:35" ht="13.5" customHeight="1">
      <c r="A334" s="4"/>
      <c r="B334" s="41">
        <f>B333+1</f>
        <v>56</v>
      </c>
      <c r="C334" s="14" t="s">
        <v>94</v>
      </c>
      <c r="D334" s="41" t="str">
        <f>"Ln +"&amp;FIXED(+B329,0)&amp;"...+"&amp;FIXED(+B333,0)</f>
        <v>Ln +51...+55</v>
      </c>
      <c r="E334" s="142">
        <f aca="true" t="shared" si="73" ref="E334:AH334">SUM(E329:E333)</f>
        <v>17097</v>
      </c>
      <c r="F334" s="97">
        <f t="shared" si="73"/>
        <v>0</v>
      </c>
      <c r="G334" s="97">
        <f t="shared" si="73"/>
        <v>0</v>
      </c>
      <c r="H334" s="97">
        <f t="shared" si="73"/>
        <v>0</v>
      </c>
      <c r="I334" s="97">
        <f t="shared" si="73"/>
        <v>0</v>
      </c>
      <c r="J334" s="98">
        <f t="shared" si="73"/>
        <v>0</v>
      </c>
      <c r="K334" s="96">
        <f t="shared" si="73"/>
        <v>0</v>
      </c>
      <c r="L334" s="97">
        <f t="shared" si="73"/>
        <v>0</v>
      </c>
      <c r="M334" s="97">
        <f t="shared" si="73"/>
        <v>0</v>
      </c>
      <c r="N334" s="97">
        <f t="shared" si="73"/>
        <v>42506</v>
      </c>
      <c r="O334" s="97">
        <f t="shared" si="73"/>
        <v>0</v>
      </c>
      <c r="P334" s="98">
        <f t="shared" si="73"/>
        <v>-25409</v>
      </c>
      <c r="Q334" s="96">
        <f t="shared" si="73"/>
        <v>0</v>
      </c>
      <c r="R334" s="97">
        <f t="shared" si="73"/>
        <v>0</v>
      </c>
      <c r="S334" s="97">
        <f t="shared" si="73"/>
        <v>0</v>
      </c>
      <c r="T334" s="97">
        <f t="shared" si="73"/>
        <v>0</v>
      </c>
      <c r="U334" s="97">
        <f t="shared" si="73"/>
        <v>0</v>
      </c>
      <c r="V334" s="98">
        <f t="shared" si="73"/>
        <v>0</v>
      </c>
      <c r="W334" s="96">
        <f t="shared" si="73"/>
        <v>0</v>
      </c>
      <c r="X334" s="97">
        <f t="shared" si="73"/>
        <v>0</v>
      </c>
      <c r="Y334" s="97">
        <f t="shared" si="73"/>
        <v>0</v>
      </c>
      <c r="Z334" s="97">
        <f t="shared" si="73"/>
        <v>0</v>
      </c>
      <c r="AA334" s="97">
        <f t="shared" si="73"/>
        <v>0</v>
      </c>
      <c r="AB334" s="98">
        <f t="shared" si="73"/>
        <v>0</v>
      </c>
      <c r="AC334" s="96">
        <f t="shared" si="73"/>
        <v>0</v>
      </c>
      <c r="AD334" s="97">
        <f t="shared" si="73"/>
        <v>0</v>
      </c>
      <c r="AE334" s="97">
        <f t="shared" si="73"/>
        <v>0</v>
      </c>
      <c r="AF334" s="97">
        <f t="shared" si="73"/>
        <v>0</v>
      </c>
      <c r="AG334" s="97">
        <f t="shared" si="73"/>
        <v>0</v>
      </c>
      <c r="AH334" s="98">
        <f t="shared" si="73"/>
        <v>0</v>
      </c>
      <c r="AI334" s="4"/>
    </row>
    <row r="335" spans="1:35" ht="13.5" customHeight="1">
      <c r="A335" s="4"/>
      <c r="B335" s="41"/>
      <c r="C335" s="14"/>
      <c r="D335" s="41"/>
      <c r="E335" s="142"/>
      <c r="F335" s="97"/>
      <c r="G335" s="97"/>
      <c r="H335" s="97"/>
      <c r="I335" s="97"/>
      <c r="J335" s="98"/>
      <c r="K335" s="96"/>
      <c r="L335" s="97"/>
      <c r="M335" s="97"/>
      <c r="N335" s="97"/>
      <c r="O335" s="97"/>
      <c r="P335" s="98"/>
      <c r="Q335" s="96"/>
      <c r="R335" s="97"/>
      <c r="S335" s="97"/>
      <c r="T335" s="97"/>
      <c r="U335" s="97"/>
      <c r="V335" s="98"/>
      <c r="W335" s="96"/>
      <c r="X335" s="97"/>
      <c r="Y335" s="97"/>
      <c r="Z335" s="97"/>
      <c r="AA335" s="97"/>
      <c r="AB335" s="98"/>
      <c r="AC335" s="96"/>
      <c r="AD335" s="97"/>
      <c r="AE335" s="97"/>
      <c r="AF335" s="97"/>
      <c r="AG335" s="97"/>
      <c r="AH335" s="98"/>
      <c r="AI335" s="4"/>
    </row>
    <row r="336" spans="1:35" ht="13.5" customHeight="1">
      <c r="A336" s="4"/>
      <c r="B336" s="41">
        <f>B334+1</f>
        <v>57</v>
      </c>
      <c r="C336" s="14" t="s">
        <v>95</v>
      </c>
      <c r="D336" s="41" t="s">
        <v>36</v>
      </c>
      <c r="E336" s="39">
        <f>SUM(F336:AH336)</f>
        <v>0</v>
      </c>
      <c r="F336" s="2">
        <v>0</v>
      </c>
      <c r="G336" s="2">
        <v>0</v>
      </c>
      <c r="H336" s="2">
        <v>0</v>
      </c>
      <c r="I336" s="2">
        <v>0</v>
      </c>
      <c r="J336" s="115">
        <v>0</v>
      </c>
      <c r="K336" s="48">
        <v>0</v>
      </c>
      <c r="L336" s="2">
        <v>0</v>
      </c>
      <c r="M336" s="2">
        <v>0</v>
      </c>
      <c r="N336" s="2">
        <v>0</v>
      </c>
      <c r="O336" s="2">
        <v>0</v>
      </c>
      <c r="P336" s="115">
        <v>0</v>
      </c>
      <c r="Q336" s="48">
        <v>0</v>
      </c>
      <c r="R336" s="2">
        <v>0</v>
      </c>
      <c r="S336" s="2">
        <v>0</v>
      </c>
      <c r="T336" s="2">
        <v>0</v>
      </c>
      <c r="U336" s="2">
        <v>0</v>
      </c>
      <c r="V336" s="115">
        <v>0</v>
      </c>
      <c r="W336" s="48">
        <v>0</v>
      </c>
      <c r="X336" s="2">
        <v>0</v>
      </c>
      <c r="Y336" s="2">
        <v>0</v>
      </c>
      <c r="Z336" s="2">
        <v>0</v>
      </c>
      <c r="AA336" s="2">
        <v>0</v>
      </c>
      <c r="AB336" s="115">
        <v>0</v>
      </c>
      <c r="AC336" s="48">
        <v>0</v>
      </c>
      <c r="AD336" s="2">
        <v>0</v>
      </c>
      <c r="AE336" s="2">
        <f>AE261/2</f>
        <v>0</v>
      </c>
      <c r="AF336" s="2">
        <v>0</v>
      </c>
      <c r="AG336" s="2">
        <v>0</v>
      </c>
      <c r="AH336" s="115">
        <v>0</v>
      </c>
      <c r="AI336" s="4"/>
    </row>
    <row r="337" spans="1:35" ht="13.5" customHeight="1">
      <c r="A337" s="4"/>
      <c r="B337" s="41">
        <f>B336+1</f>
        <v>58</v>
      </c>
      <c r="C337" s="14" t="s">
        <v>96</v>
      </c>
      <c r="D337" s="41" t="s">
        <v>36</v>
      </c>
      <c r="E337" s="39">
        <f>SUM(F337:AH337)</f>
        <v>0</v>
      </c>
      <c r="F337" s="2">
        <v>0</v>
      </c>
      <c r="G337" s="2">
        <v>0</v>
      </c>
      <c r="H337" s="2">
        <v>0</v>
      </c>
      <c r="I337" s="2">
        <v>0</v>
      </c>
      <c r="J337" s="115">
        <v>0</v>
      </c>
      <c r="K337" s="48">
        <v>0</v>
      </c>
      <c r="L337" s="2">
        <v>0</v>
      </c>
      <c r="M337" s="2">
        <v>0</v>
      </c>
      <c r="N337" s="2">
        <v>0</v>
      </c>
      <c r="O337" s="2">
        <v>0</v>
      </c>
      <c r="P337" s="115">
        <v>0</v>
      </c>
      <c r="Q337" s="48">
        <v>0</v>
      </c>
      <c r="R337" s="2">
        <v>0</v>
      </c>
      <c r="S337" s="2">
        <v>0</v>
      </c>
      <c r="T337" s="2">
        <v>0</v>
      </c>
      <c r="U337" s="2">
        <v>0</v>
      </c>
      <c r="V337" s="115">
        <v>0</v>
      </c>
      <c r="W337" s="48">
        <v>0</v>
      </c>
      <c r="X337" s="2">
        <v>0</v>
      </c>
      <c r="Y337" s="2">
        <v>0</v>
      </c>
      <c r="Z337" s="2">
        <v>0</v>
      </c>
      <c r="AA337" s="2">
        <v>0</v>
      </c>
      <c r="AB337" s="115">
        <v>0</v>
      </c>
      <c r="AC337" s="48">
        <v>0</v>
      </c>
      <c r="AD337" s="2">
        <v>0</v>
      </c>
      <c r="AE337" s="2">
        <v>0</v>
      </c>
      <c r="AF337" s="2">
        <v>0</v>
      </c>
      <c r="AG337" s="2">
        <v>0</v>
      </c>
      <c r="AH337" s="115">
        <v>0</v>
      </c>
      <c r="AI337" s="4"/>
    </row>
    <row r="338" spans="1:35" ht="13.5" customHeight="1">
      <c r="A338" s="4"/>
      <c r="B338" s="41">
        <f>B337+1</f>
        <v>59</v>
      </c>
      <c r="C338" s="14" t="s">
        <v>97</v>
      </c>
      <c r="D338" s="41" t="str">
        <f>"Ln "&amp;FIXED(+B336,0)&amp;"+"&amp;FIXED(+B337,0)</f>
        <v>Ln 57+58</v>
      </c>
      <c r="E338" s="116">
        <f aca="true" t="shared" si="74" ref="E338:AH338">E336+E337</f>
        <v>0</v>
      </c>
      <c r="F338" s="99">
        <f t="shared" si="74"/>
        <v>0</v>
      </c>
      <c r="G338" s="99">
        <f t="shared" si="74"/>
        <v>0</v>
      </c>
      <c r="H338" s="99">
        <f t="shared" si="74"/>
        <v>0</v>
      </c>
      <c r="I338" s="99">
        <f t="shared" si="74"/>
        <v>0</v>
      </c>
      <c r="J338" s="100">
        <f t="shared" si="74"/>
        <v>0</v>
      </c>
      <c r="K338" s="52">
        <f t="shared" si="74"/>
        <v>0</v>
      </c>
      <c r="L338" s="99">
        <f t="shared" si="74"/>
        <v>0</v>
      </c>
      <c r="M338" s="99">
        <f t="shared" si="74"/>
        <v>0</v>
      </c>
      <c r="N338" s="99">
        <f t="shared" si="74"/>
        <v>0</v>
      </c>
      <c r="O338" s="99">
        <f t="shared" si="74"/>
        <v>0</v>
      </c>
      <c r="P338" s="100">
        <f t="shared" si="74"/>
        <v>0</v>
      </c>
      <c r="Q338" s="52">
        <f t="shared" si="74"/>
        <v>0</v>
      </c>
      <c r="R338" s="99">
        <f t="shared" si="74"/>
        <v>0</v>
      </c>
      <c r="S338" s="99">
        <f t="shared" si="74"/>
        <v>0</v>
      </c>
      <c r="T338" s="99">
        <f t="shared" si="74"/>
        <v>0</v>
      </c>
      <c r="U338" s="99">
        <f t="shared" si="74"/>
        <v>0</v>
      </c>
      <c r="V338" s="100">
        <f t="shared" si="74"/>
        <v>0</v>
      </c>
      <c r="W338" s="52">
        <f t="shared" si="74"/>
        <v>0</v>
      </c>
      <c r="X338" s="99">
        <f t="shared" si="74"/>
        <v>0</v>
      </c>
      <c r="Y338" s="99">
        <f t="shared" si="74"/>
        <v>0</v>
      </c>
      <c r="Z338" s="99">
        <f t="shared" si="74"/>
        <v>0</v>
      </c>
      <c r="AA338" s="99">
        <f t="shared" si="74"/>
        <v>0</v>
      </c>
      <c r="AB338" s="100">
        <f t="shared" si="74"/>
        <v>0</v>
      </c>
      <c r="AC338" s="52">
        <f t="shared" si="74"/>
        <v>0</v>
      </c>
      <c r="AD338" s="99">
        <f t="shared" si="74"/>
        <v>0</v>
      </c>
      <c r="AE338" s="99">
        <f t="shared" si="74"/>
        <v>0</v>
      </c>
      <c r="AF338" s="99">
        <f t="shared" si="74"/>
        <v>0</v>
      </c>
      <c r="AG338" s="99">
        <f t="shared" si="74"/>
        <v>0</v>
      </c>
      <c r="AH338" s="100">
        <f t="shared" si="74"/>
        <v>0</v>
      </c>
      <c r="AI338" s="4"/>
    </row>
    <row r="339" spans="1:35" ht="13.5" customHeight="1">
      <c r="A339" s="4"/>
      <c r="B339" s="41">
        <f>B338+1</f>
        <v>60</v>
      </c>
      <c r="C339" s="14" t="s">
        <v>98</v>
      </c>
      <c r="D339" s="41" t="s">
        <v>36</v>
      </c>
      <c r="E339" s="39">
        <f>SUM(F339:AH339)</f>
        <v>0</v>
      </c>
      <c r="F339" s="2">
        <v>0</v>
      </c>
      <c r="G339" s="2">
        <v>0</v>
      </c>
      <c r="H339" s="2">
        <v>0</v>
      </c>
      <c r="I339" s="2">
        <v>0</v>
      </c>
      <c r="J339" s="115">
        <v>0</v>
      </c>
      <c r="K339" s="48">
        <v>0</v>
      </c>
      <c r="L339" s="2">
        <v>0</v>
      </c>
      <c r="M339" s="2">
        <v>0</v>
      </c>
      <c r="N339" s="2">
        <v>0</v>
      </c>
      <c r="O339" s="2">
        <v>0</v>
      </c>
      <c r="P339" s="115">
        <v>0</v>
      </c>
      <c r="Q339" s="48">
        <v>0</v>
      </c>
      <c r="R339" s="2">
        <v>0</v>
      </c>
      <c r="S339" s="2">
        <v>0</v>
      </c>
      <c r="T339" s="2">
        <v>0</v>
      </c>
      <c r="U339" s="2">
        <v>0</v>
      </c>
      <c r="V339" s="115">
        <v>0</v>
      </c>
      <c r="W339" s="48">
        <v>0</v>
      </c>
      <c r="X339" s="2">
        <v>0</v>
      </c>
      <c r="Y339" s="2">
        <v>0</v>
      </c>
      <c r="Z339" s="2">
        <v>0</v>
      </c>
      <c r="AA339" s="2">
        <v>0</v>
      </c>
      <c r="AB339" s="115">
        <v>0</v>
      </c>
      <c r="AC339" s="48">
        <v>0</v>
      </c>
      <c r="AD339" s="2">
        <v>0</v>
      </c>
      <c r="AE339" s="2">
        <v>0</v>
      </c>
      <c r="AF339" s="2">
        <v>0</v>
      </c>
      <c r="AG339" s="2">
        <v>0</v>
      </c>
      <c r="AH339" s="115">
        <v>0</v>
      </c>
      <c r="AI339" s="4"/>
    </row>
    <row r="340" spans="1:35" ht="13.5" customHeight="1">
      <c r="A340" s="4"/>
      <c r="B340" s="41">
        <f>B339+1</f>
        <v>61</v>
      </c>
      <c r="C340" s="14" t="s">
        <v>99</v>
      </c>
      <c r="D340" s="41" t="s">
        <v>36</v>
      </c>
      <c r="E340" s="39">
        <f>SUM(F340:AH340)</f>
        <v>0</v>
      </c>
      <c r="F340" s="2">
        <v>0</v>
      </c>
      <c r="G340" s="2">
        <v>0</v>
      </c>
      <c r="H340" s="2">
        <v>0</v>
      </c>
      <c r="I340" s="2">
        <v>0</v>
      </c>
      <c r="J340" s="115">
        <v>0</v>
      </c>
      <c r="K340" s="48">
        <v>0</v>
      </c>
      <c r="L340" s="2">
        <v>0</v>
      </c>
      <c r="M340" s="2">
        <v>0</v>
      </c>
      <c r="N340" s="2"/>
      <c r="O340" s="2">
        <v>0</v>
      </c>
      <c r="P340" s="115">
        <v>0</v>
      </c>
      <c r="Q340" s="48">
        <v>0</v>
      </c>
      <c r="R340" s="2">
        <v>0</v>
      </c>
      <c r="S340" s="2">
        <v>0</v>
      </c>
      <c r="T340" s="2">
        <v>0</v>
      </c>
      <c r="U340" s="2">
        <v>0</v>
      </c>
      <c r="V340" s="115">
        <v>0</v>
      </c>
      <c r="W340" s="48">
        <v>0</v>
      </c>
      <c r="X340" s="2">
        <v>0</v>
      </c>
      <c r="Y340" s="2">
        <v>0</v>
      </c>
      <c r="Z340" s="2">
        <v>0</v>
      </c>
      <c r="AA340" s="2">
        <v>0</v>
      </c>
      <c r="AB340" s="115">
        <v>0</v>
      </c>
      <c r="AC340" s="48">
        <v>0</v>
      </c>
      <c r="AD340" s="2">
        <v>0</v>
      </c>
      <c r="AE340" s="2">
        <v>0</v>
      </c>
      <c r="AF340" s="2">
        <v>0</v>
      </c>
      <c r="AG340" s="2">
        <v>0</v>
      </c>
      <c r="AH340" s="115">
        <v>0</v>
      </c>
      <c r="AI340" s="4"/>
    </row>
    <row r="341" spans="1:35" ht="13.5" customHeight="1">
      <c r="A341" s="4"/>
      <c r="B341" s="35"/>
      <c r="C341" s="40"/>
      <c r="D341" s="41"/>
      <c r="E341" s="39"/>
      <c r="F341" s="4"/>
      <c r="G341" s="4"/>
      <c r="H341" s="4"/>
      <c r="I341" s="4"/>
      <c r="J341" s="18"/>
      <c r="K341" s="40"/>
      <c r="L341" s="4"/>
      <c r="M341" s="4"/>
      <c r="N341" s="4"/>
      <c r="O341" s="4"/>
      <c r="P341" s="18"/>
      <c r="Q341" s="40"/>
      <c r="R341" s="4"/>
      <c r="S341" s="4"/>
      <c r="T341" s="4"/>
      <c r="U341" s="4"/>
      <c r="V341" s="18"/>
      <c r="W341" s="40"/>
      <c r="X341" s="4"/>
      <c r="Y341" s="4"/>
      <c r="Z341" s="4"/>
      <c r="AA341" s="4"/>
      <c r="AB341" s="18"/>
      <c r="AC341" s="40"/>
      <c r="AD341" s="4"/>
      <c r="AE341" s="4"/>
      <c r="AF341" s="4"/>
      <c r="AG341" s="4"/>
      <c r="AH341" s="18"/>
      <c r="AI341" s="4"/>
    </row>
    <row r="342" spans="1:35" ht="13.5" customHeight="1">
      <c r="A342" s="4"/>
      <c r="B342" s="41">
        <f>B340+1</f>
        <v>62</v>
      </c>
      <c r="C342" s="14" t="s">
        <v>100</v>
      </c>
      <c r="D342" s="41" t="s">
        <v>36</v>
      </c>
      <c r="E342" s="39">
        <f>SUM(F342:AH342)</f>
        <v>0</v>
      </c>
      <c r="F342" s="2">
        <v>0</v>
      </c>
      <c r="G342" s="2">
        <v>0</v>
      </c>
      <c r="H342" s="2">
        <v>0</v>
      </c>
      <c r="I342" s="2">
        <v>0</v>
      </c>
      <c r="J342" s="115">
        <v>0</v>
      </c>
      <c r="K342" s="48">
        <v>0</v>
      </c>
      <c r="L342" s="2">
        <v>0</v>
      </c>
      <c r="M342" s="2">
        <v>0</v>
      </c>
      <c r="N342" s="2">
        <v>0</v>
      </c>
      <c r="O342" s="2">
        <v>0</v>
      </c>
      <c r="P342" s="115">
        <v>0</v>
      </c>
      <c r="Q342" s="48">
        <v>0</v>
      </c>
      <c r="R342" s="2">
        <v>0</v>
      </c>
      <c r="S342" s="2">
        <v>0</v>
      </c>
      <c r="T342" s="2">
        <v>0</v>
      </c>
      <c r="U342" s="2">
        <v>0</v>
      </c>
      <c r="V342" s="115">
        <v>0</v>
      </c>
      <c r="W342" s="48">
        <v>0</v>
      </c>
      <c r="X342" s="2">
        <v>0</v>
      </c>
      <c r="Y342" s="2">
        <v>0</v>
      </c>
      <c r="Z342" s="2">
        <v>0</v>
      </c>
      <c r="AA342" s="2">
        <v>0</v>
      </c>
      <c r="AB342" s="115">
        <v>0</v>
      </c>
      <c r="AC342" s="48">
        <v>0</v>
      </c>
      <c r="AD342" s="2">
        <v>0</v>
      </c>
      <c r="AE342" s="2">
        <v>0</v>
      </c>
      <c r="AF342" s="49">
        <v>0</v>
      </c>
      <c r="AG342" s="2">
        <v>0</v>
      </c>
      <c r="AH342" s="115">
        <v>0</v>
      </c>
      <c r="AI342" s="4"/>
    </row>
    <row r="343" spans="1:35" ht="13.5" customHeight="1">
      <c r="A343" s="4"/>
      <c r="B343" s="41">
        <f>B342+1</f>
        <v>63</v>
      </c>
      <c r="C343" s="42"/>
      <c r="D343" s="41"/>
      <c r="E343" s="39">
        <f>SUM(F343:AH343)</f>
        <v>0</v>
      </c>
      <c r="F343" s="2">
        <v>0</v>
      </c>
      <c r="G343" s="2">
        <v>0</v>
      </c>
      <c r="H343" s="2">
        <v>0</v>
      </c>
      <c r="I343" s="2">
        <v>0</v>
      </c>
      <c r="J343" s="115">
        <v>0</v>
      </c>
      <c r="K343" s="48">
        <v>0</v>
      </c>
      <c r="L343" s="2">
        <v>0</v>
      </c>
      <c r="M343" s="2">
        <v>0</v>
      </c>
      <c r="N343" s="2">
        <v>0</v>
      </c>
      <c r="O343" s="2">
        <v>0</v>
      </c>
      <c r="P343" s="115">
        <v>0</v>
      </c>
      <c r="Q343" s="48">
        <v>0</v>
      </c>
      <c r="R343" s="2">
        <v>0</v>
      </c>
      <c r="S343" s="2">
        <v>0</v>
      </c>
      <c r="T343" s="2">
        <v>0</v>
      </c>
      <c r="U343" s="2">
        <v>0</v>
      </c>
      <c r="V343" s="115">
        <v>0</v>
      </c>
      <c r="W343" s="48">
        <v>0</v>
      </c>
      <c r="X343" s="2">
        <v>0</v>
      </c>
      <c r="Y343" s="2">
        <v>0</v>
      </c>
      <c r="Z343" s="2">
        <v>0</v>
      </c>
      <c r="AA343" s="2">
        <v>0</v>
      </c>
      <c r="AB343" s="115">
        <v>0</v>
      </c>
      <c r="AC343" s="48">
        <v>0</v>
      </c>
      <c r="AD343" s="2">
        <v>0</v>
      </c>
      <c r="AE343" s="2">
        <v>0</v>
      </c>
      <c r="AF343" s="2">
        <v>0</v>
      </c>
      <c r="AG343" s="2">
        <v>0</v>
      </c>
      <c r="AH343" s="115">
        <v>0</v>
      </c>
      <c r="AI343" s="4"/>
    </row>
    <row r="344" spans="1:35" ht="13.5" customHeight="1">
      <c r="A344" s="4"/>
      <c r="B344" s="41">
        <f>B343+1</f>
        <v>64</v>
      </c>
      <c r="C344" s="42"/>
      <c r="D344" s="41"/>
      <c r="E344" s="39">
        <f>SUM(F344:AH344)</f>
        <v>0</v>
      </c>
      <c r="F344" s="2">
        <v>0</v>
      </c>
      <c r="G344" s="2">
        <v>0</v>
      </c>
      <c r="H344" s="2">
        <v>0</v>
      </c>
      <c r="I344" s="2">
        <v>0</v>
      </c>
      <c r="J344" s="115">
        <v>0</v>
      </c>
      <c r="K344" s="48">
        <v>0</v>
      </c>
      <c r="L344" s="2">
        <v>0</v>
      </c>
      <c r="M344" s="2">
        <v>0</v>
      </c>
      <c r="N344" s="2">
        <v>0</v>
      </c>
      <c r="O344" s="2">
        <v>0</v>
      </c>
      <c r="P344" s="115">
        <v>0</v>
      </c>
      <c r="Q344" s="48">
        <v>0</v>
      </c>
      <c r="R344" s="2">
        <v>0</v>
      </c>
      <c r="S344" s="2">
        <v>0</v>
      </c>
      <c r="T344" s="2">
        <v>0</v>
      </c>
      <c r="U344" s="2">
        <v>0</v>
      </c>
      <c r="V344" s="115">
        <v>0</v>
      </c>
      <c r="W344" s="48">
        <v>0</v>
      </c>
      <c r="X344" s="2">
        <v>0</v>
      </c>
      <c r="Y344" s="2">
        <v>0</v>
      </c>
      <c r="Z344" s="2">
        <v>0</v>
      </c>
      <c r="AA344" s="2">
        <v>0</v>
      </c>
      <c r="AB344" s="115">
        <v>0</v>
      </c>
      <c r="AC344" s="48">
        <v>0</v>
      </c>
      <c r="AD344" s="2">
        <v>0</v>
      </c>
      <c r="AE344" s="2">
        <v>0</v>
      </c>
      <c r="AF344" s="2">
        <v>0</v>
      </c>
      <c r="AG344" s="2">
        <v>0</v>
      </c>
      <c r="AH344" s="115">
        <v>0</v>
      </c>
      <c r="AI344" s="4"/>
    </row>
    <row r="345" spans="1:35" ht="13.5" customHeight="1">
      <c r="A345" s="4"/>
      <c r="B345" s="41">
        <f>B344+1</f>
        <v>65</v>
      </c>
      <c r="C345" s="42"/>
      <c r="D345" s="41"/>
      <c r="E345" s="39">
        <f>SUM(F345:AH345)</f>
        <v>0</v>
      </c>
      <c r="F345" s="2">
        <v>0</v>
      </c>
      <c r="G345" s="2">
        <v>0</v>
      </c>
      <c r="H345" s="2">
        <v>0</v>
      </c>
      <c r="I345" s="2">
        <v>0</v>
      </c>
      <c r="J345" s="115">
        <v>0</v>
      </c>
      <c r="K345" s="48">
        <v>0</v>
      </c>
      <c r="L345" s="2">
        <v>0</v>
      </c>
      <c r="M345" s="2">
        <v>0</v>
      </c>
      <c r="N345" s="2">
        <v>0</v>
      </c>
      <c r="O345" s="2">
        <v>0</v>
      </c>
      <c r="P345" s="115">
        <v>0</v>
      </c>
      <c r="Q345" s="48">
        <v>0</v>
      </c>
      <c r="R345" s="2">
        <v>0</v>
      </c>
      <c r="S345" s="2">
        <v>0</v>
      </c>
      <c r="T345" s="2">
        <v>0</v>
      </c>
      <c r="U345" s="2">
        <v>0</v>
      </c>
      <c r="V345" s="115">
        <v>0</v>
      </c>
      <c r="W345" s="48">
        <v>0</v>
      </c>
      <c r="X345" s="2">
        <v>0</v>
      </c>
      <c r="Y345" s="2">
        <v>0</v>
      </c>
      <c r="Z345" s="2">
        <v>0</v>
      </c>
      <c r="AA345" s="2">
        <v>0</v>
      </c>
      <c r="AB345" s="115">
        <v>0</v>
      </c>
      <c r="AC345" s="48">
        <v>0</v>
      </c>
      <c r="AD345" s="2">
        <v>0</v>
      </c>
      <c r="AE345" s="2">
        <v>0</v>
      </c>
      <c r="AF345" s="2">
        <v>0</v>
      </c>
      <c r="AG345" s="2">
        <v>0</v>
      </c>
      <c r="AH345" s="115">
        <v>0</v>
      </c>
      <c r="AI345" s="4"/>
    </row>
    <row r="346" spans="1:35" ht="13.5" customHeight="1">
      <c r="A346" s="4"/>
      <c r="B346" s="41">
        <f>B345+1</f>
        <v>66</v>
      </c>
      <c r="C346" s="40"/>
      <c r="D346" s="40"/>
      <c r="E346" s="143"/>
      <c r="F346" s="144"/>
      <c r="G346" s="144"/>
      <c r="H346" s="144"/>
      <c r="I346" s="144"/>
      <c r="J346" s="145"/>
      <c r="K346" s="101"/>
      <c r="L346" s="144"/>
      <c r="M346" s="144"/>
      <c r="N346" s="144"/>
      <c r="O346" s="144"/>
      <c r="P346" s="145"/>
      <c r="Q346" s="101"/>
      <c r="R346" s="144"/>
      <c r="S346" s="144"/>
      <c r="T346" s="144"/>
      <c r="U346" s="144"/>
      <c r="V346" s="145"/>
      <c r="W346" s="101"/>
      <c r="X346" s="144"/>
      <c r="Y346" s="144"/>
      <c r="Z346" s="144"/>
      <c r="AA346" s="144"/>
      <c r="AB346" s="145"/>
      <c r="AC346" s="101"/>
      <c r="AD346" s="144"/>
      <c r="AE346" s="144"/>
      <c r="AF346" s="144"/>
      <c r="AG346" s="144"/>
      <c r="AH346" s="145"/>
      <c r="AI346" s="4"/>
    </row>
    <row r="347" spans="1:35" ht="13.5" customHeight="1">
      <c r="A347" s="4"/>
      <c r="B347" s="41">
        <f>B346+1</f>
        <v>67</v>
      </c>
      <c r="C347" s="14" t="s">
        <v>101</v>
      </c>
      <c r="D347" s="41" t="str">
        <f>"Ln "&amp;FIXED(+B334,0)&amp;"-"&amp;FIXED(+B338,0)&amp;"+"&amp;FIXED(+B339,0)&amp;"+"&amp;FIXED(+B340,0)&amp;"+"&amp;FIXED(+B342,0)</f>
        <v>Ln 56-59+60+61+62</v>
      </c>
      <c r="E347" s="68">
        <f aca="true" t="shared" si="75" ref="E347:AH347">E334-E338+E339+E340+SUM(E342:E346)</f>
        <v>17097</v>
      </c>
      <c r="F347" s="68">
        <f t="shared" si="75"/>
        <v>0</v>
      </c>
      <c r="G347" s="69">
        <f t="shared" si="75"/>
        <v>0</v>
      </c>
      <c r="H347" s="69">
        <f t="shared" si="75"/>
        <v>0</v>
      </c>
      <c r="I347" s="69">
        <f t="shared" si="75"/>
        <v>0</v>
      </c>
      <c r="J347" s="70">
        <f t="shared" si="75"/>
        <v>0</v>
      </c>
      <c r="K347" s="68">
        <f t="shared" si="75"/>
        <v>0</v>
      </c>
      <c r="L347" s="69">
        <f t="shared" si="75"/>
        <v>0</v>
      </c>
      <c r="M347" s="69">
        <f t="shared" si="75"/>
        <v>0</v>
      </c>
      <c r="N347" s="69">
        <f t="shared" si="75"/>
        <v>42506</v>
      </c>
      <c r="O347" s="69">
        <f t="shared" si="75"/>
        <v>0</v>
      </c>
      <c r="P347" s="70">
        <f t="shared" si="75"/>
        <v>-25409</v>
      </c>
      <c r="Q347" s="68">
        <f t="shared" si="75"/>
        <v>0</v>
      </c>
      <c r="R347" s="69">
        <f t="shared" si="75"/>
        <v>0</v>
      </c>
      <c r="S347" s="69">
        <f t="shared" si="75"/>
        <v>0</v>
      </c>
      <c r="T347" s="69">
        <f t="shared" si="75"/>
        <v>0</v>
      </c>
      <c r="U347" s="69">
        <f t="shared" si="75"/>
        <v>0</v>
      </c>
      <c r="V347" s="70">
        <f t="shared" si="75"/>
        <v>0</v>
      </c>
      <c r="W347" s="68">
        <f t="shared" si="75"/>
        <v>0</v>
      </c>
      <c r="X347" s="69">
        <f t="shared" si="75"/>
        <v>0</v>
      </c>
      <c r="Y347" s="69">
        <f t="shared" si="75"/>
        <v>0</v>
      </c>
      <c r="Z347" s="69">
        <f t="shared" si="75"/>
        <v>0</v>
      </c>
      <c r="AA347" s="69">
        <f t="shared" si="75"/>
        <v>0</v>
      </c>
      <c r="AB347" s="70">
        <f t="shared" si="75"/>
        <v>0</v>
      </c>
      <c r="AC347" s="68">
        <f t="shared" si="75"/>
        <v>0</v>
      </c>
      <c r="AD347" s="69">
        <f t="shared" si="75"/>
        <v>0</v>
      </c>
      <c r="AE347" s="69">
        <f t="shared" si="75"/>
        <v>0</v>
      </c>
      <c r="AF347" s="69">
        <f t="shared" si="75"/>
        <v>0</v>
      </c>
      <c r="AG347" s="69">
        <f t="shared" si="75"/>
        <v>0</v>
      </c>
      <c r="AH347" s="70">
        <f t="shared" si="75"/>
        <v>0</v>
      </c>
      <c r="AI347" s="4"/>
    </row>
    <row r="348" spans="1:35" ht="13.5" customHeight="1">
      <c r="A348" s="4"/>
      <c r="B348" s="82"/>
      <c r="C348" s="102"/>
      <c r="D348" s="102"/>
      <c r="E348" s="146"/>
      <c r="F348" s="88"/>
      <c r="G348" s="88"/>
      <c r="H348" s="88"/>
      <c r="I348" s="88"/>
      <c r="J348" s="103"/>
      <c r="K348" s="102"/>
      <c r="L348" s="88"/>
      <c r="M348" s="88"/>
      <c r="N348" s="88"/>
      <c r="O348" s="88"/>
      <c r="P348" s="103"/>
      <c r="Q348" s="102"/>
      <c r="R348" s="88"/>
      <c r="S348" s="88"/>
      <c r="T348" s="88"/>
      <c r="U348" s="88"/>
      <c r="V348" s="103"/>
      <c r="W348" s="102"/>
      <c r="X348" s="88"/>
      <c r="Y348" s="88"/>
      <c r="Z348" s="88"/>
      <c r="AA348" s="88"/>
      <c r="AB348" s="103"/>
      <c r="AC348" s="102"/>
      <c r="AD348" s="88"/>
      <c r="AE348" s="88"/>
      <c r="AF348" s="88"/>
      <c r="AG348" s="88"/>
      <c r="AH348" s="103"/>
      <c r="AI348" s="4"/>
    </row>
    <row r="349" spans="1:35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spans="1:35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spans="1:35" ht="13.5" customHeight="1">
      <c r="A351" s="4"/>
      <c r="B351" s="1" t="s">
        <v>245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spans="1:35" ht="13.5" customHeight="1">
      <c r="A352" s="4"/>
      <c r="B352" s="151" t="s">
        <v>246</v>
      </c>
      <c r="C352" s="9"/>
      <c r="D352" s="9"/>
      <c r="E352" s="9"/>
      <c r="F352" s="9"/>
      <c r="G352" s="152" t="s">
        <v>663</v>
      </c>
      <c r="H352" s="13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spans="1:35" ht="13.5" customHeight="1">
      <c r="A353" s="1" t="s">
        <v>248</v>
      </c>
      <c r="B353" s="153" t="s">
        <v>249</v>
      </c>
      <c r="C353" s="1"/>
      <c r="D353" s="1"/>
      <c r="E353" s="15"/>
      <c r="F353" s="1"/>
      <c r="G353" s="3" t="s">
        <v>250</v>
      </c>
      <c r="H353" s="18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spans="1:35" ht="13.5" customHeight="1">
      <c r="A354" s="4"/>
      <c r="B354" s="153" t="s">
        <v>251</v>
      </c>
      <c r="C354" s="4"/>
      <c r="D354" s="4"/>
      <c r="E354" s="4"/>
      <c r="F354" s="4"/>
      <c r="G354" s="17" t="s">
        <v>252</v>
      </c>
      <c r="H354" s="18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spans="1:35" ht="13.5" customHeight="1">
      <c r="A355" s="4"/>
      <c r="B355" s="153" t="s">
        <v>245</v>
      </c>
      <c r="C355" s="4"/>
      <c r="D355" s="4"/>
      <c r="E355" s="4"/>
      <c r="F355" s="4"/>
      <c r="G355" s="17"/>
      <c r="H355" s="18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spans="1:35" ht="13.5" customHeight="1">
      <c r="A356" s="4"/>
      <c r="B356" s="14" t="str">
        <f>IF(E372&lt;&gt;0,+"(WITH FEDERAL INCOME TAXES IMPUTED)",+" (WITHOUT FEDERAL INCOME TAXES IMPUTED)")</f>
        <v>(WITH FEDERAL INCOME TAXES IMPUTED)</v>
      </c>
      <c r="C356" s="3"/>
      <c r="D356" s="3"/>
      <c r="E356" s="154" t="s">
        <v>253</v>
      </c>
      <c r="F356" s="3"/>
      <c r="G356" s="155"/>
      <c r="H356" s="18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spans="1:35" ht="13.5" customHeight="1">
      <c r="A357" s="4"/>
      <c r="B357" s="14" t="s">
        <v>254</v>
      </c>
      <c r="C357" s="22" t="s">
        <v>19</v>
      </c>
      <c r="D357" s="3"/>
      <c r="E357" s="154" t="s">
        <v>255</v>
      </c>
      <c r="F357" s="17" t="s">
        <v>256</v>
      </c>
      <c r="G357" s="37"/>
      <c r="H357" s="21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spans="1:35" ht="13.5" customHeight="1">
      <c r="A358" s="4"/>
      <c r="B358" s="156"/>
      <c r="C358" s="157" t="s">
        <v>25</v>
      </c>
      <c r="D358" s="158"/>
      <c r="E358" s="159" t="s">
        <v>26</v>
      </c>
      <c r="F358" s="160" t="s">
        <v>27</v>
      </c>
      <c r="G358" s="161"/>
      <c r="H358" s="162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spans="1:35" ht="13.5" customHeight="1">
      <c r="A359" s="4"/>
      <c r="B359" s="42"/>
      <c r="C359" s="163"/>
      <c r="D359" s="1"/>
      <c r="E359" s="164"/>
      <c r="F359" s="165"/>
      <c r="G359" s="163"/>
      <c r="H359" s="166"/>
      <c r="I359" s="4"/>
      <c r="J359" s="4"/>
      <c r="K359" s="4"/>
      <c r="L359" s="1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spans="1:35" ht="13.5" customHeight="1">
      <c r="A360" s="4"/>
      <c r="B360" s="42">
        <v>1</v>
      </c>
      <c r="C360" s="163" t="s">
        <v>257</v>
      </c>
      <c r="D360" s="1"/>
      <c r="E360" s="164">
        <v>2000</v>
      </c>
      <c r="F360" s="165" t="s">
        <v>258</v>
      </c>
      <c r="G360" s="163"/>
      <c r="H360" s="166"/>
      <c r="I360" s="16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spans="1:35" ht="13.5" customHeight="1">
      <c r="A361" s="4"/>
      <c r="B361" s="42"/>
      <c r="C361" s="163"/>
      <c r="D361" s="1"/>
      <c r="E361" s="164"/>
      <c r="F361" s="165"/>
      <c r="G361" s="163"/>
      <c r="H361" s="166"/>
      <c r="I361" s="16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spans="1:35" ht="13.5" customHeight="1">
      <c r="A362" s="4"/>
      <c r="B362" s="42">
        <f>B360+1</f>
        <v>2</v>
      </c>
      <c r="C362" s="163" t="s">
        <v>259</v>
      </c>
      <c r="D362" s="1"/>
      <c r="E362" s="168">
        <f>G408</f>
        <v>0.6211985999999999</v>
      </c>
      <c r="F362" s="169">
        <f>E362</f>
        <v>0.6211985999999999</v>
      </c>
      <c r="G362" s="170"/>
      <c r="H362" s="171"/>
      <c r="I362" s="4"/>
      <c r="J362" s="4"/>
      <c r="K362" s="4"/>
      <c r="L362" s="1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spans="1:35" ht="13.5" customHeight="1">
      <c r="A363" s="4"/>
      <c r="B363" s="42"/>
      <c r="C363" s="163"/>
      <c r="D363" s="1"/>
      <c r="E363" s="172"/>
      <c r="F363" s="169"/>
      <c r="G363" s="170"/>
      <c r="H363" s="171"/>
      <c r="I363" s="4"/>
      <c r="J363" s="4"/>
      <c r="K363" s="4"/>
      <c r="L363" s="1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spans="1:35" ht="13.5" customHeight="1">
      <c r="A364" s="4"/>
      <c r="B364" s="42">
        <f>B362+1</f>
        <v>3</v>
      </c>
      <c r="C364" s="163" t="s">
        <v>260</v>
      </c>
      <c r="D364" s="1"/>
      <c r="E364" s="172">
        <f>ROUND($H$430,4)</f>
        <v>0.0862</v>
      </c>
      <c r="F364" s="169">
        <f>ROUND($H$430,4)</f>
        <v>0.0862</v>
      </c>
      <c r="G364" s="163"/>
      <c r="H364" s="166"/>
      <c r="I364" s="47"/>
      <c r="J364" s="47"/>
      <c r="K364" s="4"/>
      <c r="L364" s="1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spans="1:35" ht="13.5" customHeight="1">
      <c r="A365" s="4"/>
      <c r="B365" s="42"/>
      <c r="C365" s="163"/>
      <c r="D365" s="1"/>
      <c r="E365" s="172"/>
      <c r="F365" s="169"/>
      <c r="G365" s="163"/>
      <c r="H365" s="166"/>
      <c r="I365" s="47"/>
      <c r="J365" s="4"/>
      <c r="K365" s="4"/>
      <c r="L365" s="1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spans="1:35" ht="13.5" customHeight="1">
      <c r="A366" s="4"/>
      <c r="B366" s="42">
        <f>B364+1</f>
        <v>4</v>
      </c>
      <c r="C366" s="163" t="s">
        <v>261</v>
      </c>
      <c r="D366" s="1"/>
      <c r="E366" s="173">
        <v>0.006500000000000001</v>
      </c>
      <c r="F366" s="169">
        <f>E366</f>
        <v>0.006500000000000001</v>
      </c>
      <c r="G366" s="170"/>
      <c r="H366" s="171"/>
      <c r="I366" s="4"/>
      <c r="J366" s="4"/>
      <c r="K366" s="4"/>
      <c r="L366" s="1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spans="1:35" ht="13.5" customHeight="1">
      <c r="A367" s="4"/>
      <c r="B367" s="42"/>
      <c r="C367" s="163"/>
      <c r="D367" s="1"/>
      <c r="E367" s="173"/>
      <c r="F367" s="169"/>
      <c r="G367" s="170"/>
      <c r="H367" s="171"/>
      <c r="I367" s="4"/>
      <c r="J367" s="4"/>
      <c r="K367" s="4"/>
      <c r="L367" s="1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spans="1:35" ht="13.5" customHeight="1">
      <c r="A368" s="4"/>
      <c r="B368" s="42">
        <f>B366+1</f>
        <v>5</v>
      </c>
      <c r="C368" s="163" t="s">
        <v>262</v>
      </c>
      <c r="D368" s="1"/>
      <c r="E368" s="173">
        <v>0.050290000000000015</v>
      </c>
      <c r="F368" s="169">
        <f>E368</f>
        <v>0.050290000000000015</v>
      </c>
      <c r="G368" s="163"/>
      <c r="H368" s="166"/>
      <c r="I368" s="167"/>
      <c r="J368" s="4"/>
      <c r="K368" s="367"/>
      <c r="L368" s="1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spans="1:35" ht="13.5" customHeight="1">
      <c r="A369" s="4"/>
      <c r="B369" s="42"/>
      <c r="C369" s="163"/>
      <c r="D369" s="1"/>
      <c r="E369" s="173"/>
      <c r="F369" s="169"/>
      <c r="G369" s="163"/>
      <c r="H369" s="166"/>
      <c r="I369" s="167"/>
      <c r="J369" s="4"/>
      <c r="K369" s="4"/>
      <c r="L369" s="1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spans="1:35" ht="13.5" customHeight="1">
      <c r="A370" s="1"/>
      <c r="B370" s="42">
        <f>B368+1</f>
        <v>6</v>
      </c>
      <c r="C370" s="163" t="s">
        <v>263</v>
      </c>
      <c r="D370" s="1"/>
      <c r="E370" s="173">
        <v>0.0020000000000000005</v>
      </c>
      <c r="F370" s="169">
        <f>E370</f>
        <v>0.0020000000000000005</v>
      </c>
      <c r="G370" s="170"/>
      <c r="H370" s="171"/>
      <c r="I370" s="4"/>
      <c r="J370" s="367"/>
      <c r="K370" s="367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spans="1:35" ht="13.5" customHeight="1">
      <c r="A371" s="4"/>
      <c r="B371" s="42"/>
      <c r="C371" s="163"/>
      <c r="D371" s="1"/>
      <c r="E371" s="173"/>
      <c r="F371" s="169"/>
      <c r="G371" s="170"/>
      <c r="H371" s="171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spans="1:35" ht="13.5" customHeight="1">
      <c r="A372" s="4"/>
      <c r="B372" s="42">
        <f>B370+1</f>
        <v>7</v>
      </c>
      <c r="C372" s="163" t="s">
        <v>264</v>
      </c>
      <c r="D372" s="1"/>
      <c r="E372" s="173">
        <f>IF(A!A5=0,0.34,0)</f>
        <v>0.3400000000000001</v>
      </c>
      <c r="F372" s="169">
        <f>E372</f>
        <v>0.3400000000000001</v>
      </c>
      <c r="G372" s="170"/>
      <c r="H372" s="171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spans="1:35" ht="13.5" customHeight="1">
      <c r="A373" s="4"/>
      <c r="B373" s="42"/>
      <c r="C373" s="163"/>
      <c r="D373" s="1"/>
      <c r="E373" s="173"/>
      <c r="F373" s="169"/>
      <c r="G373" s="170"/>
      <c r="H373" s="171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spans="1:35" ht="13.5" customHeight="1">
      <c r="A374" s="4"/>
      <c r="B374" s="42">
        <f>B372+1</f>
        <v>8</v>
      </c>
      <c r="C374" s="163"/>
      <c r="D374" s="1"/>
      <c r="E374" s="173">
        <v>0</v>
      </c>
      <c r="F374" s="169">
        <f>E374</f>
        <v>0</v>
      </c>
      <c r="G374" s="170"/>
      <c r="H374" s="171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spans="1:35" ht="13.5" customHeight="1">
      <c r="A375" s="4"/>
      <c r="B375" s="42"/>
      <c r="C375" s="163"/>
      <c r="D375" s="1"/>
      <c r="E375" s="173"/>
      <c r="F375" s="169"/>
      <c r="G375" s="170"/>
      <c r="H375" s="171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spans="1:35" ht="13.5" customHeight="1">
      <c r="A376" s="4"/>
      <c r="B376" s="42">
        <v>9</v>
      </c>
      <c r="C376" s="163"/>
      <c r="D376" s="1"/>
      <c r="E376" s="173">
        <v>0</v>
      </c>
      <c r="F376" s="169">
        <f>E376</f>
        <v>0</v>
      </c>
      <c r="G376" s="170"/>
      <c r="H376" s="171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spans="1:35" ht="13.5" customHeight="1">
      <c r="A377" s="4"/>
      <c r="B377" s="42"/>
      <c r="C377" s="163"/>
      <c r="D377" s="1"/>
      <c r="E377" s="173"/>
      <c r="F377" s="169"/>
      <c r="G377" s="170"/>
      <c r="H377" s="171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spans="1:35" ht="13.5" customHeight="1">
      <c r="A378" s="4"/>
      <c r="B378" s="42"/>
      <c r="C378" s="163"/>
      <c r="D378" s="1"/>
      <c r="E378" s="173"/>
      <c r="F378" s="169"/>
      <c r="G378" s="170"/>
      <c r="H378" s="171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spans="1:35" ht="13.5" customHeight="1">
      <c r="A379" s="4"/>
      <c r="B379" s="42"/>
      <c r="C379" s="163"/>
      <c r="D379" s="4"/>
      <c r="E379" s="173"/>
      <c r="F379" s="169"/>
      <c r="G379" s="170"/>
      <c r="H379" s="171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spans="1:35" ht="13.5" customHeight="1">
      <c r="A380" s="4"/>
      <c r="B380" s="42"/>
      <c r="C380" s="163"/>
      <c r="D380" s="1"/>
      <c r="E380" s="173"/>
      <c r="F380" s="169"/>
      <c r="G380" s="170"/>
      <c r="H380" s="171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spans="1:35" ht="13.5" customHeight="1">
      <c r="A381" s="4"/>
      <c r="B381" s="83"/>
      <c r="C381" s="174"/>
      <c r="D381" s="175"/>
      <c r="E381" s="176"/>
      <c r="F381" s="177"/>
      <c r="G381" s="178"/>
      <c r="H381" s="179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spans="1:35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spans="1:35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spans="1:35" ht="13.5" customHeight="1">
      <c r="A384" s="4"/>
      <c r="B384" s="180" t="str">
        <f>B352</f>
        <v>RAINIER VIEW WATER CO., INC.</v>
      </c>
      <c r="C384" s="11"/>
      <c r="D384" s="11"/>
      <c r="E384" s="11"/>
      <c r="F384" s="11"/>
      <c r="G384" s="12" t="str">
        <f>G352</f>
        <v>Appendix A</v>
      </c>
      <c r="H384" s="13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spans="1:35" ht="13.5" customHeight="1">
      <c r="A385" s="1" t="s">
        <v>265</v>
      </c>
      <c r="B385" s="19" t="s">
        <v>266</v>
      </c>
      <c r="C385" s="4"/>
      <c r="D385" s="4"/>
      <c r="E385" s="20"/>
      <c r="F385" s="4"/>
      <c r="G385" s="17" t="str">
        <f>G353</f>
        <v>Docket No. UW-010877</v>
      </c>
      <c r="H385" s="18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spans="1:35" ht="13.5" customHeight="1">
      <c r="A386" s="4"/>
      <c r="B386" s="19" t="str">
        <f>B354</f>
        <v>FOR THE 12 MONTHS ENDED DECEMBER 31, 2000</v>
      </c>
      <c r="C386" s="4"/>
      <c r="D386" s="4"/>
      <c r="E386" s="4"/>
      <c r="F386" s="4"/>
      <c r="G386" s="17" t="s">
        <v>252</v>
      </c>
      <c r="H386" s="18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spans="1:35" ht="13.5" customHeight="1">
      <c r="A387" s="4"/>
      <c r="B387" s="40"/>
      <c r="C387" s="4"/>
      <c r="D387" s="4"/>
      <c r="E387" s="4"/>
      <c r="F387" s="4"/>
      <c r="G387" s="4"/>
      <c r="H387" s="18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spans="1:35" ht="13.5" customHeight="1">
      <c r="A388" s="4"/>
      <c r="B388" s="14" t="str">
        <f>IF(E372&lt;&gt;0,+"(WITH FEDERAL INCOME TAXES IMPUTED)",+" (WITHOUT FEDERAL INCOME TAXES IMPUTED)")</f>
        <v>(WITH FEDERAL INCOME TAXES IMPUTED)</v>
      </c>
      <c r="C388" s="4"/>
      <c r="D388" s="4"/>
      <c r="E388" s="4"/>
      <c r="F388" s="24" t="s">
        <v>267</v>
      </c>
      <c r="G388" s="17"/>
      <c r="H388" s="18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spans="1:35" ht="13.5" customHeight="1">
      <c r="A389" s="4"/>
      <c r="B389" s="40"/>
      <c r="C389" s="4"/>
      <c r="D389" s="4"/>
      <c r="E389" s="4"/>
      <c r="F389" s="24" t="s">
        <v>268</v>
      </c>
      <c r="G389" s="24" t="s">
        <v>269</v>
      </c>
      <c r="H389" s="18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spans="1:35" ht="13.5" customHeight="1">
      <c r="A390" s="4"/>
      <c r="B390" s="25" t="s">
        <v>254</v>
      </c>
      <c r="C390" s="24" t="s">
        <v>270</v>
      </c>
      <c r="D390" s="17"/>
      <c r="E390" s="22" t="s">
        <v>271</v>
      </c>
      <c r="F390" s="24" t="s">
        <v>272</v>
      </c>
      <c r="G390" s="24" t="s">
        <v>273</v>
      </c>
      <c r="H390" s="106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spans="1:35" ht="13.5" customHeight="1">
      <c r="A391" s="4"/>
      <c r="B391" s="180"/>
      <c r="C391" s="31" t="s">
        <v>25</v>
      </c>
      <c r="D391" s="12"/>
      <c r="E391" s="181" t="s">
        <v>26</v>
      </c>
      <c r="F391" s="182" t="s">
        <v>27</v>
      </c>
      <c r="G391" s="183" t="s">
        <v>28</v>
      </c>
      <c r="H391" s="18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spans="1:35" ht="13.5" customHeight="1">
      <c r="A392" s="4"/>
      <c r="B392" s="40"/>
      <c r="C392" s="35"/>
      <c r="D392" s="4"/>
      <c r="E392" s="170"/>
      <c r="F392" s="185"/>
      <c r="G392" s="186"/>
      <c r="H392" s="18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spans="1:35" ht="13.5" customHeight="1">
      <c r="A393" s="4"/>
      <c r="B393" s="40"/>
      <c r="C393" s="40"/>
      <c r="D393" s="4"/>
      <c r="E393" s="170"/>
      <c r="F393" s="170"/>
      <c r="G393" s="188"/>
      <c r="H393" s="171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spans="1:35" ht="13.5" customHeight="1">
      <c r="A394" s="4"/>
      <c r="B394" s="189">
        <v>1</v>
      </c>
      <c r="C394" s="14" t="s">
        <v>274</v>
      </c>
      <c r="D394" s="1"/>
      <c r="E394" s="190" t="s">
        <v>275</v>
      </c>
      <c r="F394" s="163"/>
      <c r="G394" s="191">
        <v>1</v>
      </c>
      <c r="H394" s="171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spans="1:35" ht="13.5" customHeight="1">
      <c r="A395" s="4"/>
      <c r="B395" s="189"/>
      <c r="C395" s="42"/>
      <c r="D395" s="1"/>
      <c r="E395" s="163"/>
      <c r="F395" s="163"/>
      <c r="G395" s="191"/>
      <c r="H395" s="171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spans="1:35" ht="13.5" customHeight="1">
      <c r="A396" s="4"/>
      <c r="B396" s="40"/>
      <c r="C396" s="14" t="s">
        <v>276</v>
      </c>
      <c r="D396" s="4"/>
      <c r="E396" s="170"/>
      <c r="F396" s="170"/>
      <c r="G396" s="191"/>
      <c r="H396" s="171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spans="1:35" ht="13.5" customHeight="1">
      <c r="A397" s="4"/>
      <c r="B397" s="189">
        <f>B394+1</f>
        <v>2</v>
      </c>
      <c r="C397" s="42" t="s">
        <v>277</v>
      </c>
      <c r="D397" s="1"/>
      <c r="E397" s="190" t="s">
        <v>36</v>
      </c>
      <c r="F397" s="168">
        <f>E366</f>
        <v>0.006500000000000001</v>
      </c>
      <c r="G397" s="191">
        <f>F397*G394</f>
        <v>0.006500000000000001</v>
      </c>
      <c r="H397" s="171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spans="1:35" ht="13.5" customHeight="1">
      <c r="A398" s="4"/>
      <c r="B398" s="189">
        <f>B397+1</f>
        <v>3</v>
      </c>
      <c r="C398" s="42" t="s">
        <v>278</v>
      </c>
      <c r="D398" s="1"/>
      <c r="E398" s="190" t="s">
        <v>36</v>
      </c>
      <c r="F398" s="168">
        <f>E370</f>
        <v>0.0020000000000000005</v>
      </c>
      <c r="G398" s="191">
        <f>F398*G394</f>
        <v>0.0020000000000000005</v>
      </c>
      <c r="H398" s="166"/>
      <c r="I398" s="4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spans="1:35" ht="13.5" customHeight="1">
      <c r="A399" s="4"/>
      <c r="B399" s="189">
        <f>B398+1</f>
        <v>4</v>
      </c>
      <c r="C399" s="42" t="s">
        <v>279</v>
      </c>
      <c r="D399" s="1"/>
      <c r="E399" s="190" t="s">
        <v>36</v>
      </c>
      <c r="F399" s="168">
        <f>E368</f>
        <v>0.050290000000000015</v>
      </c>
      <c r="G399" s="191">
        <f>F399*G394</f>
        <v>0.050290000000000015</v>
      </c>
      <c r="H399" s="166"/>
      <c r="I399" s="4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spans="1:35" ht="13.5" customHeight="1">
      <c r="A400" s="4"/>
      <c r="B400" s="189">
        <f>B399+1</f>
        <v>5</v>
      </c>
      <c r="C400" s="42"/>
      <c r="D400" s="1"/>
      <c r="E400" s="190" t="s">
        <v>36</v>
      </c>
      <c r="F400" s="168">
        <f>E374</f>
        <v>0</v>
      </c>
      <c r="G400" s="191">
        <f>F400*G394</f>
        <v>0</v>
      </c>
      <c r="H400" s="171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spans="1:35" ht="13.5" customHeight="1">
      <c r="A401" s="4"/>
      <c r="B401" s="189">
        <f>B400+1</f>
        <v>6</v>
      </c>
      <c r="C401" s="42"/>
      <c r="D401" s="1"/>
      <c r="E401" s="190" t="s">
        <v>36</v>
      </c>
      <c r="F401" s="168">
        <v>0</v>
      </c>
      <c r="G401" s="191">
        <f>F401*G394</f>
        <v>0</v>
      </c>
      <c r="H401" s="171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spans="1:35" ht="13.5" customHeight="1">
      <c r="A402" s="4"/>
      <c r="B402" s="189">
        <f>B401+1</f>
        <v>7</v>
      </c>
      <c r="C402" s="42" t="s">
        <v>664</v>
      </c>
      <c r="D402" s="1"/>
      <c r="E402" s="190" t="s">
        <v>281</v>
      </c>
      <c r="F402" s="168"/>
      <c r="G402" s="192">
        <f>SUM(G397:G401)</f>
        <v>0.058790000000000016</v>
      </c>
      <c r="H402" s="171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spans="1:35" ht="13.5" customHeight="1">
      <c r="A403" s="4"/>
      <c r="B403" s="189"/>
      <c r="C403" s="42"/>
      <c r="D403" s="1"/>
      <c r="E403" s="163"/>
      <c r="F403" s="168"/>
      <c r="G403" s="191"/>
      <c r="H403" s="171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spans="1:35" ht="13.5" customHeight="1">
      <c r="A404" s="4"/>
      <c r="B404" s="189">
        <f>B402+1</f>
        <v>8</v>
      </c>
      <c r="C404" s="42" t="s">
        <v>282</v>
      </c>
      <c r="D404" s="1"/>
      <c r="E404" s="190" t="s">
        <v>283</v>
      </c>
      <c r="F404" s="168"/>
      <c r="G404" s="192">
        <f>G394-G402</f>
        <v>0.94121</v>
      </c>
      <c r="H404" s="171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spans="1:35" ht="13.5" customHeight="1">
      <c r="A405" s="4"/>
      <c r="B405" s="40"/>
      <c r="C405" s="40"/>
      <c r="D405" s="4"/>
      <c r="E405" s="170"/>
      <c r="F405" s="168"/>
      <c r="G405" s="191"/>
      <c r="H405" s="171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spans="1:35" ht="13.5" customHeight="1">
      <c r="A406" s="4"/>
      <c r="B406" s="189">
        <f>B404+1</f>
        <v>9</v>
      </c>
      <c r="C406" s="42" t="s">
        <v>284</v>
      </c>
      <c r="D406" s="1"/>
      <c r="E406" s="190" t="s">
        <v>36</v>
      </c>
      <c r="F406" s="168">
        <f>E372</f>
        <v>0.3400000000000001</v>
      </c>
      <c r="G406" s="191">
        <f>G404*F406</f>
        <v>0.32001140000000006</v>
      </c>
      <c r="H406" s="166"/>
      <c r="I406" s="56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spans="1:35" ht="13.5" customHeight="1">
      <c r="A407" s="4"/>
      <c r="B407" s="40"/>
      <c r="C407" s="40"/>
      <c r="D407" s="4"/>
      <c r="E407" s="170"/>
      <c r="F407" s="168"/>
      <c r="G407" s="193"/>
      <c r="H407" s="171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spans="1:35" ht="13.5" customHeight="1">
      <c r="A408" s="4"/>
      <c r="B408" s="189">
        <f>B406+1</f>
        <v>10</v>
      </c>
      <c r="C408" s="42" t="s">
        <v>285</v>
      </c>
      <c r="D408" s="1"/>
      <c r="E408" s="190" t="s">
        <v>286</v>
      </c>
      <c r="F408" s="168"/>
      <c r="G408" s="194">
        <f>G404-G406</f>
        <v>0.6211985999999999</v>
      </c>
      <c r="H408" s="171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spans="1:35" ht="13.5" customHeight="1">
      <c r="A409" s="4"/>
      <c r="B409" s="40"/>
      <c r="C409" s="40"/>
      <c r="D409" s="4"/>
      <c r="E409" s="170"/>
      <c r="F409" s="168"/>
      <c r="G409" s="193"/>
      <c r="H409" s="171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spans="1:35" ht="13.5" customHeight="1">
      <c r="A410" s="4"/>
      <c r="B410" s="189">
        <f>B408+1</f>
        <v>11</v>
      </c>
      <c r="C410" s="42" t="s">
        <v>287</v>
      </c>
      <c r="D410" s="1"/>
      <c r="E410" s="190" t="s">
        <v>288</v>
      </c>
      <c r="F410" s="168"/>
      <c r="G410" s="194">
        <f>1/G408</f>
        <v>1.6097911360392636</v>
      </c>
      <c r="H410" s="18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spans="1:35" ht="13.5" customHeight="1">
      <c r="A411" s="4"/>
      <c r="B411" s="40"/>
      <c r="C411" s="40"/>
      <c r="D411" s="4"/>
      <c r="E411" s="170"/>
      <c r="F411" s="168"/>
      <c r="G411" s="195"/>
      <c r="H411" s="171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spans="1:35" ht="13.5" customHeight="1">
      <c r="A412" s="4"/>
      <c r="B412" s="196"/>
      <c r="C412" s="83"/>
      <c r="D412" s="175"/>
      <c r="E412" s="174"/>
      <c r="F412" s="197"/>
      <c r="G412" s="198"/>
      <c r="H412" s="179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spans="1:35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spans="1:35" ht="13.5" customHeight="1">
      <c r="A414" s="4"/>
      <c r="B414" s="4"/>
      <c r="C414" s="4"/>
      <c r="D414" s="4"/>
      <c r="E414" s="4"/>
      <c r="F414" s="4"/>
      <c r="G414" s="4"/>
      <c r="H414" s="4"/>
      <c r="I414" s="3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spans="1:35" ht="13.5" customHeight="1">
      <c r="A415" s="4"/>
      <c r="B415" s="151" t="str">
        <f>B352</f>
        <v>RAINIER VIEW WATER CO., INC.</v>
      </c>
      <c r="C415" s="12"/>
      <c r="D415" s="12"/>
      <c r="E415" s="12"/>
      <c r="F415" s="12"/>
      <c r="G415" s="12" t="str">
        <f>G352</f>
        <v>Appendix A</v>
      </c>
      <c r="H415" s="105"/>
      <c r="I415" s="5"/>
      <c r="J415" s="45"/>
      <c r="K415" s="1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spans="1:35" ht="13.5" customHeight="1">
      <c r="A416" s="1" t="s">
        <v>289</v>
      </c>
      <c r="B416" s="19" t="s">
        <v>290</v>
      </c>
      <c r="C416" s="17"/>
      <c r="D416" s="17"/>
      <c r="E416" s="20"/>
      <c r="F416" s="17"/>
      <c r="G416" s="17" t="str">
        <f>G353</f>
        <v>Docket No. UW-010877</v>
      </c>
      <c r="H416" s="106"/>
      <c r="I416" s="5"/>
      <c r="J416" s="47"/>
      <c r="K416" s="1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spans="1:35" ht="13.5" customHeight="1">
      <c r="A417" s="4"/>
      <c r="B417" s="19" t="str">
        <f>B354</f>
        <v>FOR THE 12 MONTHS ENDED DECEMBER 31, 2000</v>
      </c>
      <c r="C417" s="17"/>
      <c r="D417" s="17"/>
      <c r="E417" s="17"/>
      <c r="F417" s="17"/>
      <c r="G417" s="199"/>
      <c r="H417" s="106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spans="1:35" ht="13.5" customHeight="1">
      <c r="A418" s="4"/>
      <c r="B418" s="19"/>
      <c r="C418" s="17"/>
      <c r="D418" s="17"/>
      <c r="E418" s="17"/>
      <c r="F418" s="17"/>
      <c r="G418" s="17"/>
      <c r="H418" s="106"/>
      <c r="I418" s="5"/>
      <c r="J418" s="45"/>
      <c r="K418" s="1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spans="1:35" ht="13.5" customHeight="1">
      <c r="A419" s="4"/>
      <c r="B419" s="14" t="str">
        <f>IF(E372&lt;&gt;0,+"(WITH FEDERAL INCOME TAXES IMPUTED)",+" (WITHOUT FEDERAL INCOME TAXES IMPUTED)")</f>
        <v>(WITH FEDERAL INCOME TAXES IMPUTED)</v>
      </c>
      <c r="C419" s="17"/>
      <c r="D419" s="17"/>
      <c r="E419" s="17"/>
      <c r="F419" s="17"/>
      <c r="G419" s="17"/>
      <c r="H419" s="23" t="s">
        <v>294</v>
      </c>
      <c r="I419" s="4"/>
      <c r="J419" s="221">
        <v>201339</v>
      </c>
      <c r="K419" s="1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spans="1:35" ht="13.5" customHeight="1">
      <c r="A420" s="4"/>
      <c r="B420" s="19"/>
      <c r="C420" s="17"/>
      <c r="D420" s="17"/>
      <c r="E420" s="24" t="s">
        <v>295</v>
      </c>
      <c r="F420" s="24" t="s">
        <v>296</v>
      </c>
      <c r="G420" s="24" t="s">
        <v>297</v>
      </c>
      <c r="H420" s="23" t="s">
        <v>297</v>
      </c>
      <c r="I420" s="4"/>
      <c r="J420" s="221">
        <v>208047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spans="1:35" ht="13.5" customHeight="1">
      <c r="A421" s="4"/>
      <c r="B421" s="19"/>
      <c r="C421" s="17"/>
      <c r="D421" s="17"/>
      <c r="E421" s="24" t="s">
        <v>298</v>
      </c>
      <c r="F421" s="24" t="s">
        <v>299</v>
      </c>
      <c r="G421" s="24" t="s">
        <v>272</v>
      </c>
      <c r="H421" s="23" t="s">
        <v>272</v>
      </c>
      <c r="I421" s="5"/>
      <c r="J421" s="45">
        <f>J420-J419</f>
        <v>6708</v>
      </c>
      <c r="K421" s="1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spans="1:35" ht="13.5" customHeight="1">
      <c r="A422" s="4"/>
      <c r="B422" s="25" t="s">
        <v>254</v>
      </c>
      <c r="C422" s="24" t="s">
        <v>270</v>
      </c>
      <c r="D422" s="17"/>
      <c r="E422" s="22" t="s">
        <v>300</v>
      </c>
      <c r="F422" s="24" t="s">
        <v>301</v>
      </c>
      <c r="G422" s="24" t="s">
        <v>301</v>
      </c>
      <c r="H422" s="23" t="s">
        <v>301</v>
      </c>
      <c r="I422" s="4"/>
      <c r="J422" s="47"/>
      <c r="K422" s="1" t="s">
        <v>665</v>
      </c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spans="1:35" ht="13.5" customHeight="1">
      <c r="A423" s="4"/>
      <c r="B423" s="180"/>
      <c r="C423" s="31" t="s">
        <v>25</v>
      </c>
      <c r="D423" s="12"/>
      <c r="E423" s="181" t="s">
        <v>26</v>
      </c>
      <c r="F423" s="33" t="s">
        <v>27</v>
      </c>
      <c r="G423" s="33" t="s">
        <v>28</v>
      </c>
      <c r="H423" s="184" t="s">
        <v>29</v>
      </c>
      <c r="I423" s="4"/>
      <c r="J423" s="4"/>
      <c r="K423" s="47">
        <f>J449/F426</f>
        <v>0</v>
      </c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spans="1:35" ht="13.5" customHeight="1">
      <c r="A424" s="4"/>
      <c r="B424" s="40"/>
      <c r="C424" s="35"/>
      <c r="D424" s="4"/>
      <c r="E424" s="185"/>
      <c r="F424" s="37"/>
      <c r="G424" s="37"/>
      <c r="H424" s="187"/>
      <c r="I424" s="4"/>
      <c r="J424" s="47">
        <f>H426/F426</f>
        <v>0.05549999999999997</v>
      </c>
      <c r="K424" s="4"/>
      <c r="L424" s="47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spans="1:35" ht="13.5" customHeight="1">
      <c r="A425" s="4"/>
      <c r="B425" s="40"/>
      <c r="C425" s="40"/>
      <c r="D425" s="4"/>
      <c r="E425" s="170"/>
      <c r="F425" s="4"/>
      <c r="G425" s="4"/>
      <c r="H425" s="171"/>
      <c r="I425" s="4"/>
      <c r="J425" s="201"/>
      <c r="K425" s="4"/>
      <c r="L425" s="47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spans="1:35" ht="13.5" customHeight="1">
      <c r="A426" s="4"/>
      <c r="B426" s="202">
        <v>1</v>
      </c>
      <c r="C426" s="42" t="s">
        <v>302</v>
      </c>
      <c r="D426" s="1"/>
      <c r="E426" s="203">
        <v>3747442</v>
      </c>
      <c r="F426" s="47">
        <f>E426/E430</f>
        <v>0.7076179389352616</v>
      </c>
      <c r="G426" s="47">
        <v>0.05550000000000001</v>
      </c>
      <c r="H426" s="204">
        <f>ROUND(+G426*F426,20)</f>
        <v>0.039272795610907</v>
      </c>
      <c r="I426" s="59">
        <f>H426</f>
        <v>0.039272795610907</v>
      </c>
      <c r="J426" s="47"/>
      <c r="K426" s="47"/>
      <c r="L426" s="47">
        <f>H426</f>
        <v>0.039272795610907</v>
      </c>
      <c r="M426" s="47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spans="1:35" ht="13.5" customHeight="1">
      <c r="A427" s="4"/>
      <c r="B427" s="41"/>
      <c r="C427" s="42"/>
      <c r="D427" s="1"/>
      <c r="E427" s="205"/>
      <c r="F427" s="4"/>
      <c r="G427" s="4"/>
      <c r="H427" s="206"/>
      <c r="I427" s="4"/>
      <c r="J427" s="4"/>
      <c r="K427" s="4"/>
      <c r="L427" s="47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spans="1:35" ht="13.5" customHeight="1">
      <c r="A428" s="1"/>
      <c r="B428" s="202">
        <f>B426+1</f>
        <v>2</v>
      </c>
      <c r="C428" s="42" t="s">
        <v>303</v>
      </c>
      <c r="D428" s="1"/>
      <c r="E428" s="170">
        <v>1548413</v>
      </c>
      <c r="F428" s="47">
        <f>E428/E430</f>
        <v>0.29238206106473835</v>
      </c>
      <c r="G428" s="47">
        <v>0.16050000000000003</v>
      </c>
      <c r="H428" s="204">
        <f>ROUND(+G428*F428,20)</f>
        <v>0.0469273208008905</v>
      </c>
      <c r="I428" s="59">
        <f>H428</f>
        <v>0.0469273208008905</v>
      </c>
      <c r="J428" s="4"/>
      <c r="K428" s="47">
        <f>L428/F428</f>
        <v>0.1628937295798991</v>
      </c>
      <c r="L428" s="47">
        <f>L430-L426</f>
        <v>0.047627204389093035</v>
      </c>
      <c r="M428" s="47"/>
      <c r="N428" s="47">
        <v>0.15830000000000002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spans="1:35" ht="13.5" customHeight="1">
      <c r="A429" s="4"/>
      <c r="B429" s="35"/>
      <c r="C429" s="40"/>
      <c r="D429" s="4"/>
      <c r="E429" s="207"/>
      <c r="F429" s="208"/>
      <c r="G429" s="104"/>
      <c r="H429" s="209"/>
      <c r="I429" s="4"/>
      <c r="J429" s="4"/>
      <c r="K429" s="4"/>
      <c r="L429" s="47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spans="1:35" ht="13.5" customHeight="1">
      <c r="A430" s="4"/>
      <c r="B430" s="202">
        <f>B428+1</f>
        <v>3</v>
      </c>
      <c r="C430" s="42" t="s">
        <v>304</v>
      </c>
      <c r="D430" s="1"/>
      <c r="E430" s="210">
        <f>SUM(E426:E428)</f>
        <v>5295855</v>
      </c>
      <c r="F430" s="211">
        <f>SUM(F426:F429)</f>
        <v>1</v>
      </c>
      <c r="G430" s="1"/>
      <c r="H430" s="212">
        <f>ROUND(SUM(H426:H428),20)</f>
        <v>0.0862001164117975</v>
      </c>
      <c r="I430" s="59">
        <f>H430</f>
        <v>0.0862001164117975</v>
      </c>
      <c r="J430" s="59">
        <f>ROUND(+I430,4)</f>
        <v>0.0862</v>
      </c>
      <c r="K430" s="47"/>
      <c r="L430" s="47">
        <v>0.08690000000000003</v>
      </c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spans="1:35" ht="13.5" customHeight="1">
      <c r="A431" s="4"/>
      <c r="B431" s="83"/>
      <c r="C431" s="83"/>
      <c r="D431" s="175"/>
      <c r="E431" s="174"/>
      <c r="F431" s="175"/>
      <c r="G431" s="175"/>
      <c r="H431" s="213"/>
      <c r="I431" s="4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spans="1:35" ht="13.5" customHeight="1">
      <c r="A432" s="4"/>
      <c r="B432" s="214"/>
      <c r="C432" s="9"/>
      <c r="D432" s="9"/>
      <c r="E432" s="9"/>
      <c r="F432" s="9"/>
      <c r="G432" s="9"/>
      <c r="H432" s="21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spans="1:35" ht="13.5" customHeight="1">
      <c r="A433" s="4"/>
      <c r="B433" s="40"/>
      <c r="C433" s="1"/>
      <c r="D433" s="4"/>
      <c r="E433" s="1"/>
      <c r="F433" s="4"/>
      <c r="G433" s="4"/>
      <c r="H433" s="18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spans="1:35" ht="13.5" customHeight="1">
      <c r="A434" s="4"/>
      <c r="B434" s="102"/>
      <c r="C434" s="88"/>
      <c r="D434" s="88"/>
      <c r="E434" s="88"/>
      <c r="F434" s="88"/>
      <c r="G434" s="88"/>
      <c r="H434" s="103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  <row r="435" spans="1:35" ht="13.5" customHeight="1">
      <c r="A435" s="4"/>
      <c r="B435" s="216"/>
      <c r="C435" s="1"/>
      <c r="D435" s="1"/>
      <c r="E435" s="1" t="s">
        <v>305</v>
      </c>
      <c r="F435" s="47">
        <f>SUM(F426:F428)</f>
        <v>1</v>
      </c>
      <c r="G435" s="47"/>
      <c r="H435" s="4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</row>
    <row r="436" spans="1:35" ht="13.5" customHeight="1">
      <c r="A436" s="4"/>
      <c r="B436" s="4"/>
      <c r="C436" s="1" t="str">
        <f>"Note:Amount of  $"&amp;FIXED(+E430,0)&amp;", at Line "&amp;FIXED(+B430,0)&amp;", Column "&amp;+E423&amp;", came from .... "</f>
        <v>Note:Amount of  $5,295,855, at Line 3, Column (B), came from .... </v>
      </c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</row>
    <row r="437" spans="1:35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</row>
    <row r="438" spans="1:35" ht="13.5" customHeight="1">
      <c r="A438" s="4"/>
      <c r="B438" s="8" t="str">
        <f>B352</f>
        <v>RAINIER VIEW WATER CO., INC.</v>
      </c>
      <c r="C438" s="11"/>
      <c r="D438" s="11"/>
      <c r="E438" s="11"/>
      <c r="F438" s="11"/>
      <c r="G438" s="57" t="str">
        <f>G352</f>
        <v>Appendix A</v>
      </c>
      <c r="H438" s="13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</row>
    <row r="439" spans="1:35" ht="13.5" customHeight="1">
      <c r="A439" s="4"/>
      <c r="B439" s="14" t="str">
        <f>B353</f>
        <v>PRO FORMA INCOME STATEMENT</v>
      </c>
      <c r="C439" s="4"/>
      <c r="D439" s="4"/>
      <c r="E439" s="4"/>
      <c r="F439" s="4"/>
      <c r="G439" s="3" t="str">
        <f>G353</f>
        <v>Docket No. UW-010877</v>
      </c>
      <c r="H439" s="18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</row>
    <row r="440" spans="1:35" ht="13.5" customHeight="1">
      <c r="A440" s="4"/>
      <c r="B440" s="14" t="s">
        <v>666</v>
      </c>
      <c r="C440" s="4"/>
      <c r="D440" s="4"/>
      <c r="E440" s="20"/>
      <c r="F440" s="4"/>
      <c r="G440" s="199"/>
      <c r="H440" s="18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</row>
    <row r="441" spans="1:35" ht="13.5" customHeight="1">
      <c r="A441" s="1" t="s">
        <v>307</v>
      </c>
      <c r="B441" s="14" t="str">
        <f>B354</f>
        <v>FOR THE 12 MONTHS ENDED DECEMBER 31, 2000</v>
      </c>
      <c r="C441" s="4"/>
      <c r="D441" s="4"/>
      <c r="E441" s="4"/>
      <c r="F441" s="4"/>
      <c r="G441" s="4"/>
      <c r="H441" s="18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</row>
    <row r="442" spans="1:35" ht="13.5" customHeight="1">
      <c r="A442" s="4"/>
      <c r="B442" s="14" t="str">
        <f>IF(E372&lt;&gt;0,+"(WITH FEDERAL INCOME TAXES IMPUTED)",+" (WITHOUT FEDERAL INCOME TAXES IMPUTED)")</f>
        <v>(WITH FEDERAL INCOME TAXES IMPUTED)</v>
      </c>
      <c r="C442" s="4"/>
      <c r="D442" s="4"/>
      <c r="E442" s="4"/>
      <c r="F442" s="4"/>
      <c r="G442" s="4"/>
      <c r="H442" s="18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</row>
    <row r="443" spans="1:35" ht="13.5" customHeight="1">
      <c r="A443" s="4"/>
      <c r="B443" s="19"/>
      <c r="C443" s="4"/>
      <c r="D443" s="4"/>
      <c r="E443" s="4"/>
      <c r="F443" s="4"/>
      <c r="G443" s="4"/>
      <c r="H443" s="18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</row>
    <row r="444" spans="1:35" ht="13.5" customHeight="1">
      <c r="A444" s="4"/>
      <c r="B444" s="40" t="s">
        <v>308</v>
      </c>
      <c r="C444" s="4"/>
      <c r="D444" s="4"/>
      <c r="E444" s="37" t="s">
        <v>309</v>
      </c>
      <c r="F444" s="37" t="s">
        <v>310</v>
      </c>
      <c r="G444" s="37" t="s">
        <v>311</v>
      </c>
      <c r="H444" s="18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</row>
    <row r="445" spans="1:35" ht="13.5" customHeight="1">
      <c r="A445" s="1"/>
      <c r="B445" s="40" t="s">
        <v>312</v>
      </c>
      <c r="C445" s="37" t="s">
        <v>270</v>
      </c>
      <c r="D445" s="37" t="s">
        <v>271</v>
      </c>
      <c r="E445" s="37" t="s">
        <v>295</v>
      </c>
      <c r="F445" s="37" t="s">
        <v>295</v>
      </c>
      <c r="G445" s="37" t="s">
        <v>295</v>
      </c>
      <c r="H445" s="18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</row>
    <row r="446" spans="1:35" ht="13.5" customHeight="1">
      <c r="A446" s="1"/>
      <c r="B446" s="217"/>
      <c r="C446" s="218" t="s">
        <v>25</v>
      </c>
      <c r="D446" s="218" t="s">
        <v>26</v>
      </c>
      <c r="E446" s="218" t="s">
        <v>27</v>
      </c>
      <c r="F446" s="219" t="s">
        <v>28</v>
      </c>
      <c r="G446" s="220" t="s">
        <v>29</v>
      </c>
      <c r="H446" s="13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</row>
    <row r="447" spans="1:35" ht="13.5" customHeight="1">
      <c r="A447" s="4"/>
      <c r="B447" s="35"/>
      <c r="C447" s="170"/>
      <c r="D447" s="170"/>
      <c r="E447" s="170"/>
      <c r="F447" s="4"/>
      <c r="G447" s="188"/>
      <c r="H447" s="18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</row>
    <row r="448" spans="1:35" ht="13.5" customHeight="1">
      <c r="A448" s="4"/>
      <c r="B448" s="41">
        <v>1</v>
      </c>
      <c r="C448" s="163" t="s">
        <v>313</v>
      </c>
      <c r="D448" s="190" t="s">
        <v>314</v>
      </c>
      <c r="E448" s="221">
        <f>K67</f>
        <v>5222628</v>
      </c>
      <c r="F448" s="45">
        <v>1.0000000000000005E-07</v>
      </c>
      <c r="G448" s="222"/>
      <c r="H448" s="67"/>
      <c r="I448" s="4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</row>
    <row r="449" spans="1:35" ht="13.5" customHeight="1">
      <c r="A449" s="4"/>
      <c r="B449" s="41">
        <v>2</v>
      </c>
      <c r="C449" s="205" t="s">
        <v>315</v>
      </c>
      <c r="D449" s="190" t="s">
        <v>316</v>
      </c>
      <c r="E449" s="205">
        <v>0</v>
      </c>
      <c r="F449" s="223">
        <v>0</v>
      </c>
      <c r="G449" s="188"/>
      <c r="H449" s="18"/>
      <c r="I449" s="4"/>
      <c r="J449" s="47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</row>
    <row r="450" spans="1:35" ht="13.5" customHeight="1">
      <c r="A450" s="4"/>
      <c r="B450" s="41">
        <v>3</v>
      </c>
      <c r="C450" s="205" t="s">
        <v>317</v>
      </c>
      <c r="D450" s="190" t="s">
        <v>318</v>
      </c>
      <c r="E450" s="224">
        <f>E448+E449</f>
        <v>5222628</v>
      </c>
      <c r="F450" s="225">
        <f>F448+F449</f>
        <v>1.0000000000000005E-07</v>
      </c>
      <c r="G450" s="188"/>
      <c r="H450" s="18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</row>
    <row r="451" spans="1:35" ht="13.5" customHeight="1">
      <c r="A451" s="4"/>
      <c r="B451" s="41"/>
      <c r="C451" s="205"/>
      <c r="D451" s="163"/>
      <c r="E451" s="205"/>
      <c r="F451" s="223"/>
      <c r="G451" s="188"/>
      <c r="H451" s="18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</row>
    <row r="452" spans="1:35" ht="13.5" customHeight="1">
      <c r="A452" s="4"/>
      <c r="B452" s="35"/>
      <c r="C452" s="170"/>
      <c r="D452" s="170"/>
      <c r="E452" s="170"/>
      <c r="F452" s="4"/>
      <c r="G452" s="188"/>
      <c r="H452" s="18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</row>
    <row r="453" spans="1:35" ht="13.5" customHeight="1">
      <c r="A453" s="4"/>
      <c r="B453" s="41">
        <v>4</v>
      </c>
      <c r="C453" s="163" t="s">
        <v>319</v>
      </c>
      <c r="D453" s="190" t="s">
        <v>320</v>
      </c>
      <c r="E453" s="172">
        <f>H426</f>
        <v>0.039272795610907</v>
      </c>
      <c r="F453" s="47">
        <f>E453</f>
        <v>0.039272795610907</v>
      </c>
      <c r="G453" s="227"/>
      <c r="H453" s="18"/>
      <c r="I453" s="4"/>
      <c r="J453" s="1" t="s">
        <v>342</v>
      </c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</row>
    <row r="454" spans="1:35" ht="13.5" customHeight="1">
      <c r="A454" s="4"/>
      <c r="B454" s="35"/>
      <c r="C454" s="170"/>
      <c r="D454" s="170"/>
      <c r="E454" s="170"/>
      <c r="F454" s="4"/>
      <c r="G454" s="188"/>
      <c r="H454" s="18"/>
      <c r="I454" s="4"/>
      <c r="J454" s="1">
        <v>1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</row>
    <row r="455" spans="1:35" ht="13.5" customHeight="1">
      <c r="A455" s="4"/>
      <c r="B455" s="41">
        <v>5</v>
      </c>
      <c r="C455" s="163" t="s">
        <v>321</v>
      </c>
      <c r="D455" s="190" t="s">
        <v>322</v>
      </c>
      <c r="E455" s="221">
        <f>IF(J454=1,+J455,+E450*E453)</f>
        <v>208047</v>
      </c>
      <c r="F455" s="45">
        <f>IF(K454=1,+K455,+F450*F453)</f>
        <v>3.927279561090702E-09</v>
      </c>
      <c r="G455" s="228"/>
      <c r="H455" s="18"/>
      <c r="I455" s="1"/>
      <c r="J455" s="1">
        <v>208047</v>
      </c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</row>
    <row r="456" spans="1:35" ht="13.5" customHeight="1">
      <c r="A456" s="4"/>
      <c r="B456" s="35"/>
      <c r="C456" s="170"/>
      <c r="D456" s="170"/>
      <c r="E456" s="170"/>
      <c r="F456" s="4"/>
      <c r="G456" s="188"/>
      <c r="H456" s="18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</row>
    <row r="457" spans="1:35" ht="13.5" customHeight="1">
      <c r="A457" s="4"/>
      <c r="B457" s="41">
        <v>6</v>
      </c>
      <c r="C457" s="163" t="s">
        <v>323</v>
      </c>
      <c r="D457" s="190" t="s">
        <v>324</v>
      </c>
      <c r="E457" s="229">
        <f>-E88</f>
        <v>344648</v>
      </c>
      <c r="F457" s="49">
        <v>1.0000000000000005E-08</v>
      </c>
      <c r="G457" s="188"/>
      <c r="H457" s="18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</row>
    <row r="458" spans="1:35" ht="13.5" customHeight="1">
      <c r="A458" s="4"/>
      <c r="B458" s="35"/>
      <c r="C458" s="170"/>
      <c r="D458" s="170"/>
      <c r="E458" s="170"/>
      <c r="F458" s="4"/>
      <c r="G458" s="188"/>
      <c r="H458" s="18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</row>
    <row r="459" spans="1:35" ht="13.5" customHeight="1">
      <c r="A459" s="4"/>
      <c r="B459" s="41">
        <v>7</v>
      </c>
      <c r="C459" s="163" t="s">
        <v>325</v>
      </c>
      <c r="D459" s="190" t="s">
        <v>326</v>
      </c>
      <c r="E459" s="230">
        <f>IF(+E455-E457&lt;&gt;1,+E455-E457,0)</f>
        <v>-136601</v>
      </c>
      <c r="F459" s="231">
        <f>IF(+F455-F457&lt;&gt;1,+F455-F457,0)</f>
        <v>-6.072720438909303E-09</v>
      </c>
      <c r="G459" s="228"/>
      <c r="H459" s="18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</row>
    <row r="460" spans="1:35" ht="13.5" customHeight="1">
      <c r="A460" s="4"/>
      <c r="B460" s="41"/>
      <c r="C460" s="163"/>
      <c r="D460" s="163"/>
      <c r="E460" s="163"/>
      <c r="F460" s="1"/>
      <c r="G460" s="226"/>
      <c r="H460" s="6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</row>
    <row r="461" spans="1:35" ht="13.5" customHeight="1">
      <c r="A461" s="4"/>
      <c r="B461" s="41">
        <v>8</v>
      </c>
      <c r="C461" s="163" t="s">
        <v>327</v>
      </c>
      <c r="D461" s="190" t="s">
        <v>328</v>
      </c>
      <c r="E461" s="172">
        <f>E372</f>
        <v>0.3400000000000001</v>
      </c>
      <c r="F461" s="47">
        <v>0</v>
      </c>
      <c r="G461" s="227"/>
      <c r="H461" s="67"/>
      <c r="I461" s="4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</row>
    <row r="462" spans="1:35" ht="13.5" customHeight="1">
      <c r="A462" s="4"/>
      <c r="B462" s="35"/>
      <c r="C462" s="170"/>
      <c r="D462" s="170"/>
      <c r="E462" s="170"/>
      <c r="F462" s="4"/>
      <c r="G462" s="188"/>
      <c r="H462" s="18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</row>
    <row r="463" spans="1:35" ht="13.5" customHeight="1">
      <c r="A463" s="4"/>
      <c r="B463" s="41">
        <v>9</v>
      </c>
      <c r="C463" s="163" t="s">
        <v>329</v>
      </c>
      <c r="D463" s="190" t="s">
        <v>330</v>
      </c>
      <c r="E463" s="232">
        <f>E459*E461*-1</f>
        <v>46444.34000000001</v>
      </c>
      <c r="F463" s="233">
        <f>F459*F461*-1</f>
        <v>0</v>
      </c>
      <c r="G463" s="234">
        <f>E463+F463</f>
        <v>46444.34000000001</v>
      </c>
      <c r="H463" s="18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</row>
    <row r="464" spans="1:35" ht="13.5" customHeight="1">
      <c r="A464" s="4"/>
      <c r="B464" s="35"/>
      <c r="C464" s="170"/>
      <c r="D464" s="170"/>
      <c r="E464" s="170"/>
      <c r="F464" s="4"/>
      <c r="G464" s="188"/>
      <c r="H464" s="18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</row>
    <row r="465" spans="1:35" ht="13.5" customHeight="1">
      <c r="A465" s="4"/>
      <c r="B465" s="41">
        <v>10</v>
      </c>
      <c r="C465" s="163" t="s">
        <v>331</v>
      </c>
      <c r="D465" s="185" t="s">
        <v>332</v>
      </c>
      <c r="E465" s="163">
        <v>0</v>
      </c>
      <c r="F465" s="1">
        <v>0</v>
      </c>
      <c r="G465" s="226">
        <f>E465+F465</f>
        <v>0</v>
      </c>
      <c r="H465" s="18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</row>
    <row r="466" spans="1:35" ht="15.75" customHeight="1">
      <c r="A466" s="4"/>
      <c r="B466" s="35"/>
      <c r="C466" s="170"/>
      <c r="D466" s="170"/>
      <c r="E466" s="170"/>
      <c r="F466" s="4"/>
      <c r="G466" s="188"/>
      <c r="H466" s="18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</row>
    <row r="467" spans="1:35" ht="13.5" customHeight="1">
      <c r="A467" s="4"/>
      <c r="B467" s="41">
        <v>11</v>
      </c>
      <c r="C467" s="163" t="s">
        <v>333</v>
      </c>
      <c r="D467" s="190" t="s">
        <v>334</v>
      </c>
      <c r="E467" s="210">
        <f>-E463+E465</f>
        <v>-46444.34000000001</v>
      </c>
      <c r="F467" s="235">
        <f>-F463+F75</f>
        <v>0</v>
      </c>
      <c r="G467" s="236">
        <f>E467+F467</f>
        <v>-46444.34000000001</v>
      </c>
      <c r="H467" s="18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</row>
    <row r="468" spans="1:35" ht="13.5" customHeight="1">
      <c r="A468" s="4"/>
      <c r="B468" s="35"/>
      <c r="C468" s="170"/>
      <c r="D468" s="170"/>
      <c r="E468" s="170"/>
      <c r="F468" s="4"/>
      <c r="G468" s="188"/>
      <c r="H468" s="18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</row>
    <row r="469" spans="1:35" ht="13.5" customHeight="1">
      <c r="A469" s="4"/>
      <c r="B469" s="102"/>
      <c r="C469" s="178"/>
      <c r="D469" s="178"/>
      <c r="E469" s="178"/>
      <c r="F469" s="88"/>
      <c r="G469" s="237"/>
      <c r="H469" s="103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</row>
    <row r="470" spans="1:35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</row>
    <row r="471" spans="1:35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</row>
    <row r="472" spans="1:35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</row>
    <row r="473" spans="1:35" ht="13.5" customHeight="1">
      <c r="A473" s="4"/>
      <c r="B473" s="8" t="str">
        <f>B352</f>
        <v>RAINIER VIEW WATER CO., INC.</v>
      </c>
      <c r="C473" s="11"/>
      <c r="D473" s="11"/>
      <c r="E473" s="57" t="str">
        <f>G352</f>
        <v>Appendix A</v>
      </c>
      <c r="F473" s="13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</row>
    <row r="474" spans="1:35" ht="13.5" customHeight="1">
      <c r="A474" s="1" t="s">
        <v>335</v>
      </c>
      <c r="B474" s="14" t="s">
        <v>336</v>
      </c>
      <c r="C474" s="4"/>
      <c r="D474" s="4"/>
      <c r="E474" s="3" t="str">
        <f>G353</f>
        <v>Docket No. UW-010877</v>
      </c>
      <c r="F474" s="238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</row>
    <row r="475" spans="1:35" ht="13.5" customHeight="1">
      <c r="A475" s="4"/>
      <c r="B475" s="14" t="str">
        <f>B354</f>
        <v>FOR THE 12 MONTHS ENDED DECEMBER 31, 2000</v>
      </c>
      <c r="C475" s="4"/>
      <c r="D475" s="4"/>
      <c r="E475" s="199" t="s">
        <v>252</v>
      </c>
      <c r="F475" s="18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</row>
    <row r="476" spans="1:35" ht="13.5" customHeight="1">
      <c r="A476" s="4"/>
      <c r="B476" s="19"/>
      <c r="C476" s="4"/>
      <c r="D476" s="4"/>
      <c r="E476" s="4"/>
      <c r="F476" s="18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</row>
    <row r="477" spans="1:35" ht="13.5" customHeight="1">
      <c r="A477" s="4"/>
      <c r="B477" s="14" t="str">
        <f>IF(E372&lt;&gt;0,+"(WITH FEDERAL INCOME TAXES IMPUTED)",+" (WITHOUT FEDERAL INCOME TAXES IMPUTED)")</f>
        <v>(WITH FEDERAL INCOME TAXES IMPUTED)</v>
      </c>
      <c r="C477" s="4"/>
      <c r="D477" s="4"/>
      <c r="E477" s="4"/>
      <c r="F477" s="38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</row>
    <row r="478" spans="1:35" ht="13.5" customHeight="1">
      <c r="A478" s="4"/>
      <c r="B478" s="40"/>
      <c r="C478" s="4"/>
      <c r="D478" s="4"/>
      <c r="E478" s="4"/>
      <c r="F478" s="38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</row>
    <row r="479" spans="1:35" ht="13.5" customHeight="1">
      <c r="A479" s="4"/>
      <c r="B479" s="40" t="s">
        <v>337</v>
      </c>
      <c r="C479" s="37" t="s">
        <v>270</v>
      </c>
      <c r="D479" s="5" t="s">
        <v>271</v>
      </c>
      <c r="E479" s="5"/>
      <c r="F479" s="21" t="s">
        <v>295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</row>
    <row r="480" spans="1:35" ht="13.5" customHeight="1">
      <c r="A480" s="4"/>
      <c r="B480" s="217"/>
      <c r="C480" s="239" t="s">
        <v>25</v>
      </c>
      <c r="D480" s="240" t="s">
        <v>26</v>
      </c>
      <c r="E480" s="240"/>
      <c r="F480" s="241" t="s">
        <v>27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</row>
    <row r="481" spans="1:35" ht="13.5" customHeight="1">
      <c r="A481" s="4"/>
      <c r="B481" s="35"/>
      <c r="C481" s="242"/>
      <c r="D481" s="4"/>
      <c r="E481" s="4"/>
      <c r="F481" s="187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</row>
    <row r="482" spans="1:35" ht="13.5" customHeight="1">
      <c r="A482" s="4"/>
      <c r="B482" s="202">
        <v>1</v>
      </c>
      <c r="C482" s="243" t="s">
        <v>338</v>
      </c>
      <c r="D482" s="5" t="s">
        <v>36</v>
      </c>
      <c r="E482" s="5"/>
      <c r="F482" s="244">
        <f>I67</f>
        <v>5222628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</row>
    <row r="483" spans="1:35" ht="13.5" customHeight="1">
      <c r="A483" s="4"/>
      <c r="B483" s="35"/>
      <c r="C483" s="243"/>
      <c r="D483" s="4"/>
      <c r="E483" s="4"/>
      <c r="F483" s="171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</row>
    <row r="484" spans="1:35" ht="13.5" customHeight="1">
      <c r="A484" s="4"/>
      <c r="B484" s="202">
        <v>2</v>
      </c>
      <c r="C484" s="243" t="s">
        <v>339</v>
      </c>
      <c r="D484" s="5" t="s">
        <v>36</v>
      </c>
      <c r="E484" s="1"/>
      <c r="F484" s="245">
        <f>ROUND(+H430,4)</f>
        <v>0.0862</v>
      </c>
      <c r="G484" s="59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</row>
    <row r="485" spans="1:35" ht="13.5" customHeight="1">
      <c r="A485" s="4"/>
      <c r="B485" s="202"/>
      <c r="C485" s="243"/>
      <c r="D485" s="1"/>
      <c r="E485" s="1"/>
      <c r="F485" s="24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</row>
    <row r="486" spans="1:35" ht="13.5" customHeight="1">
      <c r="A486" s="4"/>
      <c r="B486" s="202">
        <v>3</v>
      </c>
      <c r="C486" s="243" t="s">
        <v>340</v>
      </c>
      <c r="D486" s="5" t="s">
        <v>341</v>
      </c>
      <c r="E486" s="5"/>
      <c r="F486" s="247">
        <f>F482*F484</f>
        <v>450190.53359999997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</row>
    <row r="487" spans="1:35" ht="13.5" customHeight="1">
      <c r="A487" s="4"/>
      <c r="B487" s="202"/>
      <c r="C487" s="243"/>
      <c r="D487" s="5"/>
      <c r="E487" s="5"/>
      <c r="F487" s="24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</row>
    <row r="488" spans="1:35" ht="13.5" customHeight="1">
      <c r="A488" s="4"/>
      <c r="B488" s="202">
        <v>4</v>
      </c>
      <c r="C488" s="243" t="s">
        <v>343</v>
      </c>
      <c r="D488" s="5" t="s">
        <v>36</v>
      </c>
      <c r="E488" s="1"/>
      <c r="F488" s="244">
        <f>I57</f>
        <v>433105.68000000017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</row>
    <row r="489" spans="1:35" ht="13.5" customHeight="1">
      <c r="A489" s="4"/>
      <c r="B489" s="202"/>
      <c r="C489" s="243"/>
      <c r="D489" s="1"/>
      <c r="E489" s="1"/>
      <c r="F489" s="24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</row>
    <row r="490" spans="1:35" ht="13.5" customHeight="1">
      <c r="A490" s="4"/>
      <c r="B490" s="202">
        <v>5</v>
      </c>
      <c r="C490" s="243" t="s">
        <v>344</v>
      </c>
      <c r="D490" s="5" t="s">
        <v>345</v>
      </c>
      <c r="E490" s="1"/>
      <c r="F490" s="248">
        <f>F486-F488</f>
        <v>17084.8535999998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</row>
    <row r="491" spans="1:35" ht="13.5" customHeight="1">
      <c r="A491" s="4"/>
      <c r="B491" s="202"/>
      <c r="C491" s="243"/>
      <c r="D491" s="1"/>
      <c r="E491" s="1"/>
      <c r="F491" s="24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</row>
    <row r="492" spans="1:35" ht="13.5" customHeight="1">
      <c r="A492" s="4"/>
      <c r="B492" s="202">
        <v>4</v>
      </c>
      <c r="C492" s="243" t="s">
        <v>346</v>
      </c>
      <c r="D492" s="5" t="s">
        <v>36</v>
      </c>
      <c r="E492" s="1"/>
      <c r="F492" s="249">
        <f>IF(H492=1,+G404,+G408)</f>
        <v>0.6211985999999999</v>
      </c>
      <c r="G492" s="4"/>
      <c r="H492" s="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</row>
    <row r="493" spans="1:35" ht="13.5" customHeight="1">
      <c r="A493" s="4"/>
      <c r="B493" s="202"/>
      <c r="C493" s="243"/>
      <c r="D493" s="1"/>
      <c r="E493" s="1"/>
      <c r="F493" s="246"/>
      <c r="G493" s="4"/>
      <c r="H493" s="36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</row>
    <row r="494" spans="1:35" ht="13.5" customHeight="1">
      <c r="A494" s="4"/>
      <c r="B494" s="202">
        <v>5</v>
      </c>
      <c r="C494" s="243" t="s">
        <v>347</v>
      </c>
      <c r="D494" s="1"/>
      <c r="E494" s="1"/>
      <c r="F494" s="250">
        <f>F490/F492</f>
        <v>27503.04588580818</v>
      </c>
      <c r="G494" s="4"/>
      <c r="H494" s="1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</row>
    <row r="495" spans="1:35" ht="13.5" customHeight="1">
      <c r="A495" s="4"/>
      <c r="B495" s="202"/>
      <c r="C495" s="243"/>
      <c r="D495" s="1"/>
      <c r="E495" s="1"/>
      <c r="F495" s="24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</row>
    <row r="496" spans="1:35" ht="13.5" customHeight="1">
      <c r="A496" s="4"/>
      <c r="B496" s="82"/>
      <c r="C496" s="251"/>
      <c r="D496" s="88"/>
      <c r="E496" s="88"/>
      <c r="F496" s="252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</row>
    <row r="497" spans="1:35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1" t="s">
        <v>353</v>
      </c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</row>
    <row r="498" spans="1:35" ht="21.75" customHeight="1">
      <c r="A498" s="49"/>
      <c r="B498" s="253"/>
      <c r="C498" s="254" t="str">
        <f>B352</f>
        <v>RAINIER VIEW WATER CO., INC.</v>
      </c>
      <c r="D498" s="255"/>
      <c r="E498" s="255"/>
      <c r="F498" s="256"/>
      <c r="G498" s="254" t="str">
        <f>G353</f>
        <v>Docket No. UW-010877</v>
      </c>
      <c r="H498" s="257"/>
      <c r="I498" s="76"/>
      <c r="J498" s="49"/>
      <c r="K498" s="49"/>
      <c r="L498" s="258" t="s">
        <v>354</v>
      </c>
      <c r="M498" s="259"/>
      <c r="N498" s="259"/>
      <c r="O498" s="259"/>
      <c r="P498" s="260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</row>
    <row r="499" spans="1:35" ht="13.5" customHeight="1">
      <c r="A499" s="49" t="s">
        <v>356</v>
      </c>
      <c r="B499" s="76"/>
      <c r="C499" s="199" t="s">
        <v>357</v>
      </c>
      <c r="D499" s="49"/>
      <c r="E499" s="49"/>
      <c r="F499" s="49"/>
      <c r="G499" s="199" t="s">
        <v>252</v>
      </c>
      <c r="H499" s="50"/>
      <c r="I499" s="76"/>
      <c r="J499" s="49"/>
      <c r="K499" s="49"/>
      <c r="L499" s="229"/>
      <c r="M499" s="4"/>
      <c r="N499" s="49"/>
      <c r="O499" s="49"/>
      <c r="P499" s="261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</row>
    <row r="500" spans="1:35" ht="13.5" customHeight="1">
      <c r="A500" s="49"/>
      <c r="B500" s="76"/>
      <c r="C500" s="199" t="str">
        <f>B354</f>
        <v>FOR THE 12 MONTHS ENDED DECEMBER 31, 2000</v>
      </c>
      <c r="D500" s="49"/>
      <c r="E500" s="49"/>
      <c r="F500" s="49"/>
      <c r="G500" s="199"/>
      <c r="H500" s="50"/>
      <c r="I500" s="76"/>
      <c r="J500" s="49"/>
      <c r="K500" s="49"/>
      <c r="L500" s="229" t="s">
        <v>358</v>
      </c>
      <c r="M500" s="4"/>
      <c r="N500" s="60">
        <f>G408</f>
        <v>0.6211985999999999</v>
      </c>
      <c r="O500" s="49"/>
      <c r="P500" s="261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</row>
    <row r="501" spans="1:35" ht="13.5" customHeight="1">
      <c r="A501" s="49"/>
      <c r="B501" s="76"/>
      <c r="C501" s="262"/>
      <c r="D501" s="49"/>
      <c r="E501" s="49"/>
      <c r="F501" s="49"/>
      <c r="G501" s="49"/>
      <c r="H501" s="50"/>
      <c r="I501" s="76"/>
      <c r="J501" s="49"/>
      <c r="K501" s="49"/>
      <c r="L501" s="229"/>
      <c r="M501" s="4"/>
      <c r="N501" s="60"/>
      <c r="O501" s="49"/>
      <c r="P501" s="261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</row>
    <row r="502" spans="1:35" ht="13.5" customHeight="1">
      <c r="A502" s="49"/>
      <c r="B502" s="76"/>
      <c r="C502" s="199" t="str">
        <f>IF(E372&lt;&gt;0,+"(WITH FEDERAL INCOME TAXES IMPUTED)",+" (WITHOUT FEDERAL INCOME TAXES IMPUTED)")</f>
        <v>(WITH FEDERAL INCOME TAXES IMPUTED)</v>
      </c>
      <c r="D502" s="49"/>
      <c r="E502" s="49"/>
      <c r="F502" s="263" t="s">
        <v>12</v>
      </c>
      <c r="G502" s="49"/>
      <c r="H502" s="264" t="s">
        <v>359</v>
      </c>
      <c r="I502" s="76"/>
      <c r="J502" s="49"/>
      <c r="K502" s="49"/>
      <c r="L502" s="229"/>
      <c r="M502" s="4"/>
      <c r="N502" s="49"/>
      <c r="O502" s="49"/>
      <c r="P502" s="261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</row>
    <row r="503" spans="1:35" ht="13.5" customHeight="1">
      <c r="A503" s="49"/>
      <c r="B503" s="265"/>
      <c r="C503" s="199"/>
      <c r="D503" s="263" t="s">
        <v>360</v>
      </c>
      <c r="E503" s="199"/>
      <c r="F503" s="263" t="s">
        <v>361</v>
      </c>
      <c r="G503" s="263" t="s">
        <v>194</v>
      </c>
      <c r="H503" s="264" t="s">
        <v>194</v>
      </c>
      <c r="I503" s="76"/>
      <c r="J503" s="49"/>
      <c r="K503" s="49"/>
      <c r="L503" s="266" t="s">
        <v>362</v>
      </c>
      <c r="M503" s="4"/>
      <c r="N503" s="47">
        <f>H430</f>
        <v>0.0862001164117975</v>
      </c>
      <c r="O503" s="47">
        <f>K69</f>
        <v>0.08619999999999994</v>
      </c>
      <c r="P503" s="261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</row>
    <row r="504" spans="1:35" ht="13.5" customHeight="1">
      <c r="A504" s="49"/>
      <c r="B504" s="265" t="s">
        <v>14</v>
      </c>
      <c r="C504" s="199"/>
      <c r="D504" s="263" t="s">
        <v>363</v>
      </c>
      <c r="E504" s="263" t="s">
        <v>194</v>
      </c>
      <c r="F504" s="263" t="s">
        <v>24</v>
      </c>
      <c r="G504" s="263" t="s">
        <v>364</v>
      </c>
      <c r="H504" s="264" t="s">
        <v>364</v>
      </c>
      <c r="I504" s="76"/>
      <c r="J504" s="49"/>
      <c r="K504" s="49"/>
      <c r="L504" s="229"/>
      <c r="M504" s="4"/>
      <c r="N504" s="49"/>
      <c r="O504" s="49"/>
      <c r="P504" s="261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</row>
    <row r="505" spans="1:35" ht="13.5" customHeight="1">
      <c r="A505" s="49"/>
      <c r="B505" s="265" t="s">
        <v>18</v>
      </c>
      <c r="C505" s="263" t="s">
        <v>19</v>
      </c>
      <c r="D505" s="263" t="s">
        <v>365</v>
      </c>
      <c r="E505" s="263" t="s">
        <v>366</v>
      </c>
      <c r="F505" s="131" t="str">
        <f>"      At  "&amp;FIXED(+N503*100,2)&amp;"%"</f>
        <v>      At  8.62%</v>
      </c>
      <c r="G505" s="263" t="s">
        <v>367</v>
      </c>
      <c r="H505" s="264" t="s">
        <v>367</v>
      </c>
      <c r="I505" s="76"/>
      <c r="J505" s="49"/>
      <c r="K505" s="49"/>
      <c r="L505" s="229"/>
      <c r="M505" s="4"/>
      <c r="N505" s="49"/>
      <c r="O505" s="49"/>
      <c r="P505" s="261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</row>
    <row r="506" spans="1:35" ht="13.5" customHeight="1">
      <c r="A506" s="49"/>
      <c r="B506" s="267"/>
      <c r="C506" s="268" t="s">
        <v>25</v>
      </c>
      <c r="D506" s="269" t="s">
        <v>26</v>
      </c>
      <c r="E506" s="270" t="s">
        <v>27</v>
      </c>
      <c r="F506" s="271" t="s">
        <v>28</v>
      </c>
      <c r="G506" s="270" t="s">
        <v>29</v>
      </c>
      <c r="H506" s="272" t="s">
        <v>30</v>
      </c>
      <c r="I506" s="76"/>
      <c r="J506" s="49"/>
      <c r="K506" s="49"/>
      <c r="L506" s="229"/>
      <c r="M506" s="4"/>
      <c r="N506" s="49"/>
      <c r="O506" s="49"/>
      <c r="P506" s="261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</row>
    <row r="507" spans="1:35" ht="13.5" customHeight="1">
      <c r="A507" s="49"/>
      <c r="B507" s="273"/>
      <c r="C507" s="49"/>
      <c r="D507" s="76"/>
      <c r="E507" s="222"/>
      <c r="F507" s="229"/>
      <c r="G507" s="229"/>
      <c r="H507" s="274"/>
      <c r="I507" s="76"/>
      <c r="J507" s="49"/>
      <c r="K507" s="49"/>
      <c r="L507" s="258"/>
      <c r="M507" s="259"/>
      <c r="N507" s="275" t="s">
        <v>368</v>
      </c>
      <c r="O507" s="275"/>
      <c r="P507" s="260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</row>
    <row r="508" spans="1:35" ht="13.5" customHeight="1">
      <c r="A508" s="276" t="s">
        <v>369</v>
      </c>
      <c r="B508" s="273">
        <v>1</v>
      </c>
      <c r="C508" s="199" t="s">
        <v>370</v>
      </c>
      <c r="D508" s="277">
        <f>E57</f>
        <v>597970.96</v>
      </c>
      <c r="E508" s="278">
        <f>E67</f>
        <v>5064468</v>
      </c>
      <c r="F508" s="279"/>
      <c r="G508" s="280">
        <f>D508/+E508</f>
        <v>0.11807182116660624</v>
      </c>
      <c r="H508" s="281"/>
      <c r="I508" s="76"/>
      <c r="J508" s="49"/>
      <c r="K508" s="49"/>
      <c r="L508" s="229"/>
      <c r="M508" s="4"/>
      <c r="N508" s="128" t="s">
        <v>371</v>
      </c>
      <c r="O508" s="128" t="s">
        <v>372</v>
      </c>
      <c r="P508" s="261"/>
      <c r="Q508" s="4"/>
      <c r="R508" s="4"/>
      <c r="S508" s="15" t="s">
        <v>373</v>
      </c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</row>
    <row r="509" spans="1:35" ht="13.5" customHeight="1">
      <c r="A509" s="49" t="s">
        <v>374</v>
      </c>
      <c r="B509" s="273"/>
      <c r="C509" s="49"/>
      <c r="D509" s="282"/>
      <c r="E509" s="283"/>
      <c r="F509" s="258"/>
      <c r="G509" s="258"/>
      <c r="H509" s="284"/>
      <c r="I509" s="76"/>
      <c r="J509" s="49"/>
      <c r="K509" s="49"/>
      <c r="L509" s="266" t="s">
        <v>375</v>
      </c>
      <c r="M509" s="4"/>
      <c r="N509" s="128" t="s">
        <v>376</v>
      </c>
      <c r="O509" s="128" t="s">
        <v>377</v>
      </c>
      <c r="P509" s="261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</row>
    <row r="510" spans="1:35" ht="13.5" customHeight="1">
      <c r="A510" s="49"/>
      <c r="B510" s="273"/>
      <c r="C510" s="285" t="s">
        <v>378</v>
      </c>
      <c r="D510" s="76"/>
      <c r="E510" s="222"/>
      <c r="F510" s="229"/>
      <c r="G510" s="229"/>
      <c r="H510" s="274"/>
      <c r="I510" s="76"/>
      <c r="J510" s="49"/>
      <c r="K510" s="49"/>
      <c r="L510" s="258"/>
      <c r="M510" s="286"/>
      <c r="N510" s="287"/>
      <c r="O510" s="259"/>
      <c r="P510" s="260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</row>
    <row r="511" spans="1:35" ht="13.5" customHeight="1">
      <c r="A511" s="288" t="s">
        <v>667</v>
      </c>
      <c r="B511" s="273">
        <f>B508+1</f>
        <v>2</v>
      </c>
      <c r="C511" s="49" t="str">
        <f aca="true" t="shared" si="76" ref="C511:C526">" "&amp;TRIM(+A511)&amp;+" "&amp;TRIM(S511)</f>
        <v> S-RA-01 Restate Surcharge Revenues</v>
      </c>
      <c r="D511" s="76">
        <f>F172</f>
        <v>-119219.75999999998</v>
      </c>
      <c r="E511" s="222">
        <f>F182</f>
        <v>0</v>
      </c>
      <c r="F511" s="229"/>
      <c r="G511" s="229"/>
      <c r="H511" s="245">
        <f aca="true" t="shared" si="77" ref="H511:H526">O511</f>
        <v>-0.023053568782976198</v>
      </c>
      <c r="I511" s="76"/>
      <c r="J511" s="49"/>
      <c r="K511" s="49"/>
      <c r="L511" s="172">
        <f aca="true" t="shared" si="78" ref="L511:L526">(+D511+$D$508)/(E511+$E$508)-$G$508</f>
        <v>-0.023540431097599984</v>
      </c>
      <c r="M511" s="4"/>
      <c r="N511" s="47">
        <f aca="true" t="shared" si="79" ref="N511:N526">L511/$L$545</f>
        <v>0.6559906788862925</v>
      </c>
      <c r="O511" s="47">
        <f aca="true" t="shared" si="80" ref="O511:O526">$O$545*N511</f>
        <v>-0.023053568782976198</v>
      </c>
      <c r="P511" s="261"/>
      <c r="Q511" s="4"/>
      <c r="R511" s="4"/>
      <c r="S511" s="49" t="s">
        <v>380</v>
      </c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</row>
    <row r="512" spans="1:35" ht="13.5" customHeight="1">
      <c r="A512" s="288" t="s">
        <v>668</v>
      </c>
      <c r="B512" s="273">
        <f aca="true" t="shared" si="81" ref="B512:B526">B511+1</f>
        <v>3</v>
      </c>
      <c r="C512" s="49" t="str">
        <f t="shared" si="76"/>
        <v> S-RA-02 Ready-To-Serve Revenues</v>
      </c>
      <c r="D512" s="76">
        <f>G172</f>
        <v>98095.13999999998</v>
      </c>
      <c r="E512" s="222">
        <f>G182</f>
        <v>0</v>
      </c>
      <c r="F512" s="229"/>
      <c r="G512" s="229"/>
      <c r="H512" s="245">
        <f t="shared" si="77"/>
        <v>0.018968693254085397</v>
      </c>
      <c r="I512" s="76"/>
      <c r="J512" s="49"/>
      <c r="K512" s="49"/>
      <c r="L512" s="172">
        <f t="shared" si="78"/>
        <v>0.019369288146356148</v>
      </c>
      <c r="M512" s="4"/>
      <c r="N512" s="47">
        <f t="shared" si="79"/>
        <v>-0.5397553013363382</v>
      </c>
      <c r="O512" s="47">
        <f t="shared" si="80"/>
        <v>0.018968693254085397</v>
      </c>
      <c r="P512" s="261"/>
      <c r="Q512" s="4"/>
      <c r="R512" s="4"/>
      <c r="S512" s="49" t="s">
        <v>669</v>
      </c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</row>
    <row r="513" spans="1:35" ht="13.5" customHeight="1">
      <c r="A513" s="288" t="s">
        <v>670</v>
      </c>
      <c r="B513" s="273">
        <f t="shared" si="81"/>
        <v>4</v>
      </c>
      <c r="C513" s="49" t="str">
        <f t="shared" si="76"/>
        <v> S-RA-03 CoBank Refund</v>
      </c>
      <c r="D513" s="76">
        <f>H172</f>
        <v>4427.279999999999</v>
      </c>
      <c r="E513" s="222">
        <f>H182</f>
        <v>0</v>
      </c>
      <c r="F513" s="229"/>
      <c r="G513" s="229"/>
      <c r="H513" s="245">
        <f t="shared" si="77"/>
        <v>0.0008561047598275357</v>
      </c>
      <c r="I513" s="76"/>
      <c r="J513" s="49"/>
      <c r="K513" s="49"/>
      <c r="L513" s="172">
        <f t="shared" si="78"/>
        <v>0.0008741846132703512</v>
      </c>
      <c r="M513" s="4"/>
      <c r="N513" s="47">
        <f t="shared" si="79"/>
        <v>-0.024360512156875257</v>
      </c>
      <c r="O513" s="47">
        <f t="shared" si="80"/>
        <v>0.0008561047598275357</v>
      </c>
      <c r="P513" s="261"/>
      <c r="Q513" s="4"/>
      <c r="R513" s="4"/>
      <c r="S513" s="49" t="s">
        <v>671</v>
      </c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</row>
    <row r="514" spans="1:35" ht="13.5" customHeight="1">
      <c r="A514" s="288" t="s">
        <v>672</v>
      </c>
      <c r="B514" s="273">
        <f t="shared" si="81"/>
        <v>5</v>
      </c>
      <c r="C514" s="49" t="str">
        <f t="shared" si="76"/>
        <v> S-RA-04 Salaries &amp; Wages</v>
      </c>
      <c r="D514" s="76">
        <f>I172</f>
        <v>21166.199999999997</v>
      </c>
      <c r="E514" s="222">
        <f>I182</f>
        <v>0</v>
      </c>
      <c r="F514" s="229"/>
      <c r="G514" s="229"/>
      <c r="H514" s="245">
        <f t="shared" si="77"/>
        <v>0.004092915868763951</v>
      </c>
      <c r="I514" s="76"/>
      <c r="J514" s="49"/>
      <c r="K514" s="49"/>
      <c r="L514" s="172">
        <f t="shared" si="78"/>
        <v>0.004179353092960594</v>
      </c>
      <c r="M514" s="4"/>
      <c r="N514" s="47">
        <f t="shared" si="79"/>
        <v>-0.1164641659020536</v>
      </c>
      <c r="O514" s="47">
        <f t="shared" si="80"/>
        <v>0.004092915868763951</v>
      </c>
      <c r="P514" s="261"/>
      <c r="Q514" s="4"/>
      <c r="R514" s="4"/>
      <c r="S514" s="128" t="s">
        <v>673</v>
      </c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</row>
    <row r="515" spans="1:35" ht="13.5" customHeight="1">
      <c r="A515" s="288" t="s">
        <v>674</v>
      </c>
      <c r="B515" s="273">
        <f t="shared" si="81"/>
        <v>6</v>
      </c>
      <c r="C515" s="49" t="str">
        <f t="shared" si="76"/>
        <v> S-RA-05 Legal Adjustment</v>
      </c>
      <c r="D515" s="76">
        <f>J172</f>
        <v>1028.2799999999997</v>
      </c>
      <c r="E515" s="222">
        <f>J182</f>
        <v>0</v>
      </c>
      <c r="F515" s="229"/>
      <c r="G515" s="229"/>
      <c r="H515" s="245">
        <f t="shared" si="77"/>
        <v>0.0001988388813075973</v>
      </c>
      <c r="I515" s="76"/>
      <c r="J515" s="49"/>
      <c r="K515" s="49"/>
      <c r="L515" s="172">
        <f t="shared" si="78"/>
        <v>0.00020303810785260445</v>
      </c>
      <c r="M515" s="4"/>
      <c r="N515" s="47">
        <f t="shared" si="79"/>
        <v>-0.005657972263031219</v>
      </c>
      <c r="O515" s="47">
        <f t="shared" si="80"/>
        <v>0.0001988388813075973</v>
      </c>
      <c r="P515" s="261"/>
      <c r="Q515" s="4"/>
      <c r="R515" s="4"/>
      <c r="S515" s="128" t="s">
        <v>675</v>
      </c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</row>
    <row r="516" spans="1:35" ht="13.5" customHeight="1">
      <c r="A516" s="288" t="s">
        <v>676</v>
      </c>
      <c r="B516" s="273">
        <f t="shared" si="81"/>
        <v>7</v>
      </c>
      <c r="C516" s="49" t="str">
        <f t="shared" si="76"/>
        <v> S-RA-06 Building Rent</v>
      </c>
      <c r="D516" s="76">
        <f>K172</f>
        <v>0</v>
      </c>
      <c r="E516" s="222">
        <f>K182</f>
        <v>0</v>
      </c>
      <c r="F516" s="229"/>
      <c r="G516" s="229"/>
      <c r="H516" s="245">
        <f t="shared" si="77"/>
        <v>0</v>
      </c>
      <c r="I516" s="76"/>
      <c r="J516" s="49"/>
      <c r="K516" s="49"/>
      <c r="L516" s="172">
        <f t="shared" si="78"/>
        <v>0</v>
      </c>
      <c r="M516" s="4"/>
      <c r="N516" s="47">
        <f t="shared" si="79"/>
        <v>0</v>
      </c>
      <c r="O516" s="47">
        <f t="shared" si="80"/>
        <v>0</v>
      </c>
      <c r="P516" s="261"/>
      <c r="Q516" s="4"/>
      <c r="R516" s="4"/>
      <c r="S516" s="128" t="s">
        <v>677</v>
      </c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</row>
    <row r="517" spans="1:35" ht="13.5" customHeight="1">
      <c r="A517" s="288" t="s">
        <v>678</v>
      </c>
      <c r="B517" s="273">
        <f t="shared" si="81"/>
        <v>8</v>
      </c>
      <c r="C517" s="49" t="str">
        <f t="shared" si="76"/>
        <v> S-RA-07 Vehicle Insurance</v>
      </c>
      <c r="D517" s="76">
        <f>L172</f>
        <v>375.53999999999996</v>
      </c>
      <c r="E517" s="222">
        <f>L182</f>
        <v>0</v>
      </c>
      <c r="F517" s="229"/>
      <c r="G517" s="229"/>
      <c r="H517" s="245">
        <f t="shared" si="77"/>
        <v>7.261830774328168E-05</v>
      </c>
      <c r="I517" s="76"/>
      <c r="J517" s="49"/>
      <c r="K517" s="49"/>
      <c r="L517" s="172">
        <f t="shared" si="78"/>
        <v>7.415191487043782E-05</v>
      </c>
      <c r="M517" s="4"/>
      <c r="N517" s="47">
        <f t="shared" si="79"/>
        <v>-0.002066358291184241</v>
      </c>
      <c r="O517" s="47">
        <f t="shared" si="80"/>
        <v>7.261830774328168E-05</v>
      </c>
      <c r="P517" s="261"/>
      <c r="Q517" s="4"/>
      <c r="R517" s="4"/>
      <c r="S517" s="128" t="s">
        <v>679</v>
      </c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</row>
    <row r="518" spans="1:35" ht="13.5" customHeight="1">
      <c r="A518" s="288" t="s">
        <v>680</v>
      </c>
      <c r="B518" s="273">
        <f t="shared" si="81"/>
        <v>9</v>
      </c>
      <c r="C518" s="49" t="str">
        <f t="shared" si="76"/>
        <v> S-RA-08 Regulatory Commission Expense</v>
      </c>
      <c r="D518" s="76">
        <f>M172</f>
        <v>-605.8799999999999</v>
      </c>
      <c r="E518" s="222">
        <f>M182</f>
        <v>0</v>
      </c>
      <c r="F518" s="229"/>
      <c r="G518" s="229"/>
      <c r="H518" s="245">
        <f t="shared" si="77"/>
        <v>-0.00011715923815170561</v>
      </c>
      <c r="I518" s="76"/>
      <c r="J518" s="49"/>
      <c r="K518" s="49"/>
      <c r="L518" s="172">
        <f t="shared" si="78"/>
        <v>-0.00011963349358708186</v>
      </c>
      <c r="M518" s="4"/>
      <c r="N518" s="47">
        <f t="shared" si="79"/>
        <v>0.003333773130591897</v>
      </c>
      <c r="O518" s="47">
        <f t="shared" si="80"/>
        <v>-0.00011715923815170561</v>
      </c>
      <c r="P518" s="261"/>
      <c r="Q518" s="4"/>
      <c r="R518" s="4"/>
      <c r="S518" s="128" t="s">
        <v>681</v>
      </c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</row>
    <row r="519" spans="1:35" ht="13.5" customHeight="1">
      <c r="A519" s="288" t="s">
        <v>682</v>
      </c>
      <c r="B519" s="273">
        <f t="shared" si="81"/>
        <v>10</v>
      </c>
      <c r="C519" s="49" t="str">
        <f t="shared" si="76"/>
        <v> S-RA-09 Depreciation Adjustment</v>
      </c>
      <c r="D519" s="76">
        <f>N172</f>
        <v>76075.56</v>
      </c>
      <c r="E519" s="222">
        <f>N182</f>
        <v>0</v>
      </c>
      <c r="F519" s="229"/>
      <c r="G519" s="229"/>
      <c r="H519" s="245">
        <f t="shared" si="77"/>
        <v>0.014710758981258093</v>
      </c>
      <c r="I519" s="76"/>
      <c r="J519" s="49"/>
      <c r="K519" s="49"/>
      <c r="L519" s="172">
        <f t="shared" si="78"/>
        <v>0.015021431668637272</v>
      </c>
      <c r="M519" s="4"/>
      <c r="N519" s="47">
        <f t="shared" si="79"/>
        <v>-0.4185955268745292</v>
      </c>
      <c r="O519" s="47">
        <f t="shared" si="80"/>
        <v>0.014710758981258093</v>
      </c>
      <c r="P519" s="261"/>
      <c r="Q519" s="4"/>
      <c r="R519" s="4"/>
      <c r="S519" s="128" t="s">
        <v>683</v>
      </c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</row>
    <row r="520" spans="1:35" ht="13.5" customHeight="1">
      <c r="A520" s="288" t="s">
        <v>684</v>
      </c>
      <c r="B520" s="273">
        <f t="shared" si="81"/>
        <v>11</v>
      </c>
      <c r="C520" s="49" t="str">
        <f t="shared" si="76"/>
        <v> S-RA-10 CIAC Adjustment</v>
      </c>
      <c r="D520" s="76">
        <f>O172</f>
        <v>0</v>
      </c>
      <c r="E520" s="222">
        <f>O182</f>
        <v>0</v>
      </c>
      <c r="F520" s="229"/>
      <c r="G520" s="229"/>
      <c r="H520" s="245">
        <f t="shared" si="77"/>
        <v>0</v>
      </c>
      <c r="I520" s="76"/>
      <c r="J520" s="49"/>
      <c r="K520" s="49"/>
      <c r="L520" s="172">
        <f t="shared" si="78"/>
        <v>0</v>
      </c>
      <c r="M520" s="4"/>
      <c r="N520" s="47">
        <f t="shared" si="79"/>
        <v>0</v>
      </c>
      <c r="O520" s="47">
        <f t="shared" si="80"/>
        <v>0</v>
      </c>
      <c r="P520" s="261"/>
      <c r="Q520" s="4"/>
      <c r="R520" s="4"/>
      <c r="S520" s="128" t="s">
        <v>685</v>
      </c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</row>
    <row r="521" spans="1:35" ht="13.5" customHeight="1">
      <c r="A521" s="288" t="s">
        <v>686</v>
      </c>
      <c r="B521" s="273">
        <f t="shared" si="81"/>
        <v>12</v>
      </c>
      <c r="C521" s="49" t="str">
        <f t="shared" si="76"/>
        <v> S-RA-11 Excise Tax Adjustment</v>
      </c>
      <c r="D521" s="76">
        <f>P172</f>
        <v>0</v>
      </c>
      <c r="E521" s="222">
        <f>P182</f>
        <v>0</v>
      </c>
      <c r="F521" s="229"/>
      <c r="G521" s="229"/>
      <c r="H521" s="245">
        <f t="shared" si="77"/>
        <v>0</v>
      </c>
      <c r="I521" s="76"/>
      <c r="J521" s="49"/>
      <c r="K521" s="49"/>
      <c r="L521" s="172">
        <f t="shared" si="78"/>
        <v>0</v>
      </c>
      <c r="M521" s="4"/>
      <c r="N521" s="47">
        <f t="shared" si="79"/>
        <v>0</v>
      </c>
      <c r="O521" s="47">
        <f t="shared" si="80"/>
        <v>0</v>
      </c>
      <c r="P521" s="261"/>
      <c r="Q521" s="4"/>
      <c r="R521" s="4"/>
      <c r="S521" s="128" t="s">
        <v>687</v>
      </c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</row>
    <row r="522" spans="1:35" ht="13.5" customHeight="1">
      <c r="A522" s="288" t="s">
        <v>688</v>
      </c>
      <c r="B522" s="273">
        <f t="shared" si="81"/>
        <v>13</v>
      </c>
      <c r="C522" s="49" t="str">
        <f t="shared" si="76"/>
        <v> S-RA-12 Interest Income Adjustment</v>
      </c>
      <c r="D522" s="76">
        <f>Q172</f>
        <v>24511.960000000006</v>
      </c>
      <c r="E522" s="222">
        <f>Q182</f>
        <v>0</v>
      </c>
      <c r="F522" s="229"/>
      <c r="G522" s="229"/>
      <c r="H522" s="245">
        <f t="shared" si="77"/>
        <v>0.004739886708927784</v>
      </c>
      <c r="I522" s="76"/>
      <c r="J522" s="49"/>
      <c r="K522" s="49"/>
      <c r="L522" s="172">
        <f t="shared" si="78"/>
        <v>0.0048399871417886264</v>
      </c>
      <c r="M522" s="4"/>
      <c r="N522" s="47">
        <f t="shared" si="79"/>
        <v>-0.13487375986357983</v>
      </c>
      <c r="O522" s="47">
        <f t="shared" si="80"/>
        <v>0.004739886708927784</v>
      </c>
      <c r="P522" s="261"/>
      <c r="Q522" s="4"/>
      <c r="R522" s="4"/>
      <c r="S522" s="128" t="s">
        <v>689</v>
      </c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</row>
    <row r="523" spans="1:35" ht="13.5" customHeight="1">
      <c r="A523" s="288" t="s">
        <v>690</v>
      </c>
      <c r="B523" s="273">
        <f t="shared" si="81"/>
        <v>14</v>
      </c>
      <c r="C523" s="49" t="str">
        <f t="shared" si="76"/>
        <v> S-RA-13 Income Tax Adjustment</v>
      </c>
      <c r="D523" s="76">
        <f>R172</f>
        <v>0</v>
      </c>
      <c r="E523" s="222">
        <f>R182</f>
        <v>0</v>
      </c>
      <c r="F523" s="229"/>
      <c r="G523" s="229"/>
      <c r="H523" s="245">
        <f t="shared" si="77"/>
        <v>0</v>
      </c>
      <c r="I523" s="76"/>
      <c r="J523" s="49"/>
      <c r="K523" s="49"/>
      <c r="L523" s="172">
        <f t="shared" si="78"/>
        <v>0</v>
      </c>
      <c r="M523" s="4"/>
      <c r="N523" s="47">
        <f t="shared" si="79"/>
        <v>0</v>
      </c>
      <c r="O523" s="47">
        <f t="shared" si="80"/>
        <v>0</v>
      </c>
      <c r="P523" s="261"/>
      <c r="Q523" s="4"/>
      <c r="R523" s="4"/>
      <c r="S523" s="128" t="s">
        <v>691</v>
      </c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</row>
    <row r="524" spans="1:35" ht="13.5" customHeight="1">
      <c r="A524" s="288" t="s">
        <v>692</v>
      </c>
      <c r="B524" s="273">
        <f t="shared" si="81"/>
        <v>15</v>
      </c>
      <c r="C524" s="49" t="str">
        <f t="shared" si="76"/>
        <v> S-RA-14 Adjust to Average Rate Base</v>
      </c>
      <c r="D524" s="76">
        <f>S172</f>
        <v>0</v>
      </c>
      <c r="E524" s="222">
        <f>S182</f>
        <v>-124202</v>
      </c>
      <c r="F524" s="229"/>
      <c r="G524" s="229"/>
      <c r="H524" s="245">
        <f t="shared" si="77"/>
        <v>0.0029070216848856504</v>
      </c>
      <c r="I524" s="76"/>
      <c r="J524" s="49"/>
      <c r="K524" s="49"/>
      <c r="L524" s="172">
        <f t="shared" si="78"/>
        <v>0.002968414318689494</v>
      </c>
      <c r="M524" s="4"/>
      <c r="N524" s="47">
        <f t="shared" si="79"/>
        <v>-0.0827194759543482</v>
      </c>
      <c r="O524" s="47">
        <f t="shared" si="80"/>
        <v>0.0029070216848856504</v>
      </c>
      <c r="P524" s="261"/>
      <c r="Q524" s="4"/>
      <c r="R524" s="4"/>
      <c r="S524" s="128" t="s">
        <v>693</v>
      </c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</row>
    <row r="525" spans="1:35" ht="13.5" customHeight="1">
      <c r="A525" s="288" t="s">
        <v>694</v>
      </c>
      <c r="B525" s="273">
        <f t="shared" si="81"/>
        <v>16</v>
      </c>
      <c r="C525" s="49" t="str">
        <f t="shared" si="76"/>
        <v> S-RA-15 Adjust to Average CIAC</v>
      </c>
      <c r="D525" s="76">
        <f>T172</f>
        <v>0</v>
      </c>
      <c r="E525" s="222">
        <f>T182</f>
        <v>24320</v>
      </c>
      <c r="F525" s="229"/>
      <c r="G525" s="229"/>
      <c r="H525" s="245">
        <f t="shared" si="77"/>
        <v>-0.0005526106210163358</v>
      </c>
      <c r="I525" s="76"/>
      <c r="J525" s="49"/>
      <c r="K525" s="49"/>
      <c r="L525" s="172">
        <f t="shared" si="78"/>
        <v>-0.000564281060789304</v>
      </c>
      <c r="M525" s="4"/>
      <c r="N525" s="47">
        <f t="shared" si="79"/>
        <v>0.015724568280637476</v>
      </c>
      <c r="O525" s="47">
        <f t="shared" si="80"/>
        <v>-0.0005526106210163358</v>
      </c>
      <c r="P525" s="261"/>
      <c r="Q525" s="4"/>
      <c r="R525" s="4"/>
      <c r="S525" s="128" t="s">
        <v>695</v>
      </c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</row>
    <row r="526" spans="1:35" ht="13.5" customHeight="1">
      <c r="A526" s="288" t="s">
        <v>696</v>
      </c>
      <c r="B526" s="273">
        <f t="shared" si="81"/>
        <v>17</v>
      </c>
      <c r="C526" s="49" t="str">
        <f t="shared" si="76"/>
        <v> S-RA-16 Working Capital Allowance</v>
      </c>
      <c r="D526" s="76">
        <f>U172</f>
        <v>0</v>
      </c>
      <c r="E526" s="222">
        <f>U182</f>
        <v>240945</v>
      </c>
      <c r="F526" s="229"/>
      <c r="G526" s="229"/>
      <c r="H526" s="245">
        <f t="shared" si="77"/>
        <v>-0.005251323059161413</v>
      </c>
      <c r="I526" s="76"/>
      <c r="J526" s="49"/>
      <c r="K526" s="49"/>
      <c r="L526" s="172">
        <f t="shared" si="78"/>
        <v>-0.005362224383094763</v>
      </c>
      <c r="M526" s="4"/>
      <c r="N526" s="47">
        <f t="shared" si="79"/>
        <v>0.14942671180586795</v>
      </c>
      <c r="O526" s="47">
        <f t="shared" si="80"/>
        <v>-0.005251323059161413</v>
      </c>
      <c r="P526" s="261"/>
      <c r="Q526" s="4"/>
      <c r="R526" s="4"/>
      <c r="S526" s="128" t="s">
        <v>410</v>
      </c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</row>
    <row r="527" spans="1:35" ht="13.5" customHeight="1">
      <c r="A527" s="49"/>
      <c r="B527" s="273"/>
      <c r="C527" s="49"/>
      <c r="D527" s="76"/>
      <c r="E527" s="222"/>
      <c r="F527" s="229"/>
      <c r="G527" s="229"/>
      <c r="H527" s="274"/>
      <c r="I527" s="76"/>
      <c r="J527" s="49"/>
      <c r="K527" s="49"/>
      <c r="L527" s="172"/>
      <c r="M527" s="4"/>
      <c r="N527" s="47"/>
      <c r="O527" s="47"/>
      <c r="P527" s="261"/>
      <c r="Q527" s="4"/>
      <c r="R527" s="4"/>
      <c r="S527" s="49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</row>
    <row r="528" spans="1:35" ht="13.5" customHeight="1">
      <c r="A528" s="49"/>
      <c r="B528" s="273">
        <f>B519+1</f>
        <v>11</v>
      </c>
      <c r="C528" s="199" t="s">
        <v>387</v>
      </c>
      <c r="D528" s="277">
        <f>SUM(D511:D527)</f>
        <v>105854.32</v>
      </c>
      <c r="E528" s="278">
        <f>SUM(E511:E527)</f>
        <v>141063</v>
      </c>
      <c r="F528" s="279"/>
      <c r="G528" s="280"/>
      <c r="H528" s="281">
        <f>SUM(H511:H519)</f>
        <v>0.01572920203185795</v>
      </c>
      <c r="I528" s="76"/>
      <c r="J528" s="289" t="s">
        <v>388</v>
      </c>
      <c r="K528" s="290">
        <f>SUM(H511:H519)</f>
        <v>0.01572920203185795</v>
      </c>
      <c r="L528" s="172"/>
      <c r="M528" s="4"/>
      <c r="N528" s="47"/>
      <c r="O528" s="47"/>
      <c r="P528" s="261"/>
      <c r="Q528" s="4"/>
      <c r="R528" s="4"/>
      <c r="S528" s="49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</row>
    <row r="529" spans="1:35" ht="13.5" customHeight="1">
      <c r="A529" s="49"/>
      <c r="B529" s="273"/>
      <c r="C529" s="199"/>
      <c r="D529" s="277"/>
      <c r="E529" s="278"/>
      <c r="F529" s="279"/>
      <c r="G529" s="291"/>
      <c r="H529" s="284"/>
      <c r="I529" s="76"/>
      <c r="J529" s="49"/>
      <c r="K529" s="259"/>
      <c r="L529" s="172"/>
      <c r="M529" s="4"/>
      <c r="N529" s="47"/>
      <c r="O529" s="47"/>
      <c r="P529" s="261"/>
      <c r="Q529" s="4"/>
      <c r="R529" s="4"/>
      <c r="S529" s="19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</row>
    <row r="530" spans="1:35" ht="13.5" customHeight="1">
      <c r="A530" s="49"/>
      <c r="B530" s="273">
        <f>B528+1</f>
        <v>12</v>
      </c>
      <c r="C530" s="199" t="s">
        <v>389</v>
      </c>
      <c r="D530" s="277">
        <f>D508+D528</f>
        <v>703825.28</v>
      </c>
      <c r="E530" s="278">
        <f>E508+E528</f>
        <v>5205531</v>
      </c>
      <c r="F530" s="279"/>
      <c r="G530" s="291">
        <f>D530/+E530</f>
        <v>0.13520720172447345</v>
      </c>
      <c r="H530" s="281"/>
      <c r="I530" s="76"/>
      <c r="J530" s="49"/>
      <c r="K530" s="49"/>
      <c r="L530" s="172"/>
      <c r="M530" s="4"/>
      <c r="N530" s="47"/>
      <c r="O530" s="47"/>
      <c r="P530" s="261"/>
      <c r="Q530" s="4"/>
      <c r="R530" s="4"/>
      <c r="S530" s="199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</row>
    <row r="531" spans="1:35" ht="13.5" customHeight="1">
      <c r="A531" s="49"/>
      <c r="B531" s="273"/>
      <c r="C531" s="199"/>
      <c r="D531" s="292"/>
      <c r="E531" s="293"/>
      <c r="F531" s="279"/>
      <c r="G531" s="291"/>
      <c r="H531" s="284"/>
      <c r="I531" s="76"/>
      <c r="J531" s="49"/>
      <c r="K531" s="49"/>
      <c r="L531" s="172"/>
      <c r="M531" s="4"/>
      <c r="N531" s="47"/>
      <c r="O531" s="47"/>
      <c r="P531" s="261"/>
      <c r="Q531" s="4"/>
      <c r="R531" s="4"/>
      <c r="S531" s="199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</row>
    <row r="532" spans="1:35" ht="13.5" customHeight="1">
      <c r="A532" s="49"/>
      <c r="B532" s="273"/>
      <c r="C532" s="285" t="s">
        <v>390</v>
      </c>
      <c r="D532" s="292"/>
      <c r="E532" s="293"/>
      <c r="F532" s="279"/>
      <c r="G532" s="291"/>
      <c r="H532" s="284"/>
      <c r="I532" s="76"/>
      <c r="J532" s="49"/>
      <c r="K532" s="49"/>
      <c r="L532" s="172"/>
      <c r="M532" s="4"/>
      <c r="N532" s="47"/>
      <c r="O532" s="47"/>
      <c r="P532" s="261"/>
      <c r="Q532" s="4"/>
      <c r="R532" s="4"/>
      <c r="S532" s="199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</row>
    <row r="533" spans="1:35" ht="13.5" customHeight="1">
      <c r="A533" s="288" t="s">
        <v>697</v>
      </c>
      <c r="B533" s="273">
        <f>B530+1</f>
        <v>13</v>
      </c>
      <c r="C533" s="49" t="str">
        <f aca="true" t="shared" si="82" ref="C533:C543">" "&amp;TRIM(+A533)&amp;+" "&amp;TRIM(S533)</f>
        <v> S-PA-01 Salaries</v>
      </c>
      <c r="D533" s="76">
        <f>F289</f>
        <v>-94050.65999999999</v>
      </c>
      <c r="E533" s="222">
        <f>F299</f>
        <v>0</v>
      </c>
      <c r="F533" s="229"/>
      <c r="G533" s="229"/>
      <c r="H533" s="245">
        <f aca="true" t="shared" si="83" ref="H533:H543">O533</f>
        <v>-0.018186610670867874</v>
      </c>
      <c r="I533" s="76"/>
      <c r="J533" s="49"/>
      <c r="K533" s="49"/>
      <c r="L533" s="172">
        <f aca="true" t="shared" si="84" ref="L533:L543">(+D533+$D$508)/(E533+$E$508)-$G$508</f>
        <v>-0.01857068896476391</v>
      </c>
      <c r="M533" s="4"/>
      <c r="N533" s="47">
        <f aca="true" t="shared" si="85" ref="N533:N543">L533/$L$545</f>
        <v>0.5175010946432357</v>
      </c>
      <c r="O533" s="47">
        <f aca="true" t="shared" si="86" ref="O533:O543">$O$545*N533</f>
        <v>-0.018186610670867874</v>
      </c>
      <c r="P533" s="261"/>
      <c r="Q533" s="4"/>
      <c r="R533" s="4"/>
      <c r="S533" s="49" t="s">
        <v>199</v>
      </c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</row>
    <row r="534" spans="1:35" ht="13.5" customHeight="1">
      <c r="A534" s="288" t="s">
        <v>698</v>
      </c>
      <c r="B534" s="273">
        <f aca="true" t="shared" si="87" ref="B534:B543">B533+1</f>
        <v>14</v>
      </c>
      <c r="C534" s="49" t="str">
        <f t="shared" si="82"/>
        <v> S-PA-02 Medical/Dental Increase Adj.</v>
      </c>
      <c r="D534" s="76">
        <f>G289</f>
        <v>-32866.67999999999</v>
      </c>
      <c r="E534" s="222">
        <f>G299</f>
        <v>0</v>
      </c>
      <c r="F534" s="229"/>
      <c r="G534" s="229"/>
      <c r="H534" s="245">
        <f t="shared" si="83"/>
        <v>-0.006355441984181696</v>
      </c>
      <c r="I534" s="76"/>
      <c r="J534" s="49"/>
      <c r="K534" s="49"/>
      <c r="L534" s="172">
        <f t="shared" si="84"/>
        <v>-0.006489660908115105</v>
      </c>
      <c r="M534" s="4"/>
      <c r="N534" s="47">
        <f t="shared" si="85"/>
        <v>0.18084448187060986</v>
      </c>
      <c r="O534" s="47">
        <f t="shared" si="86"/>
        <v>-0.006355441984181696</v>
      </c>
      <c r="P534" s="261"/>
      <c r="Q534" s="4"/>
      <c r="R534" s="4"/>
      <c r="S534" s="49" t="s">
        <v>396</v>
      </c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</row>
    <row r="535" spans="1:35" ht="13.5" customHeight="1">
      <c r="A535" s="288" t="s">
        <v>699</v>
      </c>
      <c r="B535" s="273">
        <f t="shared" si="87"/>
        <v>15</v>
      </c>
      <c r="C535" s="49" t="str">
        <f t="shared" si="82"/>
        <v> S-PA-03 Power Increase</v>
      </c>
      <c r="D535" s="76">
        <f>H289</f>
        <v>-30587.699999999997</v>
      </c>
      <c r="E535" s="222">
        <f>H299</f>
        <v>0</v>
      </c>
      <c r="F535" s="229"/>
      <c r="G535" s="229"/>
      <c r="H535" s="245">
        <f t="shared" si="83"/>
        <v>-0.005914754784467275</v>
      </c>
      <c r="I535" s="76"/>
      <c r="J535" s="49"/>
      <c r="K535" s="49"/>
      <c r="L535" s="172">
        <f t="shared" si="84"/>
        <v>-0.006039666950210756</v>
      </c>
      <c r="M535" s="4"/>
      <c r="N535" s="47">
        <f t="shared" si="85"/>
        <v>0.16830470123887373</v>
      </c>
      <c r="O535" s="47">
        <f t="shared" si="86"/>
        <v>-0.005914754784467275</v>
      </c>
      <c r="P535" s="261"/>
      <c r="Q535" s="4"/>
      <c r="R535" s="4"/>
      <c r="S535" s="49" t="s">
        <v>404</v>
      </c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</row>
    <row r="536" spans="1:35" ht="13.5" customHeight="1">
      <c r="A536" s="288" t="s">
        <v>700</v>
      </c>
      <c r="B536" s="273">
        <f t="shared" si="87"/>
        <v>16</v>
      </c>
      <c r="C536" s="49" t="str">
        <f t="shared" si="82"/>
        <v> S-PA-04 Generator O&amp;M</v>
      </c>
      <c r="D536" s="76">
        <f>I289</f>
        <v>-15785.879999999997</v>
      </c>
      <c r="E536" s="222">
        <f>I299</f>
        <v>0</v>
      </c>
      <c r="F536" s="229"/>
      <c r="G536" s="229"/>
      <c r="H536" s="245">
        <f t="shared" si="83"/>
        <v>-0.0030525214140659953</v>
      </c>
      <c r="I536" s="76"/>
      <c r="J536" s="49"/>
      <c r="K536" s="49"/>
      <c r="L536" s="172">
        <f t="shared" si="84"/>
        <v>-0.0031169868187537197</v>
      </c>
      <c r="M536" s="4"/>
      <c r="N536" s="47">
        <f t="shared" si="85"/>
        <v>0.08685967945261386</v>
      </c>
      <c r="O536" s="47">
        <f t="shared" si="86"/>
        <v>-0.0030525214140659953</v>
      </c>
      <c r="P536" s="261"/>
      <c r="Q536" s="4"/>
      <c r="R536" s="4"/>
      <c r="S536" s="49" t="s">
        <v>402</v>
      </c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</row>
    <row r="537" spans="1:35" ht="13.5" customHeight="1">
      <c r="A537" s="288" t="s">
        <v>701</v>
      </c>
      <c r="B537" s="273">
        <f t="shared" si="87"/>
        <v>17</v>
      </c>
      <c r="C537" s="49" t="str">
        <f t="shared" si="82"/>
        <v> S-PA-05 Reduce Insurance Adj.</v>
      </c>
      <c r="D537" s="76">
        <f>J289</f>
        <v>4185.719999999999</v>
      </c>
      <c r="E537" s="222">
        <f>J299</f>
        <v>0</v>
      </c>
      <c r="F537" s="229"/>
      <c r="G537" s="229"/>
      <c r="H537" s="245">
        <f t="shared" si="83"/>
        <v>0.0008093942138977571</v>
      </c>
      <c r="I537" s="76"/>
      <c r="J537" s="49"/>
      <c r="K537" s="49"/>
      <c r="L537" s="172">
        <f t="shared" si="84"/>
        <v>0.0008264875994872523</v>
      </c>
      <c r="M537" s="4"/>
      <c r="N537" s="47">
        <f t="shared" si="85"/>
        <v>-0.02303136077801143</v>
      </c>
      <c r="O537" s="47">
        <f t="shared" si="86"/>
        <v>0.0008093942138977571</v>
      </c>
      <c r="P537" s="261"/>
      <c r="Q537" s="4"/>
      <c r="R537" s="4"/>
      <c r="S537" s="49" t="s">
        <v>702</v>
      </c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</row>
    <row r="538" spans="1:35" ht="13.5" customHeight="1">
      <c r="A538" s="288" t="s">
        <v>703</v>
      </c>
      <c r="B538" s="273">
        <f t="shared" si="87"/>
        <v>18</v>
      </c>
      <c r="C538" s="49" t="str">
        <f t="shared" si="82"/>
        <v> S-PA-06 Liability Insurance Adj.</v>
      </c>
      <c r="D538" s="76">
        <f>K289</f>
        <v>-36345.53999999999</v>
      </c>
      <c r="E538" s="222">
        <f>K299</f>
        <v>0</v>
      </c>
      <c r="F538" s="229"/>
      <c r="G538" s="229"/>
      <c r="H538" s="245">
        <f t="shared" si="83"/>
        <v>-0.007028150420235812</v>
      </c>
      <c r="I538" s="76"/>
      <c r="J538" s="49"/>
      <c r="K538" s="49"/>
      <c r="L538" s="172">
        <f t="shared" si="84"/>
        <v>-0.007176576098417445</v>
      </c>
      <c r="M538" s="4"/>
      <c r="N538" s="47">
        <f t="shared" si="85"/>
        <v>0.1999864406629312</v>
      </c>
      <c r="O538" s="47">
        <f t="shared" si="86"/>
        <v>-0.007028150420235812</v>
      </c>
      <c r="P538" s="261"/>
      <c r="Q538" s="4"/>
      <c r="R538" s="4"/>
      <c r="S538" s="49" t="s">
        <v>704</v>
      </c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</row>
    <row r="539" spans="1:35" ht="13.5" customHeight="1">
      <c r="A539" s="288" t="s">
        <v>705</v>
      </c>
      <c r="B539" s="273">
        <f t="shared" si="87"/>
        <v>19</v>
      </c>
      <c r="C539" s="49" t="str">
        <f t="shared" si="82"/>
        <v> S-PA-07 Rate Case Expense</v>
      </c>
      <c r="D539" s="76">
        <f>L289</f>
        <v>-4179.779999999999</v>
      </c>
      <c r="E539" s="222">
        <f>L299</f>
        <v>0</v>
      </c>
      <c r="F539" s="229"/>
      <c r="G539" s="229"/>
      <c r="H539" s="245">
        <f t="shared" si="83"/>
        <v>-0.0008082455939158857</v>
      </c>
      <c r="I539" s="76"/>
      <c r="J539" s="49"/>
      <c r="K539" s="49"/>
      <c r="L539" s="172">
        <f t="shared" si="84"/>
        <v>-0.0008253147220991519</v>
      </c>
      <c r="M539" s="4"/>
      <c r="N539" s="47">
        <f t="shared" si="85"/>
        <v>0.02299867672771174</v>
      </c>
      <c r="O539" s="47">
        <f t="shared" si="86"/>
        <v>-0.0008082455939158857</v>
      </c>
      <c r="P539" s="261"/>
      <c r="Q539" s="4"/>
      <c r="R539" s="4"/>
      <c r="S539" s="49" t="s">
        <v>398</v>
      </c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</row>
    <row r="540" spans="1:35" ht="13.5" customHeight="1">
      <c r="A540" s="288" t="s">
        <v>706</v>
      </c>
      <c r="B540" s="273">
        <f t="shared" si="87"/>
        <v>20</v>
      </c>
      <c r="C540" s="49" t="str">
        <f t="shared" si="82"/>
        <v> S-PA-08 Bad Debt Adjustment</v>
      </c>
      <c r="D540" s="76">
        <f>M289</f>
        <v>-12005.399999999998</v>
      </c>
      <c r="E540" s="222">
        <f>M299</f>
        <v>0</v>
      </c>
      <c r="F540" s="229"/>
      <c r="G540" s="229"/>
      <c r="H540" s="245">
        <f t="shared" si="83"/>
        <v>-0.002321488607820904</v>
      </c>
      <c r="I540" s="76"/>
      <c r="J540" s="49"/>
      <c r="K540" s="49"/>
      <c r="L540" s="172">
        <f t="shared" si="84"/>
        <v>-0.002370515521077435</v>
      </c>
      <c r="M540" s="4"/>
      <c r="N540" s="47">
        <f t="shared" si="85"/>
        <v>0.0660580972172859</v>
      </c>
      <c r="O540" s="47">
        <f t="shared" si="86"/>
        <v>-0.002321488607820904</v>
      </c>
      <c r="P540" s="261"/>
      <c r="Q540" s="4"/>
      <c r="R540" s="4"/>
      <c r="S540" s="49" t="s">
        <v>707</v>
      </c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</row>
    <row r="541" spans="1:35" ht="13.5" customHeight="1">
      <c r="A541" s="288" t="s">
        <v>652</v>
      </c>
      <c r="B541" s="273">
        <f t="shared" si="87"/>
        <v>21</v>
      </c>
      <c r="C541" s="49" t="str">
        <f t="shared" si="82"/>
        <v> S-PA-9A Depreciation Adj. Jeeps &amp; Software</v>
      </c>
      <c r="D541" s="76">
        <f>N289</f>
        <v>-6097.74</v>
      </c>
      <c r="E541" s="222">
        <f>N299</f>
        <v>42506</v>
      </c>
      <c r="F541" s="229"/>
      <c r="G541" s="229"/>
      <c r="H541" s="245">
        <f t="shared" si="83"/>
        <v>-0.0021317104368506613</v>
      </c>
      <c r="I541" s="76"/>
      <c r="J541" s="49"/>
      <c r="K541" s="49"/>
      <c r="L541" s="172">
        <f t="shared" si="84"/>
        <v>-0.002176729474343858</v>
      </c>
      <c r="M541" s="4"/>
      <c r="N541" s="47">
        <f t="shared" si="85"/>
        <v>0.060657948008955964</v>
      </c>
      <c r="O541" s="47">
        <f t="shared" si="86"/>
        <v>-0.0021317104368506613</v>
      </c>
      <c r="P541" s="261"/>
      <c r="Q541" s="4"/>
      <c r="R541" s="4"/>
      <c r="S541" s="49" t="s">
        <v>708</v>
      </c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</row>
    <row r="542" spans="1:35" ht="13.5" customHeight="1">
      <c r="A542" s="288" t="s">
        <v>654</v>
      </c>
      <c r="B542" s="273">
        <f t="shared" si="87"/>
        <v>22</v>
      </c>
      <c r="C542" s="49" t="str">
        <f t="shared" si="82"/>
        <v> S-PA-9B Depreciation Adj. Owners' Vehicle</v>
      </c>
      <c r="D542" s="76">
        <f>P289</f>
        <v>3458.3999999999996</v>
      </c>
      <c r="E542" s="222">
        <f>P299</f>
        <v>-25409</v>
      </c>
      <c r="F542" s="229"/>
      <c r="G542" s="229"/>
      <c r="H542" s="245">
        <f t="shared" si="83"/>
        <v>0.0012551773495159367</v>
      </c>
      <c r="I542" s="76"/>
      <c r="J542" s="49"/>
      <c r="K542" s="49"/>
      <c r="L542" s="172">
        <f t="shared" si="84"/>
        <v>0.0012816851130384305</v>
      </c>
      <c r="M542" s="4"/>
      <c r="N542" s="47">
        <f t="shared" si="85"/>
        <v>-0.03571614657075052</v>
      </c>
      <c r="O542" s="47">
        <f t="shared" si="86"/>
        <v>0.0012551773495159367</v>
      </c>
      <c r="P542" s="261"/>
      <c r="Q542" s="4"/>
      <c r="R542" s="4"/>
      <c r="S542" s="49" t="s">
        <v>709</v>
      </c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</row>
    <row r="543" spans="1:35" ht="13.5" customHeight="1">
      <c r="A543" s="288" t="s">
        <v>653</v>
      </c>
      <c r="B543" s="273">
        <f t="shared" si="87"/>
        <v>23</v>
      </c>
      <c r="C543" s="49" t="str">
        <f t="shared" si="82"/>
        <v> S-PA-10 Interest Expense Adjustment</v>
      </c>
      <c r="D543" s="76">
        <f>O289</f>
        <v>-46444.34000000001</v>
      </c>
      <c r="E543" s="222">
        <f>O299</f>
        <v>0</v>
      </c>
      <c r="F543" s="229"/>
      <c r="G543" s="229"/>
      <c r="H543" s="245">
        <f t="shared" si="83"/>
        <v>-0.00898095908572482</v>
      </c>
      <c r="I543" s="76"/>
      <c r="J543" s="49"/>
      <c r="K543" s="49"/>
      <c r="L543" s="172">
        <f t="shared" si="84"/>
        <v>-0.009170625621486794</v>
      </c>
      <c r="M543" s="4"/>
      <c r="N543" s="47">
        <f t="shared" si="85"/>
        <v>0.2555537280650941</v>
      </c>
      <c r="O543" s="47">
        <f t="shared" si="86"/>
        <v>-0.00898095908572482</v>
      </c>
      <c r="P543" s="261"/>
      <c r="Q543" s="4"/>
      <c r="R543" s="4"/>
      <c r="S543" s="49" t="s">
        <v>710</v>
      </c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</row>
    <row r="544" spans="1:35" ht="13.5" customHeight="1">
      <c r="A544" s="49"/>
      <c r="B544" s="273"/>
      <c r="C544" s="49"/>
      <c r="D544" s="76"/>
      <c r="E544" s="222"/>
      <c r="F544" s="229"/>
      <c r="G544" s="229"/>
      <c r="H544" s="245"/>
      <c r="I544" s="76"/>
      <c r="J544" s="49"/>
      <c r="K544" s="49"/>
      <c r="L544" s="172"/>
      <c r="M544" s="4"/>
      <c r="N544" s="47"/>
      <c r="O544" s="47"/>
      <c r="P544" s="261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</row>
    <row r="545" spans="1:35" ht="13.5" customHeight="1">
      <c r="A545" s="49"/>
      <c r="B545" s="273">
        <f>B543+1</f>
        <v>24</v>
      </c>
      <c r="C545" s="199" t="s">
        <v>413</v>
      </c>
      <c r="D545" s="277">
        <f>SUM(D533:D544)</f>
        <v>-270719.6</v>
      </c>
      <c r="E545" s="278">
        <f>SUM(E533:E544)</f>
        <v>17097</v>
      </c>
      <c r="F545" s="294"/>
      <c r="G545" s="280"/>
      <c r="H545" s="281">
        <f>SUM(H533:H543)</f>
        <v>-0.05271531143471723</v>
      </c>
      <c r="I545" s="76"/>
      <c r="J545" s="289" t="s">
        <v>388</v>
      </c>
      <c r="K545" s="290">
        <f>SUM(H533:H543)</f>
        <v>-0.05271531143471723</v>
      </c>
      <c r="L545" s="290">
        <f>SUM(L511:L543)</f>
        <v>-0.0358853133973881</v>
      </c>
      <c r="M545" s="295"/>
      <c r="N545" s="295">
        <f>SUM(N511:N543)</f>
        <v>1.0000000000000002</v>
      </c>
      <c r="O545" s="290">
        <f>H556</f>
        <v>-0.03514313468922359</v>
      </c>
      <c r="P545" s="261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spans="1:35" ht="13.5" customHeight="1">
      <c r="A546" s="49"/>
      <c r="B546" s="273"/>
      <c r="C546" s="49"/>
      <c r="D546" s="296"/>
      <c r="E546" s="297"/>
      <c r="F546" s="230"/>
      <c r="G546" s="290"/>
      <c r="H546" s="284"/>
      <c r="I546" s="76"/>
      <c r="J546" s="49"/>
      <c r="K546" s="259"/>
      <c r="L546" s="258"/>
      <c r="M546" s="259"/>
      <c r="N546" s="259"/>
      <c r="O546" s="259"/>
      <c r="P546" s="261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spans="1:35" ht="13.5" customHeight="1">
      <c r="A547" s="49"/>
      <c r="B547" s="273">
        <f>B545+1</f>
        <v>25</v>
      </c>
      <c r="C547" s="199" t="s">
        <v>414</v>
      </c>
      <c r="D547" s="277">
        <f>D530+D545</f>
        <v>433105.68000000005</v>
      </c>
      <c r="E547" s="278">
        <f>E530+E545</f>
        <v>5222628</v>
      </c>
      <c r="F547" s="294"/>
      <c r="G547" s="291">
        <f>D547/+E547</f>
        <v>0.08292868647738266</v>
      </c>
      <c r="H547" s="281">
        <f>SUM(H511:H519)+SUM(H533:H543)</f>
        <v>-0.03698610940285928</v>
      </c>
      <c r="I547" s="76"/>
      <c r="J547" s="49"/>
      <c r="K547" s="49"/>
      <c r="L547" s="229"/>
      <c r="M547" s="4"/>
      <c r="N547" s="49"/>
      <c r="O547" s="49"/>
      <c r="P547" s="261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spans="1:35" ht="13.5" customHeight="1">
      <c r="A548" s="49"/>
      <c r="B548" s="273"/>
      <c r="C548" s="49"/>
      <c r="D548" s="296"/>
      <c r="E548" s="297"/>
      <c r="F548" s="230"/>
      <c r="G548" s="290"/>
      <c r="H548" s="284"/>
      <c r="I548" s="76"/>
      <c r="J548" s="49"/>
      <c r="K548" s="49"/>
      <c r="L548" s="298"/>
      <c r="M548" s="299"/>
      <c r="N548" s="300"/>
      <c r="O548" s="300"/>
      <c r="P548" s="301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</row>
    <row r="549" spans="1:35" ht="13.5" customHeight="1">
      <c r="A549" s="49"/>
      <c r="B549" s="273">
        <f>B547+1</f>
        <v>26</v>
      </c>
      <c r="C549" s="199" t="s">
        <v>415</v>
      </c>
      <c r="D549" s="302">
        <f>F492*F549</f>
        <v>17084.8535999998</v>
      </c>
      <c r="E549" s="303">
        <v>0</v>
      </c>
      <c r="F549" s="304">
        <f>F494</f>
        <v>27503.04588580818</v>
      </c>
      <c r="G549" s="172"/>
      <c r="H549" s="274"/>
      <c r="I549" s="76"/>
      <c r="J549" s="49"/>
      <c r="K549" s="49"/>
      <c r="L549" s="49"/>
      <c r="M549" s="4"/>
      <c r="N549" s="49"/>
      <c r="O549" s="49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</row>
    <row r="550" spans="1:35" ht="13.5" customHeight="1">
      <c r="A550" s="49"/>
      <c r="B550" s="273"/>
      <c r="C550" s="199"/>
      <c r="D550" s="75"/>
      <c r="E550" s="228"/>
      <c r="F550" s="221"/>
      <c r="G550" s="229"/>
      <c r="H550" s="274"/>
      <c r="I550" s="76"/>
      <c r="J550" s="49"/>
      <c r="K550" s="49"/>
      <c r="L550" s="49"/>
      <c r="M550" s="4"/>
      <c r="N550" s="49"/>
      <c r="O550" s="49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spans="1:35" ht="13.5" customHeight="1">
      <c r="A551" s="49"/>
      <c r="B551" s="273">
        <f>B549+1</f>
        <v>27</v>
      </c>
      <c r="C551" s="199" t="s">
        <v>416</v>
      </c>
      <c r="D551" s="277">
        <f>D547+D549</f>
        <v>450190.53359999985</v>
      </c>
      <c r="E551" s="278">
        <f>E547+E549</f>
        <v>5222628</v>
      </c>
      <c r="F551" s="294"/>
      <c r="G551" s="291">
        <f>D551/+E551</f>
        <v>0.08619999999999997</v>
      </c>
      <c r="H551" s="281"/>
      <c r="I551" s="76"/>
      <c r="J551" s="49"/>
      <c r="K551" s="49"/>
      <c r="L551" s="49"/>
      <c r="M551" s="4"/>
      <c r="N551" s="49"/>
      <c r="O551" s="49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spans="1:35" ht="13.5" customHeight="1">
      <c r="A552" s="49"/>
      <c r="B552" s="305"/>
      <c r="C552" s="306"/>
      <c r="D552" s="307"/>
      <c r="E552" s="308"/>
      <c r="F552" s="309"/>
      <c r="G552" s="309"/>
      <c r="H552" s="310"/>
      <c r="I552" s="76"/>
      <c r="J552" s="49"/>
      <c r="K552" s="49"/>
      <c r="L552" s="49"/>
      <c r="M552" s="4"/>
      <c r="N552" s="49"/>
      <c r="O552" s="49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spans="1:35" ht="13.5" customHeight="1">
      <c r="A553" s="49"/>
      <c r="B553" s="255"/>
      <c r="C553" s="255"/>
      <c r="D553" s="255"/>
      <c r="E553" s="11"/>
      <c r="F553" s="11"/>
      <c r="G553" s="11"/>
      <c r="H553" s="11"/>
      <c r="I553" s="49"/>
      <c r="J553" s="49"/>
      <c r="K553" s="49"/>
      <c r="L553" s="49"/>
      <c r="M553" s="4"/>
      <c r="N553" s="49"/>
      <c r="O553" s="49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554" spans="1:35" ht="13.5" customHeight="1">
      <c r="A554" s="49"/>
      <c r="B554" s="49"/>
      <c r="C554" s="49"/>
      <c r="D554" s="49"/>
      <c r="E554" s="4"/>
      <c r="F554" s="4"/>
      <c r="G554" s="4"/>
      <c r="H554" s="4"/>
      <c r="I554" s="49"/>
      <c r="J554" s="49"/>
      <c r="K554" s="49"/>
      <c r="L554" s="49"/>
      <c r="M554" s="49"/>
      <c r="N554" s="49"/>
      <c r="O554" s="49"/>
      <c r="P554" s="49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</row>
    <row r="555" spans="1:35" ht="13.5" customHeight="1">
      <c r="A555" s="49"/>
      <c r="B555" s="49"/>
      <c r="C555" s="49"/>
      <c r="D555" s="49"/>
      <c r="E555" s="3" t="s">
        <v>417</v>
      </c>
      <c r="F555" s="4"/>
      <c r="G555" s="4"/>
      <c r="H555" s="4"/>
      <c r="I555" s="49"/>
      <c r="J555" s="49"/>
      <c r="K555" s="49"/>
      <c r="L555" s="49"/>
      <c r="M555" s="49"/>
      <c r="N555" s="49"/>
      <c r="O555" s="49"/>
      <c r="P555" s="49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</row>
    <row r="556" spans="1:35" ht="13.5" customHeight="1">
      <c r="A556" s="49"/>
      <c r="B556" s="49"/>
      <c r="C556" s="199" t="s">
        <v>418</v>
      </c>
      <c r="D556" s="199"/>
      <c r="E556" s="311">
        <f>D528+D545</f>
        <v>-164865.27999999997</v>
      </c>
      <c r="F556" s="292">
        <f>E528+E545</f>
        <v>158160</v>
      </c>
      <c r="G556" s="279"/>
      <c r="H556" s="280">
        <f>(+E556+$D$508)/(F556+$E$508)-$G$508</f>
        <v>-0.03514313468922359</v>
      </c>
      <c r="I556" s="49"/>
      <c r="J556" s="49"/>
      <c r="K556" s="295">
        <f>SUM(H511:H519)+SUM(H533:H543)</f>
        <v>-0.03698610940285928</v>
      </c>
      <c r="L556" s="4"/>
      <c r="M556" s="4"/>
      <c r="N556" s="49"/>
      <c r="O556" s="49"/>
      <c r="P556" s="49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</row>
    <row r="557" spans="1:35" ht="13.5" customHeight="1">
      <c r="A557" s="49"/>
      <c r="B557" s="49"/>
      <c r="C557" s="49"/>
      <c r="D557" s="49"/>
      <c r="E557" s="259"/>
      <c r="F557" s="259"/>
      <c r="G557" s="259"/>
      <c r="H557" s="259"/>
      <c r="I557" s="49"/>
      <c r="J557" s="49" t="s">
        <v>419</v>
      </c>
      <c r="K557" s="312">
        <f>K528+K545</f>
        <v>-0.03698610940285928</v>
      </c>
      <c r="L557" s="4"/>
      <c r="M557" s="4"/>
      <c r="N557" s="49"/>
      <c r="O557" s="49"/>
      <c r="P557" s="49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</row>
    <row r="558" spans="1:35" ht="13.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"/>
      <c r="M558" s="49"/>
      <c r="N558" s="49"/>
      <c r="O558" s="49"/>
      <c r="P558" s="49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</row>
    <row r="559" spans="1:35" ht="13.5" customHeight="1">
      <c r="A559" s="4"/>
      <c r="B559" s="8"/>
      <c r="C559" s="11"/>
      <c r="D559" s="11"/>
      <c r="E559" s="11"/>
      <c r="F559" s="11"/>
      <c r="G559" s="57" t="str">
        <f>G353</f>
        <v>Docket No. UW-010877</v>
      </c>
      <c r="H559" s="13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</row>
    <row r="560" spans="1:35" ht="13.5" customHeight="1">
      <c r="A560" s="4"/>
      <c r="B560" s="19"/>
      <c r="C560" s="3" t="str">
        <f>B352</f>
        <v>RAINIER VIEW WATER CO., INC.</v>
      </c>
      <c r="D560" s="4"/>
      <c r="E560" s="4"/>
      <c r="F560" s="4"/>
      <c r="G560" s="3" t="s">
        <v>252</v>
      </c>
      <c r="H560" s="18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</row>
    <row r="561" spans="1:35" ht="13.5" customHeight="1">
      <c r="A561" s="4"/>
      <c r="B561" s="19"/>
      <c r="C561" s="3" t="s">
        <v>420</v>
      </c>
      <c r="D561" s="4"/>
      <c r="E561" s="20"/>
      <c r="F561" s="4"/>
      <c r="G561" s="199"/>
      <c r="H561" s="18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</row>
    <row r="562" spans="1:35" ht="13.5" customHeight="1">
      <c r="A562" s="4"/>
      <c r="B562" s="19"/>
      <c r="C562" s="3" t="str">
        <f>B354</f>
        <v>FOR THE 12 MONTHS ENDED DECEMBER 31, 2000</v>
      </c>
      <c r="D562" s="4"/>
      <c r="E562" s="4"/>
      <c r="F562" s="4"/>
      <c r="G562" s="4"/>
      <c r="H562" s="18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</row>
    <row r="563" spans="1:35" ht="13.5" customHeight="1">
      <c r="A563" s="4"/>
      <c r="B563" s="19"/>
      <c r="C563" s="4"/>
      <c r="D563" s="4"/>
      <c r="E563" s="4"/>
      <c r="F563" s="4"/>
      <c r="G563" s="4"/>
      <c r="H563" s="18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</row>
    <row r="564" spans="1:35" ht="13.5" customHeight="1">
      <c r="A564" s="4"/>
      <c r="B564" s="19"/>
      <c r="C564" s="199" t="str">
        <f>IF(E372&lt;&gt;0,+"(WITH FEDERAL INCOME TAXES IMPUTED)",+" (WITHOUT FEDERAL INCOME TAXES IMPUTED)")</f>
        <v>(WITH FEDERAL INCOME TAXES IMPUTED)</v>
      </c>
      <c r="D564" s="4"/>
      <c r="E564" s="5" t="s">
        <v>421</v>
      </c>
      <c r="F564" s="5" t="s">
        <v>267</v>
      </c>
      <c r="G564" s="5" t="s">
        <v>421</v>
      </c>
      <c r="H564" s="18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</row>
    <row r="565" spans="1:35" ht="13.5" customHeight="1">
      <c r="A565" s="4"/>
      <c r="B565" s="40" t="s">
        <v>308</v>
      </c>
      <c r="C565" s="4"/>
      <c r="D565" s="4"/>
      <c r="E565" s="5" t="s">
        <v>422</v>
      </c>
      <c r="F565" s="5" t="s">
        <v>423</v>
      </c>
      <c r="G565" s="5" t="s">
        <v>424</v>
      </c>
      <c r="H565" s="21" t="s">
        <v>425</v>
      </c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</row>
    <row r="566" spans="1:35" ht="13.5" customHeight="1">
      <c r="A566" s="4"/>
      <c r="B566" s="40" t="s">
        <v>312</v>
      </c>
      <c r="C566" s="37" t="s">
        <v>270</v>
      </c>
      <c r="D566" s="37" t="s">
        <v>271</v>
      </c>
      <c r="E566" s="5" t="s">
        <v>272</v>
      </c>
      <c r="F566" s="5" t="s">
        <v>426</v>
      </c>
      <c r="G566" s="5" t="s">
        <v>272</v>
      </c>
      <c r="H566" s="21" t="s">
        <v>423</v>
      </c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</row>
    <row r="567" spans="1:35" ht="13.5" customHeight="1">
      <c r="A567" s="4"/>
      <c r="B567" s="217"/>
      <c r="C567" s="218" t="s">
        <v>25</v>
      </c>
      <c r="D567" s="218" t="s">
        <v>26</v>
      </c>
      <c r="E567" s="220" t="s">
        <v>27</v>
      </c>
      <c r="F567" s="220" t="s">
        <v>28</v>
      </c>
      <c r="G567" s="220" t="s">
        <v>29</v>
      </c>
      <c r="H567" s="241" t="s">
        <v>30</v>
      </c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</row>
    <row r="568" spans="1:35" ht="13.5" customHeight="1">
      <c r="A568" s="4"/>
      <c r="B568" s="35"/>
      <c r="C568" s="170"/>
      <c r="D568" s="170"/>
      <c r="E568" s="188"/>
      <c r="F568" s="188"/>
      <c r="G568" s="188"/>
      <c r="H568" s="171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</row>
    <row r="569" spans="1:35" ht="13.5" customHeight="1">
      <c r="A569" s="4"/>
      <c r="B569" s="35"/>
      <c r="C569" s="163" t="s">
        <v>427</v>
      </c>
      <c r="D569" s="170"/>
      <c r="E569" s="188"/>
      <c r="F569" s="188"/>
      <c r="G569" s="188"/>
      <c r="H569" s="171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</row>
    <row r="570" spans="1:35" ht="13.5" customHeight="1">
      <c r="A570" s="4"/>
      <c r="B570" s="41">
        <v>1</v>
      </c>
      <c r="C570" s="163" t="s">
        <v>428</v>
      </c>
      <c r="D570" s="190" t="s">
        <v>314</v>
      </c>
      <c r="E570" s="228">
        <f>I15</f>
        <v>61772</v>
      </c>
      <c r="F570" s="228">
        <v>8492</v>
      </c>
      <c r="G570" s="228">
        <f>E570+F570</f>
        <v>70264</v>
      </c>
      <c r="H570" s="245">
        <f>F570/E570</f>
        <v>0.13747328886874313</v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</row>
    <row r="571" spans="1:35" ht="13.5" customHeight="1">
      <c r="A571" s="4"/>
      <c r="B571" s="41">
        <f>B570+1</f>
        <v>2</v>
      </c>
      <c r="C571" s="205" t="s">
        <v>429</v>
      </c>
      <c r="D571" s="190" t="s">
        <v>316</v>
      </c>
      <c r="E571" s="226">
        <f>I16</f>
        <v>2706447</v>
      </c>
      <c r="F571" s="226">
        <v>479559</v>
      </c>
      <c r="G571" s="228">
        <f>E571+F571</f>
        <v>3186006</v>
      </c>
      <c r="H571" s="245">
        <f>F571/E571</f>
        <v>0.1771913508744121</v>
      </c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</row>
    <row r="572" spans="1:35" ht="13.5" customHeight="1">
      <c r="A572" s="4"/>
      <c r="B572" s="41">
        <f>B571+1</f>
        <v>3</v>
      </c>
      <c r="C572" s="205" t="s">
        <v>430</v>
      </c>
      <c r="D572" s="190" t="s">
        <v>318</v>
      </c>
      <c r="E572" s="313">
        <f>E570+E571</f>
        <v>2768219</v>
      </c>
      <c r="F572" s="313">
        <f>F570+F571</f>
        <v>488051</v>
      </c>
      <c r="G572" s="313">
        <f>G570+G571</f>
        <v>3256270</v>
      </c>
      <c r="H572" s="314">
        <f>F572/E572</f>
        <v>0.17630505389927603</v>
      </c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</row>
    <row r="573" spans="1:35" ht="13.5" customHeight="1">
      <c r="A573" s="4"/>
      <c r="B573" s="41"/>
      <c r="C573" s="205"/>
      <c r="D573" s="163"/>
      <c r="E573" s="188"/>
      <c r="F573" s="188"/>
      <c r="G573" s="188"/>
      <c r="H573" s="171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</row>
    <row r="574" spans="1:35" ht="13.5" customHeight="1">
      <c r="A574" s="4"/>
      <c r="B574" s="41"/>
      <c r="C574" s="205"/>
      <c r="D574" s="163"/>
      <c r="E574" s="188"/>
      <c r="F574" s="188"/>
      <c r="G574" s="188"/>
      <c r="H574" s="171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</row>
    <row r="575" spans="1:35" ht="13.5" customHeight="1">
      <c r="A575" s="4"/>
      <c r="B575" s="41">
        <f>B572+1</f>
        <v>4</v>
      </c>
      <c r="C575" s="205" t="s">
        <v>431</v>
      </c>
      <c r="D575" s="190" t="s">
        <v>432</v>
      </c>
      <c r="E575" s="226">
        <v>313</v>
      </c>
      <c r="F575" s="188"/>
      <c r="G575" s="222">
        <f>E575+F575</f>
        <v>313</v>
      </c>
      <c r="H575" s="171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</row>
    <row r="576" spans="1:35" ht="13.5" customHeight="1">
      <c r="A576" s="4"/>
      <c r="B576" s="41">
        <f>B575+1</f>
        <v>5</v>
      </c>
      <c r="C576" s="205" t="s">
        <v>433</v>
      </c>
      <c r="D576" s="190" t="s">
        <v>432</v>
      </c>
      <c r="E576" s="226">
        <v>10856</v>
      </c>
      <c r="F576" s="188"/>
      <c r="G576" s="222">
        <f>E576+F576</f>
        <v>10856</v>
      </c>
      <c r="H576" s="171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</row>
    <row r="577" spans="1:35" ht="13.5" customHeight="1">
      <c r="A577" s="4"/>
      <c r="B577" s="41">
        <f>B576+1</f>
        <v>6</v>
      </c>
      <c r="C577" s="205" t="s">
        <v>434</v>
      </c>
      <c r="D577" s="190" t="s">
        <v>432</v>
      </c>
      <c r="E577" s="226">
        <v>15</v>
      </c>
      <c r="F577" s="188"/>
      <c r="G577" s="222">
        <f>E577+F577</f>
        <v>15</v>
      </c>
      <c r="H577" s="171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</row>
    <row r="578" spans="1:35" ht="13.5" customHeight="1">
      <c r="A578" s="4"/>
      <c r="B578" s="41"/>
      <c r="C578" s="205"/>
      <c r="D578" s="163"/>
      <c r="E578" s="188"/>
      <c r="F578" s="188"/>
      <c r="G578" s="226"/>
      <c r="H578" s="171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</row>
    <row r="579" spans="1:35" ht="13.5" customHeight="1">
      <c r="A579" s="4"/>
      <c r="B579" s="41"/>
      <c r="C579" s="205"/>
      <c r="D579" s="163"/>
      <c r="E579" s="188"/>
      <c r="F579" s="188"/>
      <c r="G579" s="226"/>
      <c r="H579" s="171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</row>
    <row r="580" spans="1:35" ht="13.5" customHeight="1">
      <c r="A580" s="4"/>
      <c r="B580" s="41"/>
      <c r="C580" s="205"/>
      <c r="D580" s="163"/>
      <c r="E580" s="188"/>
      <c r="F580" s="188"/>
      <c r="G580" s="226"/>
      <c r="H580" s="171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</row>
    <row r="581" spans="1:35" ht="13.5" customHeight="1">
      <c r="A581" s="4"/>
      <c r="B581" s="41"/>
      <c r="C581" s="205"/>
      <c r="D581" s="163"/>
      <c r="E581" s="188"/>
      <c r="F581" s="188"/>
      <c r="G581" s="226"/>
      <c r="H581" s="171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</row>
    <row r="582" spans="1:35" ht="13.5" customHeight="1">
      <c r="A582" s="4"/>
      <c r="B582" s="41"/>
      <c r="C582" s="205"/>
      <c r="D582" s="163"/>
      <c r="E582" s="315" t="s">
        <v>435</v>
      </c>
      <c r="F582" s="315" t="s">
        <v>424</v>
      </c>
      <c r="G582" s="315" t="s">
        <v>423</v>
      </c>
      <c r="H582" s="316" t="s">
        <v>436</v>
      </c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</row>
    <row r="583" spans="1:35" ht="13.5" customHeight="1">
      <c r="A583" s="4"/>
      <c r="B583" s="41">
        <f>B577+1</f>
        <v>7</v>
      </c>
      <c r="C583" s="205" t="s">
        <v>437</v>
      </c>
      <c r="D583" s="190" t="s">
        <v>438</v>
      </c>
      <c r="E583" s="317">
        <v>19.17</v>
      </c>
      <c r="F583" s="317">
        <v>22</v>
      </c>
      <c r="G583" s="317">
        <f>F583-E583</f>
        <v>2.8299999999999983</v>
      </c>
      <c r="H583" s="245">
        <f>G583/E583</f>
        <v>0.1476264997391757</v>
      </c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</row>
    <row r="584" spans="1:35" ht="13.5" customHeight="1">
      <c r="A584" s="4"/>
      <c r="B584" s="41"/>
      <c r="C584" s="205"/>
      <c r="D584" s="163"/>
      <c r="E584" s="318"/>
      <c r="F584" s="318"/>
      <c r="G584" s="318"/>
      <c r="H584" s="171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</row>
    <row r="585" spans="1:35" ht="13.5" customHeight="1">
      <c r="A585" s="4"/>
      <c r="B585" s="41"/>
      <c r="C585" s="205"/>
      <c r="D585" s="163"/>
      <c r="E585" s="318"/>
      <c r="F585" s="318"/>
      <c r="G585" s="318"/>
      <c r="H585" s="171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</row>
    <row r="586" spans="1:35" ht="13.5" customHeight="1">
      <c r="A586" s="4"/>
      <c r="B586" s="41"/>
      <c r="C586" s="205"/>
      <c r="D586" s="163"/>
      <c r="E586" s="318"/>
      <c r="F586" s="318"/>
      <c r="G586" s="318"/>
      <c r="H586" s="171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</row>
    <row r="587" spans="1:35" ht="13.5" customHeight="1">
      <c r="A587" s="4"/>
      <c r="B587" s="41">
        <f>B583+1</f>
        <v>8</v>
      </c>
      <c r="C587" s="205" t="s">
        <v>439</v>
      </c>
      <c r="D587" s="190" t="s">
        <v>438</v>
      </c>
      <c r="E587" s="318">
        <v>14.45</v>
      </c>
      <c r="F587" s="318">
        <v>16.45</v>
      </c>
      <c r="G587" s="317">
        <f>F587-E587</f>
        <v>2</v>
      </c>
      <c r="H587" s="245">
        <f>G587/E587</f>
        <v>0.1384083044982699</v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</row>
    <row r="588" spans="1:35" ht="13.5" customHeight="1">
      <c r="A588" s="4"/>
      <c r="B588" s="41">
        <f>B587+1</f>
        <v>9</v>
      </c>
      <c r="C588" s="205" t="s">
        <v>440</v>
      </c>
      <c r="D588" s="190" t="s">
        <v>438</v>
      </c>
      <c r="E588" s="318">
        <v>0.78</v>
      </c>
      <c r="F588" s="318">
        <v>0.95</v>
      </c>
      <c r="G588" s="317">
        <f>F588-E588</f>
        <v>0.16999999999999993</v>
      </c>
      <c r="H588" s="245">
        <f>G588/E588</f>
        <v>0.21794871794871784</v>
      </c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</row>
    <row r="589" spans="1:35" ht="13.5" customHeight="1">
      <c r="A589" s="4"/>
      <c r="B589" s="41"/>
      <c r="C589" s="205"/>
      <c r="D589" s="163"/>
      <c r="E589" s="318"/>
      <c r="F589" s="318"/>
      <c r="G589" s="317"/>
      <c r="H589" s="24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</row>
    <row r="590" spans="1:35" ht="13.5" customHeight="1">
      <c r="A590" s="4"/>
      <c r="B590" s="41"/>
      <c r="C590" s="205"/>
      <c r="D590" s="163"/>
      <c r="E590" s="318"/>
      <c r="F590" s="318"/>
      <c r="G590" s="317"/>
      <c r="H590" s="24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</row>
    <row r="591" spans="1:35" ht="13.5" customHeight="1">
      <c r="A591" s="4"/>
      <c r="B591" s="41"/>
      <c r="C591" s="205"/>
      <c r="D591" s="163"/>
      <c r="E591" s="319" t="s">
        <v>441</v>
      </c>
      <c r="F591" s="319" t="s">
        <v>442</v>
      </c>
      <c r="G591" s="320" t="s">
        <v>443</v>
      </c>
      <c r="H591" s="321" t="s">
        <v>311</v>
      </c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</row>
    <row r="592" spans="1:35" ht="13.5" customHeight="1">
      <c r="A592" s="4"/>
      <c r="B592" s="41">
        <f>B588+1</f>
        <v>10</v>
      </c>
      <c r="C592" s="205" t="s">
        <v>444</v>
      </c>
      <c r="D592" s="190" t="s">
        <v>445</v>
      </c>
      <c r="E592" s="317">
        <f>G583</f>
        <v>2.8299999999999983</v>
      </c>
      <c r="F592" s="317">
        <f>G587</f>
        <v>2</v>
      </c>
      <c r="G592" s="317">
        <f>G588</f>
        <v>0.16999999999999993</v>
      </c>
      <c r="H592" s="24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</row>
    <row r="593" spans="1:35" ht="13.5" customHeight="1">
      <c r="A593" s="4"/>
      <c r="B593" s="41">
        <f>B592+1</f>
        <v>11</v>
      </c>
      <c r="C593" s="205"/>
      <c r="D593" s="163"/>
      <c r="E593" s="188"/>
      <c r="F593" s="188"/>
      <c r="G593" s="322" t="s">
        <v>446</v>
      </c>
      <c r="H593" s="171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</row>
    <row r="594" spans="1:35" ht="13.5" customHeight="1">
      <c r="A594" s="4"/>
      <c r="B594" s="41">
        <f>B593+1</f>
        <v>12</v>
      </c>
      <c r="C594" s="205"/>
      <c r="D594" s="163"/>
      <c r="E594" s="188"/>
      <c r="F594" s="188"/>
      <c r="G594" s="317">
        <f>G592*10</f>
        <v>1.6999999999999993</v>
      </c>
      <c r="H594" s="171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</row>
    <row r="595" spans="1:35" ht="13.5" customHeight="1">
      <c r="A595" s="4"/>
      <c r="B595" s="41"/>
      <c r="C595" s="205"/>
      <c r="D595" s="163"/>
      <c r="E595" s="188"/>
      <c r="F595" s="188"/>
      <c r="G595" s="317"/>
      <c r="H595" s="171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</row>
    <row r="596" spans="1:35" ht="13.5" customHeight="1">
      <c r="A596" s="4"/>
      <c r="B596" s="41">
        <f>B594+1</f>
        <v>13</v>
      </c>
      <c r="C596" s="205" t="s">
        <v>447</v>
      </c>
      <c r="D596" s="163"/>
      <c r="E596" s="323">
        <v>313</v>
      </c>
      <c r="F596" s="323">
        <v>10856</v>
      </c>
      <c r="G596" s="323">
        <v>10856</v>
      </c>
      <c r="H596" s="171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</row>
    <row r="597" spans="1:35" ht="13.5" customHeight="1">
      <c r="A597" s="4"/>
      <c r="B597" s="41">
        <f aca="true" t="shared" si="88" ref="B597:B603">B596+1</f>
        <v>14</v>
      </c>
      <c r="C597" s="205" t="s">
        <v>448</v>
      </c>
      <c r="D597" s="163"/>
      <c r="E597" s="228">
        <f>E592*E596</f>
        <v>885.7899999999995</v>
      </c>
      <c r="F597" s="221">
        <f>F592*F596</f>
        <v>21712</v>
      </c>
      <c r="G597" s="228">
        <f>G594*G596</f>
        <v>18455.199999999993</v>
      </c>
      <c r="H597" s="247">
        <f>SUM(E597:G597)</f>
        <v>41052.98999999999</v>
      </c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</row>
    <row r="598" spans="1:35" ht="13.5" customHeight="1">
      <c r="A598" s="4"/>
      <c r="B598" s="41">
        <f t="shared" si="88"/>
        <v>15</v>
      </c>
      <c r="C598" s="205" t="s">
        <v>449</v>
      </c>
      <c r="D598" s="163"/>
      <c r="E598" s="322" t="s">
        <v>450</v>
      </c>
      <c r="F598" s="324" t="s">
        <v>450</v>
      </c>
      <c r="G598" s="322" t="s">
        <v>450</v>
      </c>
      <c r="H598" s="171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</row>
    <row r="599" spans="1:35" ht="13.5" customHeight="1">
      <c r="A599" s="4"/>
      <c r="B599" s="41">
        <f t="shared" si="88"/>
        <v>16</v>
      </c>
      <c r="C599" s="205" t="s">
        <v>451</v>
      </c>
      <c r="D599" s="163"/>
      <c r="E599" s="325">
        <f>E597*12</f>
        <v>10629.479999999994</v>
      </c>
      <c r="F599" s="326">
        <f>F597*12</f>
        <v>260544</v>
      </c>
      <c r="G599" s="325">
        <f>G597*12</f>
        <v>221462.3999999999</v>
      </c>
      <c r="H599" s="248">
        <f>SUM(E599:G599)</f>
        <v>492635.8799999999</v>
      </c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</row>
    <row r="600" spans="1:35" ht="13.5" customHeight="1">
      <c r="A600" s="4"/>
      <c r="B600" s="41">
        <f t="shared" si="88"/>
        <v>17</v>
      </c>
      <c r="C600" s="205"/>
      <c r="D600" s="163"/>
      <c r="E600" s="188"/>
      <c r="F600" s="188"/>
      <c r="G600" s="188"/>
      <c r="H600" s="171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</row>
    <row r="601" spans="1:35" ht="13.5" customHeight="1">
      <c r="A601" s="4"/>
      <c r="B601" s="41">
        <f t="shared" si="88"/>
        <v>18</v>
      </c>
      <c r="C601" s="205"/>
      <c r="D601" s="163"/>
      <c r="E601" s="188"/>
      <c r="F601" s="188"/>
      <c r="G601" s="188"/>
      <c r="H601" s="171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</row>
    <row r="602" spans="1:35" ht="13.5" customHeight="1">
      <c r="A602" s="4"/>
      <c r="B602" s="41">
        <f t="shared" si="88"/>
        <v>19</v>
      </c>
      <c r="C602" s="205"/>
      <c r="D602" s="163"/>
      <c r="E602" s="188"/>
      <c r="F602" s="188"/>
      <c r="G602" s="188"/>
      <c r="H602" s="171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</row>
    <row r="603" spans="1:35" ht="13.5" customHeight="1">
      <c r="A603" s="4"/>
      <c r="B603" s="41">
        <f t="shared" si="88"/>
        <v>20</v>
      </c>
      <c r="C603" s="170"/>
      <c r="D603" s="170"/>
      <c r="E603" s="188"/>
      <c r="F603" s="188"/>
      <c r="G603" s="188"/>
      <c r="H603" s="171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</row>
    <row r="604" spans="1:35" ht="13.5" customHeight="1">
      <c r="A604" s="4"/>
      <c r="B604" s="102"/>
      <c r="C604" s="178"/>
      <c r="D604" s="178"/>
      <c r="E604" s="237"/>
      <c r="F604" s="237"/>
      <c r="G604" s="237"/>
      <c r="H604" s="179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</row>
    <row r="605" spans="1:35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</row>
    <row r="606" spans="1:35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</row>
    <row r="607" spans="1:35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</row>
    <row r="608" spans="1:35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</row>
    <row r="609" spans="1:35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</row>
    <row r="610" spans="1:35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</row>
    <row r="611" spans="1:35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</row>
    <row r="612" spans="1:35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</row>
    <row r="613" spans="1:35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</row>
    <row r="614" spans="1:35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</row>
    <row r="615" spans="1:35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</row>
    <row r="616" spans="1:35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spans="1:35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spans="1:35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spans="1:35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spans="1:35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spans="1:35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spans="1:35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</row>
    <row r="623" spans="1:35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</row>
    <row r="624" spans="1:35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spans="1:35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spans="1:35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</row>
    <row r="627" spans="1:35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</row>
    <row r="628" spans="1:35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</row>
    <row r="629" spans="1:35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</row>
    <row r="630" spans="1:35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</row>
    <row r="631" spans="1:35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</row>
    <row r="632" spans="1:35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</row>
    <row r="633" spans="1:35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</row>
    <row r="634" spans="1:35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</row>
    <row r="635" spans="1:35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</row>
    <row r="636" spans="1:35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</row>
    <row r="637" spans="1:35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</row>
    <row r="638" spans="1:35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</row>
    <row r="639" spans="1:35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</row>
    <row r="640" spans="1:35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</row>
    <row r="641" spans="1:35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</row>
    <row r="642" spans="1:35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</row>
    <row r="643" spans="1:35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</row>
    <row r="644" spans="1:35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</row>
    <row r="645" spans="1:35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</row>
    <row r="646" spans="1:35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</row>
    <row r="647" spans="1:35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</row>
    <row r="648" spans="1:35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</row>
    <row r="649" spans="1:35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</row>
    <row r="650" spans="1:35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</row>
    <row r="651" spans="1:35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</row>
    <row r="652" spans="1:35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</row>
    <row r="653" spans="1:35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</row>
    <row r="654" spans="1:35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1"/>
      <c r="AC654" s="4"/>
      <c r="AD654" s="4"/>
      <c r="AE654" s="4"/>
      <c r="AF654" s="4"/>
      <c r="AG654" s="4"/>
      <c r="AH654" s="4"/>
      <c r="AI654" s="4"/>
    </row>
    <row r="655" spans="1:35" ht="13.5" customHeight="1">
      <c r="A655" s="4"/>
      <c r="B655" s="4"/>
      <c r="C655" s="3" t="s">
        <v>711</v>
      </c>
      <c r="D655" s="4"/>
      <c r="E655" s="1"/>
      <c r="F655" s="4"/>
      <c r="G655" s="4"/>
      <c r="H655" s="4"/>
      <c r="I655" s="1"/>
      <c r="J655" s="4"/>
      <c r="K655" s="4"/>
      <c r="L655" s="4"/>
      <c r="M655" s="3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1" t="s">
        <v>712</v>
      </c>
      <c r="AC655" s="4"/>
      <c r="AD655" s="4"/>
      <c r="AE655" s="4"/>
      <c r="AF655" s="4"/>
      <c r="AG655" s="4"/>
      <c r="AH655" s="4"/>
      <c r="AI655" s="4"/>
    </row>
    <row r="656" spans="1:35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</row>
    <row r="657" spans="1:35" ht="13.5" customHeight="1">
      <c r="A657" s="1" t="s">
        <v>713</v>
      </c>
      <c r="B657" s="4"/>
      <c r="C657" s="368" t="s">
        <v>714</v>
      </c>
      <c r="D657" s="368" t="s">
        <v>715</v>
      </c>
      <c r="E657" s="368"/>
      <c r="F657" s="4"/>
      <c r="G657" s="4"/>
      <c r="H657" s="4"/>
      <c r="I657" s="368" t="s">
        <v>716</v>
      </c>
      <c r="J657" s="4"/>
      <c r="K657" s="4"/>
      <c r="L657" s="4"/>
      <c r="M657" s="368" t="s">
        <v>717</v>
      </c>
      <c r="N657" s="4"/>
      <c r="O657" s="1"/>
      <c r="P657" s="4"/>
      <c r="Q657" s="4"/>
      <c r="R657" s="368" t="s">
        <v>718</v>
      </c>
      <c r="S657" s="4"/>
      <c r="T657" s="4"/>
      <c r="U657" s="4"/>
      <c r="V657" s="4"/>
      <c r="W657" s="368" t="s">
        <v>719</v>
      </c>
      <c r="X657" s="4"/>
      <c r="Y657" s="4"/>
      <c r="Z657" s="4"/>
      <c r="AA657" s="4"/>
      <c r="AB657" s="368" t="s">
        <v>720</v>
      </c>
      <c r="AC657" s="4"/>
      <c r="AD657" s="4"/>
      <c r="AE657" s="4"/>
      <c r="AF657" s="4"/>
      <c r="AG657" s="4"/>
      <c r="AH657" s="368" t="s">
        <v>721</v>
      </c>
      <c r="AI657" s="4"/>
    </row>
    <row r="658" spans="1:35" ht="13.5" customHeight="1">
      <c r="A658" s="4"/>
      <c r="B658" s="4"/>
      <c r="C658" s="1" t="s">
        <v>722</v>
      </c>
      <c r="D658" s="1" t="s">
        <v>722</v>
      </c>
      <c r="E658" s="1"/>
      <c r="F658" s="4"/>
      <c r="G658" s="4"/>
      <c r="H658" s="4"/>
      <c r="I658" s="1" t="s">
        <v>722</v>
      </c>
      <c r="J658" s="4"/>
      <c r="K658" s="4"/>
      <c r="L658" s="4"/>
      <c r="M658" s="1" t="s">
        <v>722</v>
      </c>
      <c r="N658" s="4"/>
      <c r="O658" s="4"/>
      <c r="P658" s="4"/>
      <c r="Q658" s="4"/>
      <c r="R658" s="1" t="s">
        <v>722</v>
      </c>
      <c r="S658" s="4"/>
      <c r="T658" s="4"/>
      <c r="U658" s="4"/>
      <c r="V658" s="4"/>
      <c r="W658" s="1" t="s">
        <v>722</v>
      </c>
      <c r="X658" s="4"/>
      <c r="Y658" s="4"/>
      <c r="Z658" s="4"/>
      <c r="AA658" s="4"/>
      <c r="AB658" s="1" t="s">
        <v>722</v>
      </c>
      <c r="AC658" s="4"/>
      <c r="AD658" s="4"/>
      <c r="AE658" s="4"/>
      <c r="AF658" s="4"/>
      <c r="AG658" s="4"/>
      <c r="AH658" s="1" t="s">
        <v>722</v>
      </c>
      <c r="AI658" s="4"/>
    </row>
    <row r="659" spans="1:35" ht="13.5" customHeight="1">
      <c r="A659" s="4"/>
      <c r="B659" s="4"/>
      <c r="C659" s="1" t="s">
        <v>723</v>
      </c>
      <c r="D659" s="1" t="s">
        <v>724</v>
      </c>
      <c r="E659" s="1"/>
      <c r="F659" s="4"/>
      <c r="G659" s="4"/>
      <c r="H659" s="4"/>
      <c r="I659" s="1" t="s">
        <v>724</v>
      </c>
      <c r="J659" s="4"/>
      <c r="K659" s="4"/>
      <c r="L659" s="4"/>
      <c r="M659" s="1" t="s">
        <v>723</v>
      </c>
      <c r="N659" s="4"/>
      <c r="O659" s="4"/>
      <c r="P659" s="4"/>
      <c r="Q659" s="4"/>
      <c r="R659" s="1" t="s">
        <v>723</v>
      </c>
      <c r="S659" s="4"/>
      <c r="T659" s="4"/>
      <c r="U659" s="4"/>
      <c r="V659" s="4"/>
      <c r="W659" s="1" t="s">
        <v>723</v>
      </c>
      <c r="X659" s="4"/>
      <c r="Y659" s="4"/>
      <c r="Z659" s="4"/>
      <c r="AA659" s="4"/>
      <c r="AB659" s="1" t="s">
        <v>725</v>
      </c>
      <c r="AC659" s="4"/>
      <c r="AD659" s="4"/>
      <c r="AE659" s="4"/>
      <c r="AF659" s="4"/>
      <c r="AG659" s="4"/>
      <c r="AH659" s="1" t="s">
        <v>723</v>
      </c>
      <c r="AI659" s="4"/>
    </row>
    <row r="660" spans="1:35" ht="13.5" customHeight="1">
      <c r="A660" s="4"/>
      <c r="B660" s="4"/>
      <c r="C660" s="1" t="s">
        <v>726</v>
      </c>
      <c r="D660" s="1" t="s">
        <v>723</v>
      </c>
      <c r="E660" s="1"/>
      <c r="F660" s="4"/>
      <c r="G660" s="4"/>
      <c r="H660" s="4"/>
      <c r="I660" s="1" t="s">
        <v>723</v>
      </c>
      <c r="J660" s="4"/>
      <c r="K660" s="4"/>
      <c r="L660" s="1"/>
      <c r="M660" s="1" t="s">
        <v>727</v>
      </c>
      <c r="N660" s="4"/>
      <c r="O660" s="4"/>
      <c r="P660" s="4"/>
      <c r="Q660" s="4"/>
      <c r="R660" s="1" t="s">
        <v>727</v>
      </c>
      <c r="S660" s="4"/>
      <c r="T660" s="4"/>
      <c r="U660" s="4"/>
      <c r="V660" s="4"/>
      <c r="W660" s="1" t="s">
        <v>728</v>
      </c>
      <c r="X660" s="4"/>
      <c r="Y660" s="4"/>
      <c r="Z660" s="4"/>
      <c r="AA660" s="4"/>
      <c r="AB660" s="1" t="s">
        <v>729</v>
      </c>
      <c r="AC660" s="4"/>
      <c r="AD660" s="4"/>
      <c r="AE660" s="4"/>
      <c r="AF660" s="4"/>
      <c r="AG660" s="1"/>
      <c r="AH660" s="1" t="s">
        <v>730</v>
      </c>
      <c r="AI660" s="4"/>
    </row>
    <row r="661" spans="1:35" ht="13.5" customHeight="1">
      <c r="A661" s="4"/>
      <c r="B661" s="4"/>
      <c r="C661" s="1" t="s">
        <v>731</v>
      </c>
      <c r="D661" s="1" t="s">
        <v>731</v>
      </c>
      <c r="E661" s="1"/>
      <c r="F661" s="4"/>
      <c r="G661" s="4"/>
      <c r="H661" s="4"/>
      <c r="I661" s="1" t="s">
        <v>731</v>
      </c>
      <c r="J661" s="4"/>
      <c r="K661" s="4"/>
      <c r="L661" s="4"/>
      <c r="M661" s="1" t="s">
        <v>732</v>
      </c>
      <c r="N661" s="4"/>
      <c r="O661" s="4"/>
      <c r="P661" s="4"/>
      <c r="Q661" s="4"/>
      <c r="R661" s="1" t="s">
        <v>733</v>
      </c>
      <c r="S661" s="4"/>
      <c r="T661" s="4"/>
      <c r="U661" s="4"/>
      <c r="V661" s="4"/>
      <c r="W661" s="1" t="s">
        <v>731</v>
      </c>
      <c r="X661" s="4"/>
      <c r="Y661" s="4"/>
      <c r="Z661" s="4"/>
      <c r="AA661" s="4"/>
      <c r="AB661" s="1" t="s">
        <v>723</v>
      </c>
      <c r="AC661" s="4"/>
      <c r="AD661" s="4"/>
      <c r="AE661" s="4"/>
      <c r="AF661" s="4"/>
      <c r="AG661" s="4"/>
      <c r="AH661" s="1" t="s">
        <v>731</v>
      </c>
      <c r="AI661" s="4"/>
    </row>
    <row r="662" spans="1:35" ht="13.5" customHeight="1">
      <c r="A662" s="4"/>
      <c r="B662" s="4"/>
      <c r="C662" s="1" t="s">
        <v>734</v>
      </c>
      <c r="D662" s="1" t="s">
        <v>734</v>
      </c>
      <c r="E662" s="1"/>
      <c r="F662" s="4"/>
      <c r="G662" s="4"/>
      <c r="H662" s="4"/>
      <c r="I662" s="1" t="s">
        <v>734</v>
      </c>
      <c r="J662" s="4"/>
      <c r="K662" s="4"/>
      <c r="L662" s="4"/>
      <c r="M662" s="1" t="s">
        <v>731</v>
      </c>
      <c r="N662" s="4"/>
      <c r="O662" s="4"/>
      <c r="P662" s="4"/>
      <c r="Q662" s="4"/>
      <c r="R662" s="1" t="s">
        <v>731</v>
      </c>
      <c r="S662" s="4"/>
      <c r="T662" s="4"/>
      <c r="U662" s="4"/>
      <c r="V662" s="4"/>
      <c r="W662" s="1" t="s">
        <v>735</v>
      </c>
      <c r="X662" s="4"/>
      <c r="Y662" s="4"/>
      <c r="Z662" s="4"/>
      <c r="AA662" s="4"/>
      <c r="AB662" s="1" t="s">
        <v>731</v>
      </c>
      <c r="AC662" s="4"/>
      <c r="AD662" s="4"/>
      <c r="AE662" s="4"/>
      <c r="AF662" s="4"/>
      <c r="AG662" s="4"/>
      <c r="AH662" s="1" t="s">
        <v>735</v>
      </c>
      <c r="AI662" s="4"/>
    </row>
    <row r="663" spans="1:35" ht="13.5" customHeight="1">
      <c r="A663" s="4"/>
      <c r="B663" s="4"/>
      <c r="C663" s="1" t="s">
        <v>736</v>
      </c>
      <c r="D663" s="1" t="s">
        <v>736</v>
      </c>
      <c r="E663" s="1"/>
      <c r="F663" s="4"/>
      <c r="G663" s="4"/>
      <c r="H663" s="4"/>
      <c r="I663" s="1" t="s">
        <v>736</v>
      </c>
      <c r="J663" s="4"/>
      <c r="K663" s="4"/>
      <c r="L663" s="4"/>
      <c r="M663" s="1" t="s">
        <v>735</v>
      </c>
      <c r="N663" s="4"/>
      <c r="O663" s="4"/>
      <c r="P663" s="4"/>
      <c r="Q663" s="4"/>
      <c r="R663" s="1" t="s">
        <v>735</v>
      </c>
      <c r="S663" s="4"/>
      <c r="T663" s="4"/>
      <c r="U663" s="4"/>
      <c r="V663" s="4"/>
      <c r="W663" s="1" t="s">
        <v>737</v>
      </c>
      <c r="X663" s="4"/>
      <c r="Y663" s="4"/>
      <c r="Z663" s="4"/>
      <c r="AA663" s="4"/>
      <c r="AB663" s="1" t="s">
        <v>734</v>
      </c>
      <c r="AC663" s="4"/>
      <c r="AD663" s="4"/>
      <c r="AE663" s="4"/>
      <c r="AF663" s="4"/>
      <c r="AG663" s="4"/>
      <c r="AH663" s="1" t="s">
        <v>737</v>
      </c>
      <c r="AI663" s="4"/>
    </row>
    <row r="664" spans="1:35" ht="13.5" customHeight="1">
      <c r="A664" s="4"/>
      <c r="B664" s="4"/>
      <c r="C664" s="1" t="s">
        <v>738</v>
      </c>
      <c r="D664" s="1" t="s">
        <v>738</v>
      </c>
      <c r="E664" s="1"/>
      <c r="F664" s="4"/>
      <c r="G664" s="4"/>
      <c r="H664" s="4"/>
      <c r="I664" s="1" t="s">
        <v>738</v>
      </c>
      <c r="J664" s="4"/>
      <c r="K664" s="4"/>
      <c r="L664" s="4"/>
      <c r="M664" s="1" t="s">
        <v>737</v>
      </c>
      <c r="N664" s="4"/>
      <c r="O664" s="4"/>
      <c r="P664" s="4"/>
      <c r="Q664" s="4"/>
      <c r="R664" s="1" t="s">
        <v>737</v>
      </c>
      <c r="S664" s="4"/>
      <c r="T664" s="4"/>
      <c r="U664" s="4"/>
      <c r="V664" s="4"/>
      <c r="W664" s="1" t="s">
        <v>739</v>
      </c>
      <c r="X664" s="4"/>
      <c r="Y664" s="4"/>
      <c r="Z664" s="4"/>
      <c r="AA664" s="4"/>
      <c r="AB664" s="1" t="s">
        <v>736</v>
      </c>
      <c r="AC664" s="4"/>
      <c r="AD664" s="4"/>
      <c r="AE664" s="4"/>
      <c r="AF664" s="4"/>
      <c r="AG664" s="4"/>
      <c r="AH664" s="1" t="s">
        <v>739</v>
      </c>
      <c r="AI664" s="4"/>
    </row>
    <row r="665" spans="1:35" ht="13.5" customHeight="1">
      <c r="A665" s="4"/>
      <c r="B665" s="4"/>
      <c r="C665" s="1" t="s">
        <v>740</v>
      </c>
      <c r="D665" s="1" t="s">
        <v>741</v>
      </c>
      <c r="E665" s="1"/>
      <c r="F665" s="4"/>
      <c r="G665" s="4"/>
      <c r="H665" s="4"/>
      <c r="I665" s="1" t="s">
        <v>742</v>
      </c>
      <c r="J665" s="4"/>
      <c r="K665" s="4"/>
      <c r="L665" s="1"/>
      <c r="M665" s="1" t="s">
        <v>739</v>
      </c>
      <c r="N665" s="4"/>
      <c r="O665" s="4"/>
      <c r="P665" s="4"/>
      <c r="Q665" s="4"/>
      <c r="R665" s="1" t="s">
        <v>739</v>
      </c>
      <c r="S665" s="4"/>
      <c r="T665" s="4"/>
      <c r="U665" s="4"/>
      <c r="V665" s="4"/>
      <c r="W665" s="1" t="s">
        <v>743</v>
      </c>
      <c r="X665" s="4"/>
      <c r="Y665" s="4"/>
      <c r="Z665" s="4"/>
      <c r="AA665" s="4"/>
      <c r="AB665" s="1" t="s">
        <v>738</v>
      </c>
      <c r="AC665" s="4"/>
      <c r="AD665" s="4"/>
      <c r="AE665" s="4"/>
      <c r="AF665" s="4"/>
      <c r="AG665" s="4"/>
      <c r="AH665" s="1" t="s">
        <v>743</v>
      </c>
      <c r="AI665" s="4"/>
    </row>
    <row r="666" spans="1:35" ht="13.5" customHeight="1">
      <c r="A666" s="4"/>
      <c r="B666" s="4"/>
      <c r="C666" s="1" t="s">
        <v>744</v>
      </c>
      <c r="D666" s="1" t="s">
        <v>745</v>
      </c>
      <c r="E666" s="1"/>
      <c r="F666" s="4"/>
      <c r="G666" s="4"/>
      <c r="H666" s="4"/>
      <c r="I666" s="1" t="s">
        <v>745</v>
      </c>
      <c r="J666" s="4"/>
      <c r="K666" s="4"/>
      <c r="L666" s="1"/>
      <c r="M666" s="1" t="s">
        <v>743</v>
      </c>
      <c r="N666" s="4"/>
      <c r="O666" s="4"/>
      <c r="P666" s="4"/>
      <c r="Q666" s="4"/>
      <c r="R666" s="1" t="s">
        <v>743</v>
      </c>
      <c r="S666" s="4"/>
      <c r="T666" s="4"/>
      <c r="U666" s="4"/>
      <c r="V666" s="4"/>
      <c r="W666" s="1" t="s">
        <v>746</v>
      </c>
      <c r="X666" s="4"/>
      <c r="Y666" s="1"/>
      <c r="Z666" s="4"/>
      <c r="AA666" s="4"/>
      <c r="AB666" s="1" t="s">
        <v>747</v>
      </c>
      <c r="AC666" s="4"/>
      <c r="AD666" s="4"/>
      <c r="AE666" s="4"/>
      <c r="AF666" s="4"/>
      <c r="AG666" s="4"/>
      <c r="AH666" s="1" t="s">
        <v>748</v>
      </c>
      <c r="AI666" s="4"/>
    </row>
    <row r="667" spans="1:35" ht="13.5" customHeight="1">
      <c r="A667" s="4"/>
      <c r="B667" s="4"/>
      <c r="C667" s="1" t="s">
        <v>749</v>
      </c>
      <c r="D667" s="1" t="s">
        <v>750</v>
      </c>
      <c r="E667" s="1"/>
      <c r="F667" s="4"/>
      <c r="G667" s="4"/>
      <c r="H667" s="4"/>
      <c r="I667" s="1" t="s">
        <v>750</v>
      </c>
      <c r="J667" s="4"/>
      <c r="K667" s="4"/>
      <c r="L667" s="1"/>
      <c r="M667" s="1" t="s">
        <v>751</v>
      </c>
      <c r="N667" s="4"/>
      <c r="O667" s="4"/>
      <c r="P667" s="4"/>
      <c r="Q667" s="4"/>
      <c r="R667" s="1" t="s">
        <v>751</v>
      </c>
      <c r="S667" s="4"/>
      <c r="T667" s="4"/>
      <c r="U667" s="4"/>
      <c r="V667" s="4"/>
      <c r="W667" s="1" t="s">
        <v>750</v>
      </c>
      <c r="X667" s="4"/>
      <c r="Y667" s="4"/>
      <c r="Z667" s="4"/>
      <c r="AA667" s="4"/>
      <c r="AB667" s="1" t="s">
        <v>750</v>
      </c>
      <c r="AC667" s="4"/>
      <c r="AD667" s="4"/>
      <c r="AE667" s="4"/>
      <c r="AF667" s="4"/>
      <c r="AG667" s="4"/>
      <c r="AH667" s="1" t="s">
        <v>750</v>
      </c>
      <c r="AI667" s="4"/>
    </row>
    <row r="668" spans="1:35" ht="13.5" customHeight="1">
      <c r="A668" s="4"/>
      <c r="B668" s="4"/>
      <c r="C668" s="1" t="s">
        <v>752</v>
      </c>
      <c r="D668" s="1" t="s">
        <v>753</v>
      </c>
      <c r="E668" s="1"/>
      <c r="F668" s="4"/>
      <c r="G668" s="4"/>
      <c r="H668" s="4"/>
      <c r="I668" s="1" t="s">
        <v>754</v>
      </c>
      <c r="J668" s="4"/>
      <c r="K668" s="4"/>
      <c r="L668" s="1"/>
      <c r="M668" s="1" t="s">
        <v>750</v>
      </c>
      <c r="N668" s="4"/>
      <c r="O668" s="4"/>
      <c r="P668" s="4"/>
      <c r="Q668" s="4"/>
      <c r="R668" s="1" t="s">
        <v>750</v>
      </c>
      <c r="S668" s="4"/>
      <c r="T668" s="4"/>
      <c r="U668" s="4"/>
      <c r="V668" s="4"/>
      <c r="W668" s="1" t="s">
        <v>755</v>
      </c>
      <c r="X668" s="4"/>
      <c r="Y668" s="4"/>
      <c r="Z668" s="4"/>
      <c r="AA668" s="4"/>
      <c r="AB668" s="1" t="s">
        <v>712</v>
      </c>
      <c r="AC668" s="4"/>
      <c r="AD668" s="4"/>
      <c r="AE668" s="4"/>
      <c r="AF668" s="4"/>
      <c r="AG668" s="4"/>
      <c r="AH668" s="1" t="s">
        <v>756</v>
      </c>
      <c r="AI668" s="4"/>
    </row>
    <row r="669" spans="1:35" ht="13.5" customHeight="1">
      <c r="A669" s="4"/>
      <c r="B669" s="4"/>
      <c r="C669" s="1" t="s">
        <v>757</v>
      </c>
      <c r="D669" s="1" t="s">
        <v>745</v>
      </c>
      <c r="E669" s="4"/>
      <c r="F669" s="4"/>
      <c r="G669" s="4"/>
      <c r="H669" s="4"/>
      <c r="I669" s="1" t="s">
        <v>745</v>
      </c>
      <c r="J669" s="4"/>
      <c r="K669" s="4"/>
      <c r="L669" s="1"/>
      <c r="M669" s="1" t="s">
        <v>758</v>
      </c>
      <c r="N669" s="4"/>
      <c r="O669" s="4"/>
      <c r="P669" s="4"/>
      <c r="Q669" s="4"/>
      <c r="R669" s="1" t="s">
        <v>758</v>
      </c>
      <c r="S669" s="4"/>
      <c r="T669" s="4"/>
      <c r="U669" s="4"/>
      <c r="V669" s="4"/>
      <c r="W669" s="4"/>
      <c r="X669" s="4"/>
      <c r="Y669" s="4"/>
      <c r="Z669" s="4"/>
      <c r="AA669" s="4"/>
      <c r="AB669" s="1" t="s">
        <v>747</v>
      </c>
      <c r="AC669" s="4"/>
      <c r="AD669" s="4"/>
      <c r="AE669" s="4"/>
      <c r="AF669" s="4"/>
      <c r="AG669" s="4"/>
      <c r="AH669" s="1" t="s">
        <v>750</v>
      </c>
      <c r="AI669" s="4"/>
    </row>
    <row r="670" spans="1:35" ht="13.5" customHeight="1">
      <c r="A670" s="4"/>
      <c r="B670" s="4"/>
      <c r="C670" s="1" t="s">
        <v>759</v>
      </c>
      <c r="D670" s="1" t="s">
        <v>760</v>
      </c>
      <c r="E670" s="1"/>
      <c r="F670" s="1"/>
      <c r="G670" s="4"/>
      <c r="H670" s="4"/>
      <c r="I670" s="1" t="s">
        <v>760</v>
      </c>
      <c r="J670" s="4"/>
      <c r="K670" s="4"/>
      <c r="L670" s="4"/>
      <c r="M670" s="1" t="s">
        <v>750</v>
      </c>
      <c r="N670" s="4"/>
      <c r="O670" s="4"/>
      <c r="P670" s="4"/>
      <c r="Q670" s="4"/>
      <c r="R670" s="1" t="s">
        <v>750</v>
      </c>
      <c r="S670" s="4"/>
      <c r="T670" s="4"/>
      <c r="U670" s="4"/>
      <c r="V670" s="4"/>
      <c r="W670" s="4"/>
      <c r="X670" s="4"/>
      <c r="Y670" s="4"/>
      <c r="Z670" s="4"/>
      <c r="AA670" s="4"/>
      <c r="AB670" s="1" t="s">
        <v>761</v>
      </c>
      <c r="AC670" s="4"/>
      <c r="AD670" s="4"/>
      <c r="AE670" s="4"/>
      <c r="AF670" s="4"/>
      <c r="AG670" s="4"/>
      <c r="AH670" s="4"/>
      <c r="AI670" s="4"/>
    </row>
    <row r="671" spans="1:35" ht="13.5" customHeight="1">
      <c r="A671" s="4"/>
      <c r="B671" s="4"/>
      <c r="C671" s="1" t="s">
        <v>762</v>
      </c>
      <c r="D671" s="1" t="s">
        <v>744</v>
      </c>
      <c r="E671" s="1"/>
      <c r="F671" s="1"/>
      <c r="G671" s="4"/>
      <c r="H671" s="4"/>
      <c r="I671" s="1" t="s">
        <v>744</v>
      </c>
      <c r="J671" s="4"/>
      <c r="K671" s="4"/>
      <c r="L671" s="4"/>
      <c r="M671" s="4"/>
      <c r="N671" s="4"/>
      <c r="O671" s="4"/>
      <c r="P671" s="4"/>
      <c r="Q671" s="4"/>
      <c r="R671" s="1"/>
      <c r="S671" s="4"/>
      <c r="T671" s="4"/>
      <c r="U671" s="4"/>
      <c r="V671" s="4"/>
      <c r="W671" s="1" t="s">
        <v>763</v>
      </c>
      <c r="X671" s="4"/>
      <c r="Y671" s="4"/>
      <c r="Z671" s="4"/>
      <c r="AA671" s="4"/>
      <c r="AB671" s="1" t="s">
        <v>764</v>
      </c>
      <c r="AC671" s="4"/>
      <c r="AD671" s="4"/>
      <c r="AE671" s="4"/>
      <c r="AF671" s="4"/>
      <c r="AG671" s="4"/>
      <c r="AH671" s="4"/>
      <c r="AI671" s="4"/>
    </row>
    <row r="672" spans="1:35" ht="13.5" customHeight="1">
      <c r="A672" s="4"/>
      <c r="B672" s="4"/>
      <c r="C672" s="1" t="s">
        <v>765</v>
      </c>
      <c r="D672" s="1" t="s">
        <v>749</v>
      </c>
      <c r="E672" s="1"/>
      <c r="F672" s="4"/>
      <c r="G672" s="4"/>
      <c r="H672" s="4"/>
      <c r="I672" s="1" t="s">
        <v>749</v>
      </c>
      <c r="J672" s="4"/>
      <c r="K672" s="4"/>
      <c r="L672" s="4"/>
      <c r="M672" s="1" t="s">
        <v>751</v>
      </c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1" t="s">
        <v>766</v>
      </c>
      <c r="AC672" s="4"/>
      <c r="AD672" s="4"/>
      <c r="AE672" s="4"/>
      <c r="AF672" s="4"/>
      <c r="AG672" s="4"/>
      <c r="AH672" s="4"/>
      <c r="AI672" s="4"/>
    </row>
    <row r="673" spans="1:35" ht="13.5" customHeight="1">
      <c r="A673" s="4"/>
      <c r="B673" s="4"/>
      <c r="C673" s="1" t="s">
        <v>767</v>
      </c>
      <c r="D673" s="1" t="s">
        <v>752</v>
      </c>
      <c r="E673" s="1"/>
      <c r="F673" s="4"/>
      <c r="G673" s="4"/>
      <c r="H673" s="4"/>
      <c r="I673" s="1" t="s">
        <v>752</v>
      </c>
      <c r="J673" s="4"/>
      <c r="K673" s="4"/>
      <c r="L673" s="4"/>
      <c r="M673" s="1" t="s">
        <v>748</v>
      </c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1" t="s">
        <v>768</v>
      </c>
      <c r="AC673" s="4"/>
      <c r="AD673" s="4"/>
      <c r="AE673" s="4"/>
      <c r="AF673" s="4"/>
      <c r="AG673" s="4"/>
      <c r="AH673" s="4"/>
      <c r="AI673" s="4"/>
    </row>
    <row r="674" spans="1:35" ht="13.5" customHeight="1">
      <c r="A674" s="4"/>
      <c r="B674" s="4"/>
      <c r="C674" s="1" t="s">
        <v>769</v>
      </c>
      <c r="D674" s="1" t="s">
        <v>757</v>
      </c>
      <c r="E674" s="4"/>
      <c r="F674" s="4"/>
      <c r="G674" s="4"/>
      <c r="H674" s="4"/>
      <c r="I674" s="1" t="s">
        <v>757</v>
      </c>
      <c r="J674" s="4"/>
      <c r="K674" s="1"/>
      <c r="L674" s="4"/>
      <c r="M674" s="1" t="s">
        <v>770</v>
      </c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1" t="s">
        <v>771</v>
      </c>
      <c r="AC674" s="4"/>
      <c r="AD674" s="1"/>
      <c r="AE674" s="4"/>
      <c r="AF674" s="4"/>
      <c r="AG674" s="4"/>
      <c r="AH674" s="4"/>
      <c r="AI674" s="4"/>
    </row>
    <row r="675" spans="1:35" ht="13.5" customHeight="1">
      <c r="A675" s="4"/>
      <c r="B675" s="4"/>
      <c r="C675" s="1" t="s">
        <v>772</v>
      </c>
      <c r="D675" s="1" t="s">
        <v>759</v>
      </c>
      <c r="E675" s="4"/>
      <c r="F675" s="1"/>
      <c r="G675" s="4"/>
      <c r="H675" s="4"/>
      <c r="I675" s="1" t="s">
        <v>759</v>
      </c>
      <c r="J675" s="4"/>
      <c r="K675" s="4"/>
      <c r="L675" s="4"/>
      <c r="M675" s="1" t="s">
        <v>763</v>
      </c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1" t="s">
        <v>773</v>
      </c>
      <c r="AC675" s="4"/>
      <c r="AD675" s="4"/>
      <c r="AE675" s="4"/>
      <c r="AF675" s="4"/>
      <c r="AG675" s="4"/>
      <c r="AH675" s="4"/>
      <c r="AI675" s="4"/>
    </row>
    <row r="676" spans="1:35" ht="13.5" customHeight="1">
      <c r="A676" s="4"/>
      <c r="B676" s="4"/>
      <c r="C676" s="1" t="s">
        <v>774</v>
      </c>
      <c r="D676" s="1" t="s">
        <v>762</v>
      </c>
      <c r="E676" s="4"/>
      <c r="F676" s="1"/>
      <c r="G676" s="4"/>
      <c r="H676" s="4"/>
      <c r="I676" s="1" t="s">
        <v>762</v>
      </c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1" t="s">
        <v>775</v>
      </c>
      <c r="AC676" s="4"/>
      <c r="AD676" s="4"/>
      <c r="AE676" s="4"/>
      <c r="AF676" s="4"/>
      <c r="AG676" s="4"/>
      <c r="AH676" s="4"/>
      <c r="AI676" s="4"/>
    </row>
    <row r="677" spans="1:35" ht="13.5" customHeight="1">
      <c r="A677" s="4"/>
      <c r="B677" s="4"/>
      <c r="C677" s="1" t="s">
        <v>776</v>
      </c>
      <c r="D677" s="1" t="s">
        <v>765</v>
      </c>
      <c r="E677" s="4"/>
      <c r="F677" s="1"/>
      <c r="G677" s="4"/>
      <c r="H677" s="4"/>
      <c r="I677" s="1" t="s">
        <v>765</v>
      </c>
      <c r="J677" s="4"/>
      <c r="K677" s="4"/>
      <c r="L677" s="4"/>
      <c r="M677" s="1" t="s">
        <v>777</v>
      </c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1" t="s">
        <v>778</v>
      </c>
      <c r="AC677" s="4"/>
      <c r="AD677" s="4"/>
      <c r="AE677" s="4"/>
      <c r="AF677" s="4"/>
      <c r="AG677" s="4"/>
      <c r="AH677" s="4"/>
      <c r="AI677" s="4"/>
    </row>
    <row r="678" spans="1:35" ht="13.5" customHeight="1">
      <c r="A678" s="4"/>
      <c r="B678" s="4"/>
      <c r="C678" s="1" t="s">
        <v>779</v>
      </c>
      <c r="D678" s="1" t="s">
        <v>776</v>
      </c>
      <c r="E678" s="4"/>
      <c r="F678" s="1"/>
      <c r="G678" s="4"/>
      <c r="H678" s="4"/>
      <c r="I678" s="1" t="s">
        <v>776</v>
      </c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1" t="s">
        <v>780</v>
      </c>
      <c r="AC678" s="4"/>
      <c r="AD678" s="4"/>
      <c r="AE678" s="4"/>
      <c r="AF678" s="4"/>
      <c r="AG678" s="4"/>
      <c r="AH678" s="4"/>
      <c r="AI678" s="4"/>
    </row>
    <row r="679" spans="1:35" ht="13.5" customHeight="1">
      <c r="A679" s="4"/>
      <c r="B679" s="4"/>
      <c r="C679" s="1" t="s">
        <v>781</v>
      </c>
      <c r="D679" s="1" t="s">
        <v>779</v>
      </c>
      <c r="E679" s="4"/>
      <c r="F679" s="1"/>
      <c r="G679" s="4"/>
      <c r="H679" s="4"/>
      <c r="I679" s="1" t="s">
        <v>779</v>
      </c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1" t="s">
        <v>782</v>
      </c>
      <c r="AC679" s="4"/>
      <c r="AD679" s="4"/>
      <c r="AE679" s="4"/>
      <c r="AF679" s="4"/>
      <c r="AG679" s="4"/>
      <c r="AH679" s="4"/>
      <c r="AI679" s="4"/>
    </row>
    <row r="680" spans="1:35" ht="13.5" customHeight="1">
      <c r="A680" s="4"/>
      <c r="B680" s="4"/>
      <c r="C680" s="1" t="s">
        <v>783</v>
      </c>
      <c r="D680" s="1" t="s">
        <v>781</v>
      </c>
      <c r="E680" s="4"/>
      <c r="F680" s="1"/>
      <c r="G680" s="4"/>
      <c r="H680" s="4"/>
      <c r="I680" s="1" t="s">
        <v>781</v>
      </c>
      <c r="J680" s="4"/>
      <c r="K680" s="4"/>
      <c r="L680" s="4"/>
      <c r="M680" s="1" t="s">
        <v>751</v>
      </c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1" t="s">
        <v>784</v>
      </c>
      <c r="AC680" s="4"/>
      <c r="AD680" s="4"/>
      <c r="AE680" s="4"/>
      <c r="AF680" s="4"/>
      <c r="AG680" s="4"/>
      <c r="AH680" s="4"/>
      <c r="AI680" s="4"/>
    </row>
    <row r="681" spans="1:35" ht="13.5" customHeight="1">
      <c r="A681" s="4"/>
      <c r="B681" s="4"/>
      <c r="C681" s="1" t="s">
        <v>785</v>
      </c>
      <c r="D681" s="1" t="s">
        <v>783</v>
      </c>
      <c r="E681" s="4"/>
      <c r="F681" s="1"/>
      <c r="G681" s="4"/>
      <c r="H681" s="4"/>
      <c r="I681" s="1" t="s">
        <v>783</v>
      </c>
      <c r="J681" s="4"/>
      <c r="K681" s="4"/>
      <c r="L681" s="4"/>
      <c r="M681" s="1" t="s">
        <v>786</v>
      </c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1" t="s">
        <v>787</v>
      </c>
      <c r="AC681" s="4"/>
      <c r="AD681" s="4"/>
      <c r="AE681" s="4"/>
      <c r="AF681" s="4"/>
      <c r="AG681" s="4"/>
      <c r="AH681" s="4"/>
      <c r="AI681" s="4"/>
    </row>
    <row r="682" spans="1:35" ht="13.5" customHeight="1">
      <c r="A682" s="4"/>
      <c r="B682" s="4"/>
      <c r="C682" s="1" t="s">
        <v>788</v>
      </c>
      <c r="D682" s="1" t="s">
        <v>788</v>
      </c>
      <c r="E682" s="1"/>
      <c r="F682" s="1"/>
      <c r="G682" s="47"/>
      <c r="H682" s="4"/>
      <c r="I682" s="1" t="s">
        <v>788</v>
      </c>
      <c r="J682" s="4"/>
      <c r="K682" s="4"/>
      <c r="L682" s="4"/>
      <c r="M682" s="1" t="s">
        <v>789</v>
      </c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1" t="s">
        <v>790</v>
      </c>
      <c r="AC682" s="4"/>
      <c r="AD682" s="4"/>
      <c r="AE682" s="4"/>
      <c r="AF682" s="4"/>
      <c r="AG682" s="4"/>
      <c r="AH682" s="4"/>
      <c r="AI682" s="4"/>
    </row>
    <row r="683" spans="1:35" ht="13.5" customHeight="1">
      <c r="A683" s="4"/>
      <c r="B683" s="4"/>
      <c r="C683" s="1" t="s">
        <v>791</v>
      </c>
      <c r="D683" s="1" t="s">
        <v>785</v>
      </c>
      <c r="E683" s="4"/>
      <c r="F683" s="1"/>
      <c r="G683" s="4"/>
      <c r="H683" s="4"/>
      <c r="I683" s="1" t="s">
        <v>785</v>
      </c>
      <c r="J683" s="4"/>
      <c r="K683" s="4"/>
      <c r="L683" s="4"/>
      <c r="M683" s="1" t="s">
        <v>748</v>
      </c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1" t="s">
        <v>792</v>
      </c>
      <c r="AC683" s="4"/>
      <c r="AD683" s="4"/>
      <c r="AE683" s="4"/>
      <c r="AF683" s="4"/>
      <c r="AG683" s="4"/>
      <c r="AH683" s="4"/>
      <c r="AI683" s="4"/>
    </row>
    <row r="684" spans="1:35" ht="13.5" customHeight="1">
      <c r="A684" s="4"/>
      <c r="B684" s="4"/>
      <c r="C684" s="1" t="s">
        <v>793</v>
      </c>
      <c r="D684" s="1" t="s">
        <v>791</v>
      </c>
      <c r="E684" s="4"/>
      <c r="F684" s="4"/>
      <c r="G684" s="4"/>
      <c r="H684" s="4"/>
      <c r="I684" s="1" t="s">
        <v>791</v>
      </c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1" t="s">
        <v>750</v>
      </c>
      <c r="AC684" s="4"/>
      <c r="AD684" s="4"/>
      <c r="AE684" s="4"/>
      <c r="AF684" s="4"/>
      <c r="AG684" s="4"/>
      <c r="AH684" s="4"/>
      <c r="AI684" s="4"/>
    </row>
    <row r="685" spans="1:35" ht="13.5" customHeight="1">
      <c r="A685" s="4"/>
      <c r="B685" s="4"/>
      <c r="C685" s="1" t="s">
        <v>750</v>
      </c>
      <c r="D685" s="1" t="s">
        <v>793</v>
      </c>
      <c r="E685" s="4"/>
      <c r="F685" s="4"/>
      <c r="G685" s="4"/>
      <c r="H685" s="4"/>
      <c r="I685" s="1" t="s">
        <v>793</v>
      </c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1" t="s">
        <v>755</v>
      </c>
      <c r="AC685" s="4"/>
      <c r="AD685" s="4"/>
      <c r="AE685" s="4"/>
      <c r="AF685" s="4"/>
      <c r="AG685" s="4"/>
      <c r="AH685" s="4"/>
      <c r="AI685" s="4"/>
    </row>
    <row r="686" spans="1:35" ht="13.5" customHeight="1">
      <c r="A686" s="4"/>
      <c r="B686" s="4"/>
      <c r="C686" s="1" t="s">
        <v>755</v>
      </c>
      <c r="D686" s="1" t="s">
        <v>750</v>
      </c>
      <c r="E686" s="4"/>
      <c r="F686" s="4"/>
      <c r="G686" s="4"/>
      <c r="H686" s="4"/>
      <c r="I686" s="1" t="s">
        <v>750</v>
      </c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</row>
    <row r="687" spans="1:35" ht="13.5" customHeight="1">
      <c r="A687" s="4"/>
      <c r="B687" s="4"/>
      <c r="C687" s="4"/>
      <c r="D687" s="1" t="s">
        <v>755</v>
      </c>
      <c r="E687" s="4"/>
      <c r="F687" s="4"/>
      <c r="G687" s="4"/>
      <c r="H687" s="4"/>
      <c r="I687" s="1" t="s">
        <v>755</v>
      </c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1" t="s">
        <v>788</v>
      </c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</row>
    <row r="688" spans="1:35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1" t="s">
        <v>793</v>
      </c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</row>
    <row r="689" spans="1:35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1" t="s">
        <v>745</v>
      </c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</row>
    <row r="690" spans="1:35" ht="13.5" customHeight="1">
      <c r="A690" s="4"/>
      <c r="B690" s="4"/>
      <c r="C690" s="4"/>
      <c r="D690" s="4"/>
      <c r="E690" s="4"/>
      <c r="F690" s="4"/>
      <c r="G690" s="4"/>
      <c r="H690" s="4"/>
      <c r="I690" s="1" t="s">
        <v>793</v>
      </c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1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</row>
    <row r="691" spans="1:35" ht="13.5" customHeight="1">
      <c r="A691" s="4"/>
      <c r="B691" s="4"/>
      <c r="C691" s="1" t="s">
        <v>794</v>
      </c>
      <c r="D691" s="4"/>
      <c r="E691" s="4"/>
      <c r="F691" s="4"/>
      <c r="G691" s="4"/>
      <c r="H691" s="4"/>
      <c r="I691" s="1" t="s">
        <v>745</v>
      </c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1" t="s">
        <v>795</v>
      </c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</row>
    <row r="692" spans="1:35" ht="13.5" customHeight="1">
      <c r="A692" s="4"/>
      <c r="B692" s="4"/>
      <c r="C692" s="1" t="s">
        <v>796</v>
      </c>
      <c r="D692" s="4"/>
      <c r="E692" s="4"/>
      <c r="F692" s="4"/>
      <c r="G692" s="4"/>
      <c r="H692" s="4"/>
      <c r="I692" s="1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1" t="s">
        <v>797</v>
      </c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</row>
    <row r="693" spans="1:35" ht="13.5" customHeight="1">
      <c r="A693" s="4"/>
      <c r="B693" s="4"/>
      <c r="C693" s="1" t="s">
        <v>798</v>
      </c>
      <c r="D693" s="4"/>
      <c r="E693" s="4"/>
      <c r="F693" s="4"/>
      <c r="G693" s="4"/>
      <c r="H693" s="4"/>
      <c r="I693" s="1" t="s">
        <v>757</v>
      </c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1" t="s">
        <v>799</v>
      </c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</row>
    <row r="694" spans="1:35" ht="13.5" customHeight="1">
      <c r="A694" s="4"/>
      <c r="B694" s="4"/>
      <c r="C694" s="1" t="s">
        <v>800</v>
      </c>
      <c r="D694" s="4"/>
      <c r="E694" s="4"/>
      <c r="F694" s="4"/>
      <c r="G694" s="4"/>
      <c r="H694" s="4"/>
      <c r="I694" s="1" t="s">
        <v>759</v>
      </c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1" t="s">
        <v>801</v>
      </c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</row>
    <row r="695" spans="1:35" ht="13.5" customHeight="1">
      <c r="A695" s="4"/>
      <c r="B695" s="4"/>
      <c r="C695" s="1" t="s">
        <v>802</v>
      </c>
      <c r="D695" s="4"/>
      <c r="E695" s="4"/>
      <c r="F695" s="4"/>
      <c r="G695" s="4"/>
      <c r="H695" s="4"/>
      <c r="I695" s="1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</row>
    <row r="696" spans="1:35" ht="13.5" customHeight="1">
      <c r="A696" s="4"/>
      <c r="B696" s="4"/>
      <c r="C696" s="4"/>
      <c r="D696" s="4"/>
      <c r="E696" s="4"/>
      <c r="F696" s="4"/>
      <c r="G696" s="4"/>
      <c r="H696" s="4"/>
      <c r="I696" s="1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</row>
  </sheetData>
  <printOptions/>
  <pageMargins left="1" right="0.75" top="0.5" bottom="0.5" header="0.5" footer="0.5"/>
  <pageSetup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Order - Initial</vt:lpwstr>
  </property>
  <property fmtid="{D5CDD505-2E9C-101B-9397-08002B2CF9AE}" pid="4" name="IsDocumentOrd">
    <vt:lpwstr>1</vt:lpwstr>
  </property>
  <property fmtid="{D5CDD505-2E9C-101B-9397-08002B2CF9AE}" pid="5" name="IsHighlyConfidenti">
    <vt:lpwstr>0</vt:lpwstr>
  </property>
  <property fmtid="{D5CDD505-2E9C-101B-9397-08002B2CF9AE}" pid="6" name="IsConfidenti">
    <vt:lpwstr>0</vt:lpwstr>
  </property>
  <property fmtid="{D5CDD505-2E9C-101B-9397-08002B2CF9AE}" pid="7" name="DocketNumb">
    <vt:lpwstr>010877</vt:lpwstr>
  </property>
  <property fmtid="{D5CDD505-2E9C-101B-9397-08002B2CF9AE}" pid="8" name="Dat">
    <vt:lpwstr>2002-05-03T00:00:00Z</vt:lpwstr>
  </property>
  <property fmtid="{D5CDD505-2E9C-101B-9397-08002B2CF9AE}" pid="9" name="CaseTy">
    <vt:lpwstr>Tariff Revision</vt:lpwstr>
  </property>
  <property fmtid="{D5CDD505-2E9C-101B-9397-08002B2CF9AE}" pid="10" name="OpenedDa">
    <vt:lpwstr>2001-06-15T00:00:00Z</vt:lpwstr>
  </property>
  <property fmtid="{D5CDD505-2E9C-101B-9397-08002B2CF9AE}" pid="11" name="Pref">
    <vt:lpwstr>UW</vt:lpwstr>
  </property>
  <property fmtid="{D5CDD505-2E9C-101B-9397-08002B2CF9AE}" pid="12" name="CaseCompanyNam">
    <vt:lpwstr>Rainier View Water Company, Inc.</vt:lpwstr>
  </property>
  <property fmtid="{D5CDD505-2E9C-101B-9397-08002B2CF9AE}" pid="13" name="IndustryCo">
    <vt:lpwstr>160</vt:lpwstr>
  </property>
  <property fmtid="{D5CDD505-2E9C-101B-9397-08002B2CF9AE}" pid="14" name="CaseStat">
    <vt:lpwstr>Closed</vt:lpwstr>
  </property>
  <property fmtid="{D5CDD505-2E9C-101B-9397-08002B2CF9AE}" pid="15" name="_docset_NoMedatataSyncRequir">
    <vt:lpwstr>False</vt:lpwstr>
  </property>
  <property fmtid="{D5CDD505-2E9C-101B-9397-08002B2CF9AE}" pid="16" name="Nickna">
    <vt:lpwstr/>
  </property>
  <property fmtid="{D5CDD505-2E9C-101B-9397-08002B2CF9AE}" pid="17" name="Proce">
    <vt:lpwstr/>
  </property>
  <property fmtid="{D5CDD505-2E9C-101B-9397-08002B2CF9AE}" pid="18" name="Visibili">
    <vt:lpwstr/>
  </property>
  <property fmtid="{D5CDD505-2E9C-101B-9397-08002B2CF9AE}" pid="19" name="DocumentGro">
    <vt:lpwstr/>
  </property>
  <property fmtid="{D5CDD505-2E9C-101B-9397-08002B2CF9AE}" pid="20" name="DelegatedOrd">
    <vt:lpwstr>0</vt:lpwstr>
  </property>
  <property fmtid="{D5CDD505-2E9C-101B-9397-08002B2CF9AE}" pid="21" name="AgendaOrd">
    <vt:lpwstr>0</vt:lpwstr>
  </property>
</Properties>
</file>