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1.01 ADFIT\"/>
    </mc:Choice>
  </mc:AlternateContent>
  <bookViews>
    <workbookView xWindow="0" yWindow="0" windowWidth="23040" windowHeight="9408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'Elec-Dec19'!$A$1:$F$51</definedName>
    <definedName name="_xlnm.Print_Area" localSheetId="15">'Gas AMA-Functional'!$A$1:$H$29</definedName>
    <definedName name="_xlnm.Print_Area" localSheetId="1">'Gas North-Dec19'!$A$1:$F$46</definedName>
    <definedName name="_xlnm.Print_Area" localSheetId="5">'Other DFIT_AMA'!$A$1:$E$27</definedName>
    <definedName name="_xlnm.Print_Area" localSheetId="2">'SYS-Dec19'!$A$1:$G$37</definedName>
  </definedNames>
  <calcPr calcId="152511" calcOnSave="0"/>
</workbook>
</file>

<file path=xl/calcChain.xml><?xml version="1.0" encoding="utf-8"?>
<calcChain xmlns="http://schemas.openxmlformats.org/spreadsheetml/2006/main">
  <c r="D27" i="6" l="1"/>
  <c r="D26" i="6"/>
  <c r="D25" i="6"/>
  <c r="D24" i="6"/>
  <c r="D23" i="6"/>
  <c r="D22" i="6"/>
  <c r="D16" i="6"/>
  <c r="D14" i="6"/>
  <c r="D12" i="6"/>
  <c r="D10" i="6"/>
  <c r="D8" i="6"/>
  <c r="F27" i="6" l="1"/>
  <c r="F14" i="6"/>
  <c r="E14" i="6"/>
  <c r="E16" i="6"/>
  <c r="E8" i="6"/>
  <c r="D25" i="22" l="1"/>
  <c r="D31" i="21" l="1"/>
  <c r="L12" i="21"/>
  <c r="H12" i="21"/>
  <c r="I40" i="23" l="1"/>
  <c r="I41" i="23"/>
  <c r="I39" i="23"/>
  <c r="I31" i="23"/>
  <c r="I32" i="23"/>
  <c r="I33" i="23"/>
  <c r="I34" i="23"/>
  <c r="I35" i="23"/>
  <c r="I36" i="23"/>
  <c r="I37" i="23"/>
  <c r="I38" i="23"/>
  <c r="I30" i="23"/>
  <c r="H40" i="23"/>
  <c r="H41" i="23"/>
  <c r="H39" i="23"/>
  <c r="H31" i="23"/>
  <c r="H32" i="23"/>
  <c r="H33" i="23"/>
  <c r="H34" i="23"/>
  <c r="H35" i="23"/>
  <c r="H36" i="23"/>
  <c r="H37" i="23"/>
  <c r="H38" i="23"/>
  <c r="H30" i="23"/>
  <c r="G40" i="23"/>
  <c r="G41" i="23"/>
  <c r="G39" i="23"/>
  <c r="G31" i="23"/>
  <c r="G32" i="23"/>
  <c r="G33" i="23"/>
  <c r="G34" i="23"/>
  <c r="G35" i="23"/>
  <c r="G36" i="23"/>
  <c r="G37" i="23"/>
  <c r="G38" i="23"/>
  <c r="G30" i="23"/>
  <c r="B40" i="23"/>
  <c r="B41" i="23"/>
  <c r="B39" i="23"/>
  <c r="B31" i="23"/>
  <c r="B32" i="23"/>
  <c r="B33" i="23"/>
  <c r="B34" i="23"/>
  <c r="B35" i="23"/>
  <c r="B36" i="23"/>
  <c r="B37" i="23"/>
  <c r="B38" i="23"/>
  <c r="B30" i="23"/>
  <c r="N32" i="23"/>
  <c r="O32" i="23"/>
  <c r="P32" i="23"/>
  <c r="Q32" i="23"/>
  <c r="Q33" i="23" s="1"/>
  <c r="Q34" i="23" s="1"/>
  <c r="Q35" i="23" s="1"/>
  <c r="Q36" i="23" s="1"/>
  <c r="Q37" i="23" s="1"/>
  <c r="Q38" i="23" s="1"/>
  <c r="Q39" i="23" s="1"/>
  <c r="Q40" i="23" s="1"/>
  <c r="Q41" i="23" s="1"/>
  <c r="N33" i="23"/>
  <c r="O33" i="23"/>
  <c r="P33" i="23"/>
  <c r="N34" i="23"/>
  <c r="O34" i="23"/>
  <c r="P34" i="23"/>
  <c r="N35" i="23"/>
  <c r="O35" i="23"/>
  <c r="P35" i="23"/>
  <c r="N36" i="23"/>
  <c r="O36" i="23"/>
  <c r="P36" i="23"/>
  <c r="N37" i="23"/>
  <c r="O37" i="23"/>
  <c r="P37" i="23"/>
  <c r="N38" i="23"/>
  <c r="O38" i="23"/>
  <c r="P38" i="23"/>
  <c r="N39" i="23"/>
  <c r="O39" i="23"/>
  <c r="P39" i="23"/>
  <c r="N40" i="23"/>
  <c r="O40" i="23"/>
  <c r="P40" i="23"/>
  <c r="N41" i="23"/>
  <c r="O41" i="23"/>
  <c r="P41" i="23"/>
  <c r="Q31" i="23"/>
  <c r="P31" i="23"/>
  <c r="O31" i="23"/>
  <c r="N31" i="23"/>
  <c r="O30" i="23"/>
  <c r="P30" i="23"/>
  <c r="Q30" i="23"/>
  <c r="N30" i="23"/>
  <c r="P27" i="23"/>
  <c r="O27" i="23"/>
  <c r="M27" i="23" s="1"/>
  <c r="Q27" i="23"/>
  <c r="N27" i="23"/>
  <c r="M10" i="23"/>
  <c r="M11" i="23"/>
  <c r="M12" i="23"/>
  <c r="M13" i="23"/>
  <c r="M14" i="23"/>
  <c r="M15" i="23"/>
  <c r="M16" i="23"/>
  <c r="M17" i="23"/>
  <c r="M18" i="23"/>
  <c r="M19" i="23"/>
  <c r="M20" i="23"/>
  <c r="M9" i="23"/>
  <c r="G6" i="11"/>
  <c r="D30" i="23" l="1"/>
  <c r="D31" i="23"/>
  <c r="D32" i="23"/>
  <c r="D33" i="23"/>
  <c r="D34" i="23"/>
  <c r="D35" i="23"/>
  <c r="D36" i="23"/>
  <c r="D37" i="23"/>
  <c r="D38" i="23"/>
  <c r="A53" i="15"/>
  <c r="A17" i="15"/>
  <c r="A72" i="14"/>
  <c r="A23" i="14"/>
  <c r="H32" i="22"/>
  <c r="H33" i="22" s="1"/>
  <c r="H34" i="22" s="1"/>
  <c r="H39" i="21"/>
  <c r="H38" i="21"/>
  <c r="A19" i="2" l="1"/>
  <c r="A28" i="1"/>
  <c r="C19" i="24" l="1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F7" i="24" l="1"/>
  <c r="F14" i="8" s="1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F15" i="8" s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6" i="8" s="1"/>
  <c r="F10" i="24" l="1"/>
  <c r="F17" i="8" s="1"/>
  <c r="B11" i="24"/>
  <c r="D11" i="24" s="1"/>
  <c r="H25" i="21"/>
  <c r="A3" i="8"/>
  <c r="B12" i="24" l="1"/>
  <c r="D12" i="24" s="1"/>
  <c r="F11" i="24"/>
  <c r="F18" i="8" s="1"/>
  <c r="F12" i="24" l="1"/>
  <c r="F19" i="8" s="1"/>
  <c r="B13" i="24"/>
  <c r="D13" i="24" s="1"/>
  <c r="I7" i="19"/>
  <c r="A6" i="19"/>
  <c r="B14" i="24" l="1"/>
  <c r="D14" i="24" s="1"/>
  <c r="F13" i="24"/>
  <c r="F20" i="8" s="1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F21" i="8" s="1"/>
  <c r="B15" i="24"/>
  <c r="D15" i="24" s="1"/>
  <c r="I25" i="22"/>
  <c r="F15" i="24" l="1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1" i="8" s="1"/>
  <c r="F13" i="8" s="1"/>
  <c r="F17" i="24"/>
  <c r="F24" i="8" s="1"/>
  <c r="L13" i="21"/>
  <c r="K13" i="21"/>
  <c r="H13" i="21"/>
  <c r="G13" i="21"/>
  <c r="C12" i="21"/>
  <c r="D12" i="21"/>
  <c r="M12" i="21"/>
  <c r="I12" i="21"/>
  <c r="F25" i="8" l="1"/>
  <c r="F26" i="8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B63" i="23"/>
  <c r="D63" i="23" s="1"/>
  <c r="K63" i="23" s="1"/>
  <c r="I66" i="23"/>
  <c r="I68" i="23"/>
  <c r="H68" i="23"/>
  <c r="H66" i="23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0"/>
  <c r="D10" i="10" s="1"/>
  <c r="F9" i="10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E25" i="14"/>
  <c r="G25" i="14"/>
  <c r="G27" i="14" s="1"/>
  <c r="E21" i="2"/>
  <c r="D16" i="15" s="1"/>
  <c r="F31" i="1"/>
  <c r="D74" i="14" s="1"/>
  <c r="E24" i="1"/>
  <c r="D14" i="18"/>
  <c r="H25" i="14" l="1"/>
  <c r="H27" i="14" s="1"/>
  <c r="F25" i="14"/>
  <c r="F27" i="14" s="1"/>
  <c r="F52" i="15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<sst xmlns="http://schemas.openxmlformats.org/spreadsheetml/2006/main" count="737" uniqueCount="257">
  <si>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</si>
  <si>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</si>
  <si>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</si>
  <si>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</si>
  <si>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</si>
  <si>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</si>
  <si>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</si>
  <si>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</si>
  <si>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</si>
  <si>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</si>
  <si>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</si>
  <si>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</si>
  <si>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</si>
  <si>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</si>
  <si>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</si>
  <si>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</si>
  <si>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</si>
  <si>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</si>
  <si>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</si>
  <si>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</si>
  <si>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</si>
  <si>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</si>
  <si>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</si>
  <si>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</si>
  <si>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</si>
  <si>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</si>
  <si>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</si>
  <si>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</si>
  <si>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</si>
  <si>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</si>
  <si>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</si>
  <si>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</si>
  <si>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</si>
  <si>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</si>
  <si>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</si>
  <si>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</si>
  <si>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</si>
  <si>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</si>
  <si>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</si>
  <si>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</si>
  <si>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</si>
  <si>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</si>
  <si>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</si>
  <si>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</si>
  <si>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</si>
  <si>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</si>
  <si>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</si>
  <si>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</si>
  <si>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</si>
  <si>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</si>
  <si>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</si>
  <si>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</si>
  <si>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</si>
  <si>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</si>
  <si>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</si>
  <si>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</si>
  <si>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</si>
  <si>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</si>
  <si>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</si>
  <si>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</si>
  <si>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</si>
  <si>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</si>
  <si>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</si>
  <si>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</si>
  <si>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</si>
  <si>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</si>
  <si>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</si>
  <si>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</si>
  <si>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</si>
  <si>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</si>
  <si>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</si>
  <si>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</si>
  <si>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</si>
  <si>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</si>
  <si>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</si>
  <si>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</si>
  <si>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</si>
  <si>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</si>
  <si>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</si>
  <si>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</si>
  <si>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</si>
  <si>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</si>
  <si>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</si>
  <si>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</si>
  <si>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</si>
  <si>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</si>
  <si>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</si>
  <si>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</si>
  <si>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</si>
  <si>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</si>
  <si>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</si>
  <si>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</si>
  <si>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</si>
  <si>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</si>
  <si>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</si>
  <si>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</si>
  <si>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</si>
  <si>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</si>
  <si>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</si>
  <si>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</si>
  <si>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</si>
  <si>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</si>
  <si>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</si>
  <si>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</si>
  <si>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</si>
  <si>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</si>
  <si>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</si>
  <si>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</si>
  <si>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</si>
  <si>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</si>
  <si>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</si>
  <si>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</si>
  <si>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</si>
  <si>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</si>
  <si>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</si>
  <si>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</si>
  <si>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</si>
  <si>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</si>
  <si>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</si>
  <si>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</si>
  <si>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</si>
  <si>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</si>
  <si>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</si>
  <si>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</si>
  <si>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</si>
  <si>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</si>
  <si>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</si>
  <si>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</si>
  <si>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</si>
  <si>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</si>
  <si>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</si>
  <si>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</si>
  <si>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</si>
  <si>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</si>
  <si>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</si>
  <si>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</si>
  <si>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</si>
  <si>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</si>
  <si>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</si>
  <si>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</si>
  <si>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</si>
  <si>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</si>
  <si>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</si>
  <si>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</si>
  <si>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</si>
  <si>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</si>
  <si>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</si>
  <si>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</si>
  <si>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</si>
  <si>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</si>
  <si>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</si>
  <si>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</si>
  <si>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</si>
  <si>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</si>
  <si>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</si>
  <si>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</si>
  <si>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</si>
  <si>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</si>
  <si>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</si>
  <si>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</si>
  <si>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</si>
  <si>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</si>
  <si>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</si>
  <si>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</si>
  <si>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</si>
  <si>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</si>
  <si>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</si>
  <si>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</si>
  <si>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</si>
  <si>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</si>
  <si>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</si>
  <si>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</si>
  <si>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</si>
  <si>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</si>
  <si>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</si>
  <si>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</si>
  <si>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</si>
  <si>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</si>
  <si>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</si>
  <si>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</si>
  <si>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</si>
  <si>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</si>
  <si>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</si>
  <si>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</si>
  <si>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</si>
  <si>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</si>
  <si>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</si>
  <si>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</si>
  <si>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</si>
  <si>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</si>
  <si>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</si>
  <si>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</si>
  <si>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</si>
  <si>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</si>
  <si>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</si>
  <si>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</si>
  <si>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</si>
  <si>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</si>
  <si>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</si>
  <si>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</si>
  <si>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</si>
  <si>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</si>
  <si>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</si>
  <si>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</si>
  <si>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</si>
  <si>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</si>
  <si>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</si>
  <si>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</si>
  <si>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</si>
  <si>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</si>
  <si>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</si>
  <si>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</si>
  <si>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</si>
  <si>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</si>
  <si>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</si>
  <si>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</si>
  <si>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</si>
  <si>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</si>
  <si>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</si>
  <si>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</si>
  <si>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</si>
  <si>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</si>
  <si>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</si>
  <si>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</si>
  <si>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</si>
  <si>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</si>
  <si>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</si>
  <si>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</si>
  <si>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</si>
  <si>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</si>
  <si>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</si>
  <si>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</si>
  <si>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</si>
  <si>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</si>
  <si>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</si>
  <si>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</si>
  <si>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</si>
  <si>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</si>
  <si>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</si>
  <si>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</si>
  <si>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</si>
  <si>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</si>
  <si>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</si>
  <si>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</si>
  <si>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</si>
  <si>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</si>
  <si>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</si>
  <si>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</si>
  <si>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</si>
  <si>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</si>
  <si>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Adjustment in Results of Operations</t>
  </si>
  <si>
    <t>Adjustment for Finalizing Tax Return</t>
  </si>
  <si>
    <t>ED.AN</t>
  </si>
  <si>
    <t>GD.AN</t>
  </si>
  <si>
    <t>GD.OR</t>
  </si>
  <si>
    <t>EOP - Twelve Months Ended December 31, 2019</t>
  </si>
  <si>
    <t>Amount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</si>
</sst>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3" workbookViewId="0">
      <selection activeCell="F37" sqref="F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EOP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-11304875</v>
      </c>
      <c r="E10" s="4">
        <f>D10*E41</f>
        <v>-7420519.9500000002</v>
      </c>
      <c r="F10" s="4">
        <f>D10*F41</f>
        <v>-3884355.0500000003</v>
      </c>
      <c r="H10" s="6" t="s">
        <v>219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-187685534</v>
      </c>
      <c r="E11" s="4">
        <f>D11*E41</f>
        <v>-123196784.5176</v>
      </c>
      <c r="F11" s="4">
        <f>D11*F41</f>
        <v>-64488749.4824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-102828784</v>
      </c>
      <c r="E12" s="4">
        <f>D12*E41</f>
        <v>-67496813.817599997</v>
      </c>
      <c r="F12" s="4">
        <f>D12*F41</f>
        <v>-35331970.182400003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-238679514</v>
      </c>
      <c r="E13" s="4">
        <f>D13*E43</f>
        <v>-163569457.73934001</v>
      </c>
      <c r="F13" s="4">
        <f>D13*F43</f>
        <v>-75110056.260660008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-15064925</v>
      </c>
      <c r="E14" s="4">
        <f>D14*E45</f>
        <v>-10334237.251500001</v>
      </c>
      <c r="F14" s="4">
        <f>D14*F45</f>
        <v>-4730687.7484999998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-60697338.696601205</v>
      </c>
      <c r="E16" s="4">
        <f>D16*E42</f>
        <v>-41995881.67079141</v>
      </c>
      <c r="F16" s="4">
        <f>D16*F42</f>
        <v>-18701457.025809798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-620939.87992679991</v>
      </c>
      <c r="E17" s="15">
        <f>D17*E42</f>
        <v>-429622.09352255362</v>
      </c>
      <c r="F17" s="15">
        <f>D17*F42</f>
        <v>-191317.78640424632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-616881910.57652795</v>
      </c>
      <c r="E18" s="4">
        <f>SUM(E10:E17)</f>
        <v>-414443317.04035395</v>
      </c>
      <c r="F18" s="4">
        <f>SUM(F10:F17)</f>
        <v>-202438593.53617403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189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-6320107.1490000002</v>
      </c>
      <c r="E22" s="16">
        <f>D22*E41</f>
        <v>-4148518.3326035999</v>
      </c>
      <c r="F22" s="16">
        <f>D22*F41</f>
        <v>-2171588.8163964003</v>
      </c>
      <c r="H22" s="13"/>
      <c r="I22" s="14"/>
    </row>
    <row r="23" spans="1:9">
      <c r="A23" s="1" t="s">
        <v>188</v>
      </c>
      <c r="C23" s="2">
        <v>1</v>
      </c>
      <c r="D23" s="15">
        <f>'SYS-Dec19'!D23</f>
        <v>256108.00999999995</v>
      </c>
      <c r="E23" s="15">
        <f>D23*E41</f>
        <v>168109.29776399996</v>
      </c>
      <c r="F23" s="15">
        <f>D23*F41</f>
        <v>87998.712235999992</v>
      </c>
      <c r="H23" s="13"/>
      <c r="I23" s="14"/>
    </row>
    <row r="24" spans="1:9">
      <c r="A24" s="1" t="s">
        <v>25</v>
      </c>
      <c r="C24" s="2"/>
      <c r="D24" s="4">
        <f>SUM(D20:D23)</f>
        <v>-6063999.1390000004</v>
      </c>
      <c r="E24" s="4">
        <f t="shared" ref="E24" si="0">SUM(E20:E23)</f>
        <v>-3980409.0348395999</v>
      </c>
      <c r="F24" s="4">
        <f>SUM(F20:F23)</f>
        <v>-2083590.1041604003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-622945909.71552801</v>
      </c>
      <c r="E26" s="17">
        <f>E18+E24</f>
        <v>-418423726.07519352</v>
      </c>
      <c r="F26" s="17">
        <f>F18+F24</f>
        <v>-204522183.64033443</v>
      </c>
      <c r="H26" s="13" t="s">
        <v>27</v>
      </c>
      <c r="I26" s="136">
        <f>SUM(I15:I21)</f>
        <v>4712124856</v>
      </c>
    </row>
    <row r="27" spans="1:9" ht="13.8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-1420886.17692</v>
      </c>
      <c r="E28" s="136">
        <f>D28*E42</f>
        <v>-983096.93694917881</v>
      </c>
      <c r="F28" s="136">
        <f>D28*F42</f>
        <v>-437789.23997082119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114517.54000000002</v>
      </c>
      <c r="E29" s="4">
        <f>D29*E41</f>
        <v>75169.313256000009</v>
      </c>
      <c r="F29" s="4">
        <f>D29*F41</f>
        <v>39348.226744000007</v>
      </c>
      <c r="G29" s="19"/>
      <c r="H29" s="6"/>
      <c r="I29" s="131"/>
    </row>
    <row r="30" spans="1:9">
      <c r="A30" s="134" t="s">
        <v>171</v>
      </c>
      <c r="C30" s="2">
        <v>4</v>
      </c>
      <c r="D30" s="16">
        <f>'SYS-Dec19'!E25</f>
        <v>-6595.3094238000149</v>
      </c>
      <c r="E30" s="16">
        <f>D30*E42</f>
        <v>-4563.2286372329927</v>
      </c>
      <c r="F30" s="16">
        <f>D30*F42</f>
        <v>-2032.0807865670226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-1182862.3377348008</v>
      </c>
      <c r="E31" s="15">
        <f>D31*E44</f>
        <v>-796504.01236048283</v>
      </c>
      <c r="F31" s="15">
        <f>D31*F44</f>
        <v>-386358.32537431794</v>
      </c>
      <c r="H31" s="6"/>
      <c r="I31" s="18"/>
    </row>
    <row r="32" spans="1:9">
      <c r="A32" s="1" t="s">
        <v>29</v>
      </c>
      <c r="D32" s="15">
        <f>SUM(D28:D31)</f>
        <v>-2495826.2840786008</v>
      </c>
      <c r="E32" s="15">
        <f t="shared" ref="E32:F32" si="1">SUM(E28:E31)</f>
        <v>-1708994.8646908947</v>
      </c>
      <c r="F32" s="15">
        <f t="shared" si="1"/>
        <v>-786831.41938770609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69" t="s">
        <v>231</v>
      </c>
      <c r="D34" s="196">
        <f>D26+D32</f>
        <v>-625441735.99960661</v>
      </c>
      <c r="E34" s="33">
        <f>E26+E32</f>
        <v>-420132720.93988442</v>
      </c>
      <c r="F34" s="33">
        <f>F26+F32</f>
        <v>-205309015.05972213</v>
      </c>
      <c r="H34" s="6"/>
      <c r="I34" s="11"/>
    </row>
    <row r="35" spans="1:9" ht="13.8" thickTop="1">
      <c r="E35" s="169" t="s">
        <v>233</v>
      </c>
      <c r="H35" s="6"/>
      <c r="I35" s="11"/>
    </row>
    <row r="36" spans="1:9">
      <c r="A36" s="1" t="s">
        <v>256</v>
      </c>
      <c r="D36" s="16">
        <f>SUM(E36:F36)</f>
        <v>-623601430</v>
      </c>
      <c r="E36" s="197">
        <v>-418923432</v>
      </c>
      <c r="F36" s="197">
        <v>-204677998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-1840305.9996066093</v>
      </c>
      <c r="E38" s="198">
        <f>E34-E36</f>
        <v>-1209288.9398844242</v>
      </c>
      <c r="F38" s="24">
        <f>F34-F36</f>
        <v>-631017.05972212553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28"/>
  <sheetViews>
    <sheetView topLeftCell="A4" workbookViewId="0">
      <selection activeCell="A30" sqref="A30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8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178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223</v>
      </c>
      <c r="J4" s="131"/>
    </row>
    <row r="5" spans="1:10" ht="39.6">
      <c r="A5" s="90" t="s">
        <v>106</v>
      </c>
      <c r="B5" s="91" t="s">
        <v>107</v>
      </c>
      <c r="C5" s="91" t="s">
        <v>108</v>
      </c>
      <c r="D5" s="91" t="s">
        <v>183</v>
      </c>
      <c r="E5" s="91" t="s">
        <v>170</v>
      </c>
      <c r="F5" s="92" t="s">
        <v>195</v>
      </c>
      <c r="G5" s="93"/>
      <c r="H5" s="93"/>
      <c r="I5" s="131" t="s">
        <v>192</v>
      </c>
      <c r="J5" s="131" t="s">
        <v>193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224</v>
      </c>
    </row>
    <row r="21" spans="1:10">
      <c r="A21" s="104" t="s">
        <v>111</v>
      </c>
    </row>
    <row r="22" spans="1:10">
      <c r="A22" s="1" t="s">
        <v>179</v>
      </c>
    </row>
    <row r="23" spans="1:10">
      <c r="A23" s="1" t="s">
        <v>180</v>
      </c>
    </row>
    <row r="24" spans="1:10">
      <c r="A24" s="88" t="s">
        <v>181</v>
      </c>
    </row>
    <row r="25" spans="1:10">
      <c r="A25" s="88" t="s">
        <v>191</v>
      </c>
    </row>
    <row r="26" spans="1:10">
      <c r="A26" s="88" t="s">
        <v>197</v>
      </c>
    </row>
    <row r="27" spans="1:10">
      <c r="A27" s="88" t="s">
        <v>196</v>
      </c>
    </row>
    <row r="28" spans="1:10">
      <c r="A28" s="88" t="s">
        <v>198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19"/>
  <sheetViews>
    <sheetView workbookViewId="0">
      <selection activeCell="A24" sqref="A2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168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9.6">
      <c r="A5" s="90" t="s">
        <v>106</v>
      </c>
      <c r="B5" s="91" t="s">
        <v>107</v>
      </c>
      <c r="C5" s="91" t="s">
        <v>108</v>
      </c>
      <c r="D5" s="91" t="s">
        <v>170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E6" sqref="E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169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250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G6" sqref="G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174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 t="s">
        <v>251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248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Normal="100" workbookViewId="0">
      <selection activeCell="D29" sqref="D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EOP - Twelve Months Ended December 31, 2019</v>
      </c>
      <c r="L3" s="105" t="s">
        <v>114</v>
      </c>
      <c r="M3" s="105" t="s">
        <v>10</v>
      </c>
    </row>
    <row r="4" spans="1:13">
      <c r="L4" t="s">
        <v>216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-7420519.9500000002</v>
      </c>
      <c r="E8" s="110">
        <v>0</v>
      </c>
      <c r="F8" s="110">
        <f>D8</f>
        <v>-7420519.9500000002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-123196784.5176</v>
      </c>
      <c r="E9" s="23">
        <v>0</v>
      </c>
      <c r="F9" s="23">
        <f t="shared" ref="E9:F14" si="0">IF($C9="P",$D9,0)</f>
        <v>-123196784.5176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-67496813.817599997</v>
      </c>
      <c r="E10" s="23">
        <f t="shared" si="0"/>
        <v>0</v>
      </c>
      <c r="F10" s="23">
        <f t="shared" si="0"/>
        <v>0</v>
      </c>
      <c r="G10" s="23">
        <f t="shared" si="1"/>
        <v>-67496813.817599997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-163569457.73934001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-163569457.73934001</v>
      </c>
      <c r="I11" s="23">
        <f>IF($C11="O",$D11,0)</f>
        <v>0</v>
      </c>
      <c r="L11" t="s">
        <v>217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-10334237.251500001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-10334237.251500001</v>
      </c>
      <c r="M12" s="155"/>
    </row>
    <row r="13" spans="1:13">
      <c r="A13" t="s">
        <v>127</v>
      </c>
      <c r="C13" s="28" t="s">
        <v>125</v>
      </c>
      <c r="D13" s="23">
        <f>'Elec-Dec19'!E16</f>
        <v>-41995881.67079141</v>
      </c>
      <c r="E13" s="23">
        <f>D13*O26</f>
        <v>-12705628.067567132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-29290253.603224274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-429622.09352255362</v>
      </c>
      <c r="E14" s="32">
        <f>D14*O26</f>
        <v>-129979.85308887174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-299642.24043368181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-414443317.04035395</v>
      </c>
      <c r="E15" s="23">
        <f t="shared" si="3"/>
        <v>-12835607.920656005</v>
      </c>
      <c r="F15" s="23">
        <f t="shared" si="3"/>
        <v>-130617304.4676</v>
      </c>
      <c r="G15" s="23">
        <f t="shared" si="3"/>
        <v>-67496813.817599997</v>
      </c>
      <c r="H15" s="23">
        <f t="shared" si="3"/>
        <v>-163569457.73934001</v>
      </c>
      <c r="I15" s="23">
        <f t="shared" si="3"/>
        <v>-39924133.095157959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-4148518.3326035999</v>
      </c>
      <c r="E18" s="23">
        <v>0</v>
      </c>
      <c r="F18" s="23">
        <f>IF($C18="P",$D18,0)</f>
        <v>-4148518.3326035999</v>
      </c>
      <c r="G18" s="24"/>
      <c r="H18" s="24"/>
      <c r="I18" s="24"/>
      <c r="M18" s="115"/>
    </row>
    <row r="19" spans="1:15">
      <c r="A19" t="s">
        <v>203</v>
      </c>
      <c r="C19" s="137" t="s">
        <v>121</v>
      </c>
      <c r="D19" s="24">
        <f>'Elec-Dec19'!E23</f>
        <v>168109.29776399996</v>
      </c>
      <c r="E19" s="23"/>
      <c r="F19" s="23">
        <f>D19</f>
        <v>168109.29776399996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-418423726.07519352</v>
      </c>
      <c r="E20" s="112">
        <f t="shared" ref="E20:I20" si="4">SUM(E15:E19)</f>
        <v>-12835607.920656005</v>
      </c>
      <c r="F20" s="112">
        <f t="shared" si="4"/>
        <v>-134597713.50243959</v>
      </c>
      <c r="G20" s="112">
        <f t="shared" si="4"/>
        <v>-67496813.817599997</v>
      </c>
      <c r="H20" s="112">
        <f t="shared" si="4"/>
        <v>-163569457.73934001</v>
      </c>
      <c r="I20" s="112">
        <f t="shared" si="4"/>
        <v>-39924133.095157959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75169.313256000009</v>
      </c>
      <c r="E22" s="23">
        <v>0</v>
      </c>
      <c r="F22" s="23">
        <f>IF($C22="P",$D22,0)</f>
        <v>75169.313256000009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-1.2360482825897634E-2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-983096.93694917881</v>
      </c>
      <c r="E23" s="23"/>
      <c r="F23" s="23"/>
      <c r="G23" s="23"/>
      <c r="H23" s="23"/>
      <c r="I23" s="23">
        <f>IF($C23="O",$D23,0)</f>
        <v>-983096.93694917881</v>
      </c>
      <c r="J23" s="23"/>
      <c r="M23" s="156"/>
    </row>
    <row r="24" spans="1:15">
      <c r="A24" t="s">
        <v>218</v>
      </c>
      <c r="C24" s="137" t="s">
        <v>120</v>
      </c>
      <c r="D24" s="23">
        <f>'Elec-Dec19'!E30</f>
        <v>-4563.2286372329927</v>
      </c>
      <c r="E24" s="23">
        <f>D24</f>
        <v>-4563.2286372329927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-796504.01236048283</v>
      </c>
      <c r="E25" s="23">
        <f>ROUND($D$25*E32,0)</f>
        <v>-15900</v>
      </c>
      <c r="F25" s="23">
        <f>ROUND($D$25*F32,0)</f>
        <v>-244050</v>
      </c>
      <c r="G25" s="23">
        <f>ROUND($D$25*G32,0)</f>
        <v>-129958</v>
      </c>
      <c r="H25" s="23">
        <f>ROUND($D$25*H32,0)</f>
        <v>-304438</v>
      </c>
      <c r="I25" s="23">
        <f>ROUND($D$25*I32,0)</f>
        <v>-102158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-1708994.8646908947</v>
      </c>
      <c r="E27" s="112">
        <f t="shared" si="5"/>
        <v>-20463.228637232991</v>
      </c>
      <c r="F27" s="112">
        <f t="shared" si="5"/>
        <v>-168880.68674400001</v>
      </c>
      <c r="G27" s="112">
        <f t="shared" si="5"/>
        <v>-129958</v>
      </c>
      <c r="H27" s="112">
        <f t="shared" si="5"/>
        <v>-304438</v>
      </c>
      <c r="I27" s="112">
        <f t="shared" si="5"/>
        <v>-1085254.9369491788</v>
      </c>
      <c r="J27" s="23">
        <f>D29-E29-F29-G29-H29-I29</f>
        <v>-1.2360431253910065E-2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8" thickBot="1">
      <c r="A29" t="s">
        <v>30</v>
      </c>
      <c r="C29" s="171" t="s">
        <v>233</v>
      </c>
      <c r="D29" s="114">
        <f t="shared" ref="D29:I29" si="6">D20+D27</f>
        <v>-420132720.93988442</v>
      </c>
      <c r="E29" s="114">
        <f t="shared" si="6"/>
        <v>-12856071.149293238</v>
      </c>
      <c r="F29" s="114">
        <f t="shared" si="6"/>
        <v>-134766594.18918359</v>
      </c>
      <c r="G29" s="114">
        <f t="shared" si="6"/>
        <v>-67626771.817599997</v>
      </c>
      <c r="H29" s="114">
        <f t="shared" si="6"/>
        <v>-163873895.73934001</v>
      </c>
      <c r="I29" s="114">
        <f t="shared" si="6"/>
        <v>-41009388.032107137</v>
      </c>
      <c r="M29" s="115"/>
    </row>
    <row r="30" spans="1:15" ht="13.8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-420133000</v>
      </c>
      <c r="E33" s="52">
        <f>ROUND(E29,-3)</f>
        <v>-12856000</v>
      </c>
      <c r="F33" s="52">
        <f>ROUND(F29,-3)</f>
        <v>-134767000</v>
      </c>
      <c r="G33" s="52">
        <f>ROUND(G29,-3)</f>
        <v>-67627000</v>
      </c>
      <c r="H33" s="52">
        <f>ROUND(H29,-3)</f>
        <v>-163874000</v>
      </c>
      <c r="I33" s="52">
        <f>ROUND(I29,-3)</f>
        <v>-41009000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242</v>
      </c>
      <c r="D45" s="179">
        <f t="shared" ref="D45:I45" si="7">SUM(D34:D43)+ROUND(D29,-3)</f>
        <v>-420133000</v>
      </c>
      <c r="E45" s="179">
        <f t="shared" si="7"/>
        <v>-12856000</v>
      </c>
      <c r="F45" s="179">
        <f t="shared" si="7"/>
        <v>-134767000</v>
      </c>
      <c r="G45" s="179">
        <f t="shared" si="7"/>
        <v>-67627000</v>
      </c>
      <c r="H45" s="179">
        <f t="shared" si="7"/>
        <v>-163874000</v>
      </c>
      <c r="I45" s="179">
        <f t="shared" si="7"/>
        <v>-41009000</v>
      </c>
      <c r="M45" s="156"/>
    </row>
    <row r="46" spans="1:13" hidden="1">
      <c r="A46" s="118" t="s">
        <v>243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8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EOP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-3884355.0500000003</v>
      </c>
      <c r="E57" s="110">
        <v>0</v>
      </c>
      <c r="F57" s="110">
        <f>D57</f>
        <v>-3884355.0500000003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-64488749.4824</v>
      </c>
      <c r="E58" s="23">
        <v>0</v>
      </c>
      <c r="F58" s="23">
        <f t="shared" ref="E58:F63" si="8">IF($C58="P",$D58,0)</f>
        <v>-64488749.4824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-35331970.182400003</v>
      </c>
      <c r="E59" s="23">
        <f t="shared" si="8"/>
        <v>0</v>
      </c>
      <c r="F59" s="23">
        <f t="shared" si="8"/>
        <v>0</v>
      </c>
      <c r="G59" s="23">
        <f t="shared" si="9"/>
        <v>-35331970.182400003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-75110056.260660008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-75110056.260660008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-4730687.7484999998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-4730687.7484999998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-18701457.025809798</v>
      </c>
      <c r="E62" s="23">
        <f>D62*O73</f>
        <v>12991381.354343345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-31692838.380153146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-191317.78640424632</v>
      </c>
      <c r="E63" s="32">
        <f>D63*O73</f>
        <v>132903.13795423348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-324220.9243584798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-202438593.53617403</v>
      </c>
      <c r="E64" s="23">
        <f t="shared" si="11"/>
        <v>13124284.492297579</v>
      </c>
      <c r="F64" s="23">
        <f t="shared" si="11"/>
        <v>-68373104.532399997</v>
      </c>
      <c r="G64" s="23">
        <f t="shared" si="11"/>
        <v>-35331970.182400003</v>
      </c>
      <c r="H64" s="23">
        <f t="shared" si="11"/>
        <v>-75110056.260660008</v>
      </c>
      <c r="I64" s="23">
        <f t="shared" si="11"/>
        <v>-36747747.053011626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-2171588.8163964003</v>
      </c>
      <c r="E67" s="23">
        <v>0</v>
      </c>
      <c r="F67" s="23">
        <f>IF($C67="P",$D67,0)</f>
        <v>-2171588.8163964003</v>
      </c>
      <c r="G67" s="24"/>
      <c r="H67" s="24"/>
      <c r="I67" s="24"/>
      <c r="M67" s="156"/>
      <c r="O67" s="106"/>
      <c r="P67" s="1"/>
    </row>
    <row r="68" spans="1:16">
      <c r="A68" t="s">
        <v>203</v>
      </c>
      <c r="C68" s="137" t="s">
        <v>121</v>
      </c>
      <c r="D68" s="24">
        <f>'Elec-Dec19'!F23</f>
        <v>87998.712235999992</v>
      </c>
      <c r="E68" s="23"/>
      <c r="F68" s="23">
        <f>IF($C68="P",$D68,0)</f>
        <v>87998.712235999992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-204522183.64033443</v>
      </c>
      <c r="E69" s="112">
        <f t="shared" ref="E69:I69" si="12">SUM(E64:E68)</f>
        <v>13124284.492297579</v>
      </c>
      <c r="F69" s="112">
        <f t="shared" si="12"/>
        <v>-70456694.636560395</v>
      </c>
      <c r="G69" s="112">
        <f t="shared" si="12"/>
        <v>-35331970.182400003</v>
      </c>
      <c r="H69" s="112">
        <f t="shared" si="12"/>
        <v>-75110056.260660008</v>
      </c>
      <c r="I69" s="112">
        <f t="shared" si="12"/>
        <v>-36747747.053011626</v>
      </c>
      <c r="J69" s="23">
        <f>D74-E74-F74-G74-H74-I74</f>
        <v>-1.3253743179375306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39348.226744000007</v>
      </c>
      <c r="E71" s="23">
        <v>0</v>
      </c>
      <c r="F71" s="23">
        <f>IF($C71="P",$D71,0)</f>
        <v>39348.226744000007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-437789.23997082119</v>
      </c>
      <c r="E72" s="23"/>
      <c r="F72" s="23"/>
      <c r="G72" s="23"/>
      <c r="H72" s="23"/>
      <c r="I72" s="23">
        <f>IF($C72="O",$D72,0)</f>
        <v>-437789.23997082119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218</v>
      </c>
      <c r="C73" s="137" t="s">
        <v>120</v>
      </c>
      <c r="D73" s="23">
        <f>'Elec-Dec19'!F30</f>
        <v>-2032.0807865670226</v>
      </c>
      <c r="E73" s="23">
        <f>D73</f>
        <v>-2032.0807865670226</v>
      </c>
      <c r="F73" s="23"/>
      <c r="G73" s="23"/>
      <c r="H73" s="23"/>
      <c r="I73" s="23"/>
      <c r="J73" s="23">
        <f>D77-E77-F77-G77-H77-I77</f>
        <v>-1.3253742903470993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-386358.32537431794</v>
      </c>
      <c r="E74" s="23">
        <f>ROUND($D$74*E80,0)</f>
        <v>-25314</v>
      </c>
      <c r="F74" s="23">
        <f>ROUND($D$74*F80,0)</f>
        <v>-124549</v>
      </c>
      <c r="G74" s="23">
        <f>ROUND($D$74*G80,0)</f>
        <v>-66220</v>
      </c>
      <c r="H74" s="23">
        <f>ROUND($D$74*H80,0)</f>
        <v>-150994</v>
      </c>
      <c r="I74" s="23">
        <f>ROUND($D$74*I80,0)</f>
        <v>-19280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-786831.41938770609</v>
      </c>
      <c r="E75" s="112">
        <f t="shared" si="13"/>
        <v>-27346.080786567021</v>
      </c>
      <c r="F75" s="112">
        <f t="shared" si="13"/>
        <v>-85200.773255999986</v>
      </c>
      <c r="G75" s="112">
        <f t="shared" si="13"/>
        <v>-66220</v>
      </c>
      <c r="H75" s="112">
        <f t="shared" si="13"/>
        <v>-150994</v>
      </c>
      <c r="I75" s="112">
        <f t="shared" si="13"/>
        <v>-457069.23997082119</v>
      </c>
      <c r="P75" s="1"/>
    </row>
    <row r="76" spans="1:16">
      <c r="D76" s="23"/>
      <c r="P76" s="1"/>
    </row>
    <row r="77" spans="1:16" ht="13.8" thickBot="1">
      <c r="A77" t="s">
        <v>30</v>
      </c>
      <c r="D77" s="114">
        <f t="shared" ref="D77:I77" si="14">D69+D75</f>
        <v>-205309015.05972213</v>
      </c>
      <c r="E77" s="114">
        <f t="shared" si="14"/>
        <v>13096938.411511011</v>
      </c>
      <c r="F77" s="114">
        <f t="shared" si="14"/>
        <v>-70541895.409816399</v>
      </c>
      <c r="G77" s="114">
        <f t="shared" si="14"/>
        <v>-35398190.182400003</v>
      </c>
      <c r="H77" s="114">
        <f t="shared" si="14"/>
        <v>-75261050.260660008</v>
      </c>
      <c r="I77" s="114">
        <f t="shared" si="14"/>
        <v>-37204816.292982444</v>
      </c>
      <c r="P77" s="1"/>
    </row>
    <row r="78" spans="1:16" ht="13.8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EOP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-600914.69097999996</v>
      </c>
      <c r="E8" s="110">
        <f>D8</f>
        <v>-600914.69097999996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-3853715.8424</v>
      </c>
      <c r="E9" s="23">
        <v>0</v>
      </c>
      <c r="F9" s="23">
        <f>D9</f>
        <v>-3853715.8424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-68761694.386800006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-68761694.386800006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-5643439.0523600001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-5643439.0523600001</v>
      </c>
      <c r="L11" s="115"/>
    </row>
    <row r="12" spans="1:12">
      <c r="A12" t="s">
        <v>127</v>
      </c>
      <c r="C12" s="28" t="s">
        <v>125</v>
      </c>
      <c r="D12" s="23">
        <f>'Gas North-Dec19'!E15</f>
        <v>-12806316.378879061</v>
      </c>
      <c r="E12" s="23">
        <f>D12*N23</f>
        <v>-3472312.2706192238</v>
      </c>
      <c r="F12" s="23">
        <f t="shared" si="0"/>
        <v>0</v>
      </c>
      <c r="G12" s="23">
        <f>IF($C12="D",$D12,0)</f>
        <v>0</v>
      </c>
      <c r="H12" s="23">
        <f>D12*N22</f>
        <v>-9334004.1082598343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-123788.55920236079</v>
      </c>
      <c r="E13" s="32">
        <f>D13*N23</f>
        <v>-33564.103865927987</v>
      </c>
      <c r="F13" s="32">
        <f t="shared" si="0"/>
        <v>0</v>
      </c>
      <c r="G13" s="32">
        <f>IF($C13="D",$D13,0)</f>
        <v>0</v>
      </c>
      <c r="H13" s="32">
        <f>D13*N22</f>
        <v>-90224.455336432788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-91789868.91062142</v>
      </c>
      <c r="E14" s="23">
        <f>SUM(E8:E13)</f>
        <v>-4106791.0654651518</v>
      </c>
      <c r="F14" s="23">
        <f>SUM(F8:F13)</f>
        <v>-3853715.8424</v>
      </c>
      <c r="G14" s="23">
        <f>SUM(G8:G13)</f>
        <v>-68761694.386800006</v>
      </c>
      <c r="H14" s="23">
        <f>SUM(H8:H13)</f>
        <v>-15067667.615956267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-241220.69603472474</v>
      </c>
      <c r="E16" s="23">
        <f>ROUND($D$16*E29,0)</f>
        <v>-1966</v>
      </c>
      <c r="F16" s="23">
        <f>ROUND($D$16*F29,0)</f>
        <v>-10583</v>
      </c>
      <c r="G16" s="23">
        <f>ROUND($D$16*G29,0)</f>
        <v>-180180</v>
      </c>
      <c r="H16" s="23">
        <f>ROUND($D$16*H29,0)</f>
        <v>-48492</v>
      </c>
      <c r="I16" s="23">
        <f>D16-E16-F16-G16-H16</f>
        <v>0.30396527526318096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-299787.73881617258</v>
      </c>
      <c r="E17" s="23"/>
      <c r="F17" s="23"/>
      <c r="G17" s="23"/>
      <c r="H17" s="23">
        <f>IF($C17="O",$D17,0)</f>
        <v>-299787.73881617258</v>
      </c>
      <c r="I17" s="23"/>
      <c r="L17" s="26"/>
    </row>
    <row r="18" spans="1:14">
      <c r="A18" t="s">
        <v>218</v>
      </c>
      <c r="C18" s="137" t="s">
        <v>120</v>
      </c>
      <c r="D18" s="23">
        <f>'Gas North-Dec19'!E20</f>
        <v>-1391.5209614044422</v>
      </c>
      <c r="E18" s="23">
        <f>D18</f>
        <v>-1391.5209614044422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-542399.95581230172</v>
      </c>
      <c r="E19" s="112">
        <f>SUM(E16:E18)</f>
        <v>-3357.5209614044425</v>
      </c>
      <c r="F19" s="112">
        <f>SUM(F16:F18)</f>
        <v>-10583</v>
      </c>
      <c r="G19" s="112">
        <f>SUM(G16:G18)</f>
        <v>-180180</v>
      </c>
      <c r="H19" s="112">
        <f>SUM(H16:H18)</f>
        <v>-348279.73881617258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8" thickBot="1">
      <c r="A21" t="s">
        <v>30</v>
      </c>
      <c r="C21" s="171" t="s">
        <v>249</v>
      </c>
      <c r="D21" s="114">
        <f>SUM(D14,D19)</f>
        <v>-92332268.866433725</v>
      </c>
      <c r="E21" s="114">
        <f>SUM(E14,E19)</f>
        <v>-4110148.5864265561</v>
      </c>
      <c r="F21" s="114">
        <f>SUM(F14,F19)</f>
        <v>-3864298.8424</v>
      </c>
      <c r="G21" s="114">
        <f>SUM(G14,G19)</f>
        <v>-68941874.386800006</v>
      </c>
      <c r="H21" s="114">
        <f>SUM(H14,H19)</f>
        <v>-15415947.354772439</v>
      </c>
      <c r="I21" s="121">
        <f>D21-E21-F21-G21-H21</f>
        <v>0.30396527610719204</v>
      </c>
      <c r="K21" s="105" t="s">
        <v>114</v>
      </c>
      <c r="L21" s="105">
        <v>32352360</v>
      </c>
    </row>
    <row r="22" spans="1:14" ht="13.8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EOP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-226871.30902000002</v>
      </c>
      <c r="E43" s="110">
        <f>D43</f>
        <v>-226871.30902000002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-1757402.1576000003</v>
      </c>
      <c r="E44" s="23">
        <v>0</v>
      </c>
      <c r="F44" s="23">
        <f t="shared" ref="E44:F48" si="1">IF($C44="P",$D44,0)</f>
        <v>-1757402.1576000003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-29238297.613200001</v>
      </c>
      <c r="E45" s="23">
        <f t="shared" si="1"/>
        <v>0</v>
      </c>
      <c r="F45" s="23">
        <f t="shared" si="1"/>
        <v>0</v>
      </c>
      <c r="G45" s="23">
        <f>IF($C45="D",$D45,0)</f>
        <v>-29238297.613200001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-1343868.9476399999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-1343868.9476399999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-4834938.8094711397</v>
      </c>
      <c r="E47" s="23">
        <f>D47*N50</f>
        <v>-1650800.5396759042</v>
      </c>
      <c r="F47" s="23">
        <f t="shared" si="1"/>
        <v>0</v>
      </c>
      <c r="G47" s="23">
        <f>IF($C47="D",$D47,0)</f>
        <v>0</v>
      </c>
      <c r="H47" s="23">
        <f>D47*N49</f>
        <v>-3184138.2697952348</v>
      </c>
      <c r="I47" s="23">
        <f>D52-E52-F52-G52-H52</f>
        <v>6.5328924494679086E-2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-52636.380870839224</v>
      </c>
      <c r="E48" s="32">
        <f>D48*N50</f>
        <v>-17971.719885669529</v>
      </c>
      <c r="F48" s="32">
        <f t="shared" si="1"/>
        <v>0</v>
      </c>
      <c r="G48" s="32">
        <f>IF($C48="D",$D48,0)</f>
        <v>0</v>
      </c>
      <c r="H48" s="32">
        <f>D48*N49</f>
        <v>-34664.660985169692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-37454015.217801981</v>
      </c>
      <c r="E49" s="23">
        <f>SUM(E43:E48)</f>
        <v>-1895643.5685815737</v>
      </c>
      <c r="F49" s="23">
        <f>SUM(F43:F48)</f>
        <v>-1757402.1576000003</v>
      </c>
      <c r="G49" s="23">
        <f>SUM(G43:G48)</f>
        <v>-29238297.613200001</v>
      </c>
      <c r="H49" s="23">
        <f>SUM(H43:H48)</f>
        <v>-4562671.8784204051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6.5328923985362053E-2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-102569.93467107551</v>
      </c>
      <c r="E52" s="23">
        <f>ROUND($D$52*E60,0)</f>
        <v>-289</v>
      </c>
      <c r="F52" s="23">
        <f>ROUND($D$52*F60,0)</f>
        <v>-4550</v>
      </c>
      <c r="G52" s="23">
        <f>ROUND($D$52*G60,0)</f>
        <v>-83888</v>
      </c>
      <c r="H52" s="23">
        <f>ROUND($D$52*H60,0)</f>
        <v>-13843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-113182.84900382742</v>
      </c>
      <c r="E53" s="23"/>
      <c r="F53" s="23"/>
      <c r="G53" s="23"/>
      <c r="H53" s="23">
        <f>IF($C53="O",$D53,0)</f>
        <v>-113182.84900382742</v>
      </c>
    </row>
    <row r="54" spans="1:14">
      <c r="A54" t="s">
        <v>218</v>
      </c>
      <c r="B54" s="73"/>
      <c r="C54" s="137" t="s">
        <v>120</v>
      </c>
      <c r="D54" s="23">
        <f>'Gas North-Dec19'!F20</f>
        <v>-525.35940089556232</v>
      </c>
      <c r="E54" s="23">
        <f>D54</f>
        <v>-525.35940089556232</v>
      </c>
      <c r="F54" s="23"/>
      <c r="G54" s="23"/>
      <c r="H54" s="23"/>
    </row>
    <row r="55" spans="1:14">
      <c r="A55" t="s">
        <v>29</v>
      </c>
      <c r="D55" s="112">
        <f>SUM(D52:D54)</f>
        <v>-216278.14307579849</v>
      </c>
      <c r="E55" s="112">
        <f>SUM(E52:E54)</f>
        <v>-814.35940089556232</v>
      </c>
      <c r="F55" s="112">
        <f>SUM(F52:F54)</f>
        <v>-4550</v>
      </c>
      <c r="G55" s="112">
        <f>SUM(G52:G54)</f>
        <v>-83888</v>
      </c>
      <c r="H55" s="112">
        <f>SUM(H52:H54)</f>
        <v>-127025.84900382742</v>
      </c>
      <c r="N55" s="105"/>
    </row>
    <row r="56" spans="1:14">
      <c r="D56" s="23"/>
      <c r="N56" s="106"/>
    </row>
    <row r="57" spans="1:14" ht="13.8" thickBot="1">
      <c r="A57" t="s">
        <v>30</v>
      </c>
      <c r="D57" s="114">
        <f>SUM(D49,D55)</f>
        <v>-37670293.360877782</v>
      </c>
      <c r="E57" s="114">
        <f>SUM(E49,E55)</f>
        <v>-1896457.9279824693</v>
      </c>
      <c r="F57" s="114">
        <f>SUM(F49,F55)</f>
        <v>-1761952.1576000003</v>
      </c>
      <c r="G57" s="114">
        <f>SUM(G49,G55)</f>
        <v>-29322185.613200001</v>
      </c>
      <c r="H57" s="114">
        <f>SUM(H49,H55)</f>
        <v>-4689697.7274242323</v>
      </c>
      <c r="N57" s="106"/>
    </row>
    <row r="58" spans="1:14" ht="13.8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D32" sqref="D32"/>
    </sheetView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4" style="45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2">
        <v>182324</v>
      </c>
      <c r="B4" s="143" t="s">
        <v>202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203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204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205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206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207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208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245</v>
      </c>
      <c r="B12" s="147" t="s">
        <v>208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209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210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8" thickBot="1">
      <c r="B20" s="45" t="s">
        <v>211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212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245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8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19" sqref="D19"/>
    </sheetView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2.33203125" style="45" bestFit="1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6">
        <v>302000</v>
      </c>
      <c r="B4" s="147" t="s">
        <v>205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206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214</v>
      </c>
      <c r="B6" s="147" t="s">
        <v>207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208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209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210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8" thickBot="1">
      <c r="B14" s="45" t="s">
        <v>211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8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213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EOP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-827786</v>
      </c>
      <c r="E10" s="23">
        <f>D10*E34</f>
        <v>-600914.69097999996</v>
      </c>
      <c r="F10" s="23">
        <f>D10*F34</f>
        <v>-226871.30902000002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-5611118</v>
      </c>
      <c r="E11" s="23">
        <f>D11*E33</f>
        <v>-3853715.8424</v>
      </c>
      <c r="F11" s="23">
        <f>D11*F33</f>
        <v>-1757402.1576000003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-97999992</v>
      </c>
      <c r="E12" s="23">
        <f>D12*E35</f>
        <v>-68761694.386800006</v>
      </c>
      <c r="F12" s="23">
        <f>D12*F35</f>
        <v>-29238297.613200001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-6987308</v>
      </c>
      <c r="E13" s="23">
        <f>D13*E36</f>
        <v>-5643439.0523600001</v>
      </c>
      <c r="F13" s="23">
        <f>D13*F36</f>
        <v>-1343868.9476399999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-17641255.188350201</v>
      </c>
      <c r="E15" s="24">
        <f>D15*E34</f>
        <v>-12806316.378879061</v>
      </c>
      <c r="F15" s="24">
        <f>D15*F34</f>
        <v>-4834938.8094711397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-176424.94007320001</v>
      </c>
      <c r="E16" s="32">
        <f>D16*E35</f>
        <v>-123788.55920236079</v>
      </c>
      <c r="F16" s="32">
        <f>D16*F35</f>
        <v>-52636.380870839224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-129243884.12842341</v>
      </c>
      <c r="E17" s="4">
        <f>SUM(E10:E16)</f>
        <v>-91789868.91062142</v>
      </c>
      <c r="F17" s="4">
        <f>SUM(F10:F16)</f>
        <v>-37454015.217801981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-412970.58782000002</v>
      </c>
      <c r="E19" s="23">
        <f>D19*E34</f>
        <v>-299787.73881617258</v>
      </c>
      <c r="F19" s="23">
        <f>D19*F34</f>
        <v>-113182.84900382742</v>
      </c>
      <c r="H19" s="13"/>
      <c r="I19" s="7"/>
    </row>
    <row r="20" spans="1:9">
      <c r="A20" s="134" t="s">
        <v>171</v>
      </c>
      <c r="C20" s="133">
        <v>4</v>
      </c>
      <c r="D20" s="23">
        <f>'SYS-Dec19'!F25</f>
        <v>-1916.8803623000044</v>
      </c>
      <c r="E20" s="24">
        <f>D20*E34</f>
        <v>-1391.5209614044422</v>
      </c>
      <c r="F20" s="24">
        <f>D20*F34</f>
        <v>-525.35940089556232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-343790.63070580026</v>
      </c>
      <c r="E21" s="32">
        <f>D21*E35</f>
        <v>-241220.69603472474</v>
      </c>
      <c r="F21" s="32">
        <f>D21*F35</f>
        <v>-102569.93467107551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-758678.09888810036</v>
      </c>
      <c r="E22" s="32">
        <f t="shared" ref="E22:F22" si="0">SUM(E19:E21)</f>
        <v>-542399.95581230172</v>
      </c>
      <c r="F22" s="32">
        <f t="shared" si="0"/>
        <v>-216278.14307579846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'SYS-Dec19'!A30</f>
        <v xml:space="preserve">      Total Deferred FIT</v>
      </c>
      <c r="C24" s="159" t="s">
        <v>232</v>
      </c>
      <c r="D24" s="196">
        <f>D17+D22</f>
        <v>-130002562.22731151</v>
      </c>
      <c r="E24" s="33">
        <f>E17+E22</f>
        <v>-92332268.866433725</v>
      </c>
      <c r="F24" s="33">
        <f>F17+F22</f>
        <v>-37670293.360877782</v>
      </c>
      <c r="H24" s="13" t="s">
        <v>27</v>
      </c>
      <c r="I24" s="10">
        <f>SUM(I14:I21)</f>
        <v>981624128</v>
      </c>
    </row>
    <row r="25" spans="1:9" s="1" customFormat="1" ht="13.8" thickTop="1">
      <c r="D25" s="16"/>
      <c r="E25" s="170" t="s">
        <v>249</v>
      </c>
      <c r="F25" s="16"/>
    </row>
    <row r="26" spans="1:9" s="1" customFormat="1">
      <c r="A26" s="1" t="s">
        <v>256</v>
      </c>
      <c r="D26" s="16">
        <f>SUM(E26:F26)</f>
        <v>-129536229</v>
      </c>
      <c r="E26" s="197">
        <v>-92007969</v>
      </c>
      <c r="F26" s="197">
        <v>-37528260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-466333.22731150687</v>
      </c>
      <c r="E28" s="198">
        <f>E24-E26</f>
        <v>-324299.86643372476</v>
      </c>
      <c r="F28" s="16">
        <f>F24-F26</f>
        <v>-142033.36087778211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D28" sqref="D28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255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AvgCalc!G68</f>
        <v>-555563632.11000001</v>
      </c>
      <c r="E8" s="200">
        <f>D8</f>
        <v>-555563632.11000001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AvgCalc!H68</f>
        <v>-111426202.87</v>
      </c>
      <c r="E10" s="4"/>
      <c r="F10" s="201">
        <f>D10</f>
        <v>-111426202.87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AvgCalc!I68</f>
        <v>-65615292.090000004</v>
      </c>
      <c r="E12" s="4"/>
      <c r="F12" s="23"/>
      <c r="G12" s="201">
        <f>D12</f>
        <v>-65615292.090000004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AvgCalc!D68</f>
        <v>-86000366.540000007</v>
      </c>
      <c r="E14" s="4">
        <f>D14*E34</f>
        <v>-60697338.696601205</v>
      </c>
      <c r="F14" s="23">
        <f>D14*F34</f>
        <v>-17641255.188350201</v>
      </c>
      <c r="G14" s="23">
        <f>D14*G34</f>
        <v>-7661772.6550486004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AvgCalc!F68</f>
        <v>-797364.82</v>
      </c>
      <c r="E16" s="15">
        <f>D16*E35</f>
        <v>-620939.87992679991</v>
      </c>
      <c r="F16" s="32">
        <f>D16*F35</f>
        <v>-176424.94007320001</v>
      </c>
      <c r="G16" s="32"/>
    </row>
    <row r="17" spans="1:8" ht="13.8" thickBot="1">
      <c r="A17" t="s">
        <v>71</v>
      </c>
      <c r="D17" s="196">
        <f>SUM(D8:D16)</f>
        <v>-819402858.43000007</v>
      </c>
      <c r="E17" s="4">
        <f>SUM(E8:E16)</f>
        <v>-616881910.68652797</v>
      </c>
      <c r="F17" s="23">
        <f>SUM(F9:F16)</f>
        <v>-129243882.99842341</v>
      </c>
      <c r="G17" s="23">
        <f>SUM(G9:G16)</f>
        <v>-73277064.745048597</v>
      </c>
      <c r="H17" s="55"/>
    </row>
    <row r="18" spans="1:8" ht="13.8" thickTop="1">
      <c r="D18" s="160" t="s">
        <v>225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244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226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DFIT'!E11</f>
        <v>-6320107.1490000002</v>
      </c>
      <c r="E22" s="4">
        <f>D22</f>
        <v>-6320107.1490000002</v>
      </c>
      <c r="F22" s="23"/>
      <c r="G22" s="23"/>
    </row>
    <row r="23" spans="1:8">
      <c r="A23" t="s">
        <v>186</v>
      </c>
      <c r="B23" t="s">
        <v>187</v>
      </c>
      <c r="C23" s="159" t="s">
        <v>227</v>
      </c>
      <c r="D23" s="201">
        <f>'CDA DFIT'!F11</f>
        <v>256108.00999999995</v>
      </c>
      <c r="E23" s="4">
        <f>D23</f>
        <v>256108.00999999995</v>
      </c>
      <c r="F23" s="23"/>
      <c r="G23" s="23"/>
    </row>
    <row r="24" spans="1:8">
      <c r="A24" t="s">
        <v>83</v>
      </c>
      <c r="B24" s="56" t="s">
        <v>84</v>
      </c>
      <c r="C24" s="161" t="s">
        <v>228</v>
      </c>
      <c r="D24" s="201">
        <f>'Other DFIT_AMA'!B10</f>
        <v>114517.54000000002</v>
      </c>
      <c r="E24" s="4">
        <f>D24</f>
        <v>114517.54000000002</v>
      </c>
      <c r="F24" s="23"/>
      <c r="G24" s="23"/>
    </row>
    <row r="25" spans="1:8">
      <c r="A25" s="134" t="s">
        <v>171</v>
      </c>
      <c r="B25" s="57" t="s">
        <v>175</v>
      </c>
      <c r="C25" s="162" t="s">
        <v>229</v>
      </c>
      <c r="D25" s="201">
        <f>'Other DFIT_AMA'!E10</f>
        <v>-9344.710000000021</v>
      </c>
      <c r="E25" s="4">
        <f>D25*E34</f>
        <v>-6595.3094238000149</v>
      </c>
      <c r="F25" s="4">
        <f>D25*F34</f>
        <v>-1916.8803623000044</v>
      </c>
      <c r="G25" s="4">
        <f>D25*G34</f>
        <v>-832.52021390000186</v>
      </c>
    </row>
    <row r="26" spans="1:8">
      <c r="A26" t="s">
        <v>85</v>
      </c>
      <c r="B26" s="57" t="s">
        <v>86</v>
      </c>
      <c r="C26" s="162" t="s">
        <v>230</v>
      </c>
      <c r="D26" s="200">
        <f>'Other DFIT_AMA'!D10</f>
        <v>-1675964.6600000011</v>
      </c>
      <c r="E26" s="4">
        <f>D26*E34</f>
        <v>-1182862.3377348008</v>
      </c>
      <c r="F26" s="4">
        <f>D26*F34</f>
        <v>-343790.63070580026</v>
      </c>
      <c r="G26" s="4">
        <f>D26*G34</f>
        <v>-149311.69155940009</v>
      </c>
    </row>
    <row r="27" spans="1:8">
      <c r="A27" t="s">
        <v>246</v>
      </c>
      <c r="B27" s="191" t="s">
        <v>247</v>
      </c>
      <c r="C27" s="162" t="s">
        <v>120</v>
      </c>
      <c r="D27" s="200">
        <f>'Other DFIT_AMA'!F10</f>
        <v>-2013214</v>
      </c>
      <c r="E27" s="4">
        <f>D27*E34</f>
        <v>-1420886.17692</v>
      </c>
      <c r="F27" s="4">
        <f>D27*F34</f>
        <v>-412970.58782000002</v>
      </c>
      <c r="G27" s="4">
        <f>D27*G34</f>
        <v>-179357.23526000002</v>
      </c>
    </row>
    <row r="28" spans="1:8">
      <c r="A28" t="s">
        <v>29</v>
      </c>
      <c r="D28" s="112">
        <f>SUM(D20:D27)</f>
        <v>-9648004.9690000005</v>
      </c>
      <c r="E28" s="112">
        <f t="shared" ref="E28:G28" si="0">SUM(E20:E27)</f>
        <v>-8559825.4230786003</v>
      </c>
      <c r="F28" s="112">
        <f t="shared" si="0"/>
        <v>-758678.09888810036</v>
      </c>
      <c r="G28" s="112">
        <f t="shared" si="0"/>
        <v>-329501.44703330006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8">
        <f>D17+D28</f>
        <v>-829050863.39900005</v>
      </c>
      <c r="E30" s="196">
        <f>E17+E28</f>
        <v>-625441736.10960662</v>
      </c>
      <c r="F30" s="196">
        <f>F17+F28</f>
        <v>-130002561.09731151</v>
      </c>
      <c r="G30" s="22">
        <f>G17+G28</f>
        <v>-73606566.192081898</v>
      </c>
      <c r="H30" s="55"/>
    </row>
    <row r="31" spans="1:8" ht="13.8" thickTop="1">
      <c r="E31" s="192" t="s">
        <v>231</v>
      </c>
      <c r="F31" s="192" t="s">
        <v>232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39" workbookViewId="0">
      <selection activeCell="I39" sqref="I39:I41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  <col min="13" max="13" width="0.88671875" customWidth="1"/>
    <col min="14" max="14" width="13.6640625" bestFit="1" customWidth="1"/>
    <col min="15" max="15" width="11.109375" bestFit="1" customWidth="1"/>
    <col min="16" max="17" width="9.554687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238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234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235</v>
      </c>
      <c r="L7" s="29" t="s">
        <v>234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8" thickBot="1">
      <c r="A22" t="s">
        <v>236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8" thickBot="1">
      <c r="A24" t="s">
        <v>237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239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234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235</v>
      </c>
      <c r="L29" s="29" t="s">
        <v>234</v>
      </c>
      <c r="N29" s="29" t="s">
        <v>172</v>
      </c>
      <c r="O29" s="29" t="s">
        <v>252</v>
      </c>
      <c r="P29" s="29" t="s">
        <v>253</v>
      </c>
      <c r="Q29" s="29" t="s">
        <v>254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8" thickBot="1">
      <c r="A44" t="s">
        <v>236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8" thickBot="1">
      <c r="A46" t="s">
        <v>237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240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234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235</v>
      </c>
      <c r="L51" s="29" t="s">
        <v>234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8" thickBot="1">
      <c r="A66" t="s">
        <v>236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199">
        <f>(((G52+G64)/2)+(G53+G54+G55+G56+G57+G58+G59+G60+G61+G62+G63))/12</f>
        <v>-552434344.3912499</v>
      </c>
      <c r="H66" s="199">
        <f>(((H52+H64)/2)+(H53+H54+H55+H56+H57+H58+H59+H60+H61+H62+H63))/12</f>
        <v>-110620402.33180554</v>
      </c>
      <c r="I66" s="199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225</v>
      </c>
      <c r="L67" s="52"/>
    </row>
    <row r="68" spans="1:12" ht="13.8" thickBot="1">
      <c r="A68" t="s">
        <v>237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5" hidden="1" customWidth="1"/>
    <col min="2" max="2" width="27" style="55" customWidth="1"/>
    <col min="3" max="4" width="14" style="55" customWidth="1"/>
    <col min="5" max="5" width="16.6640625" style="55" bestFit="1" customWidth="1"/>
    <col min="6" max="6" width="18.44140625" style="55" bestFit="1" customWidth="1"/>
    <col min="7" max="7" width="9.3320312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EOP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6.4">
      <c r="A5" s="163"/>
      <c r="C5" s="165" t="s">
        <v>91</v>
      </c>
      <c r="D5" s="165" t="s">
        <v>92</v>
      </c>
      <c r="E5" s="164" t="s">
        <v>93</v>
      </c>
      <c r="F5" s="167" t="s">
        <v>185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244</v>
      </c>
      <c r="D28" s="168" t="s">
        <v>226</v>
      </c>
      <c r="E28" s="168" t="s">
        <v>41</v>
      </c>
      <c r="F28" s="168" t="s">
        <v>227</v>
      </c>
    </row>
    <row r="29" spans="1:11">
      <c r="A29" s="66"/>
    </row>
    <row r="30" spans="1:11">
      <c r="B30" s="74"/>
    </row>
    <row r="33" spans="2:5" ht="14.4">
      <c r="B33"/>
      <c r="C33"/>
      <c r="D33"/>
      <c r="E33" s="75"/>
    </row>
    <row r="34" spans="2:5" ht="14.4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5" customWidth="1"/>
    <col min="2" max="2" width="17.88671875" style="55" customWidth="1"/>
    <col min="3" max="3" width="3.109375" style="55" customWidth="1"/>
    <col min="4" max="4" width="16.5546875" style="55" customWidth="1"/>
    <col min="5" max="5" width="24.33203125" style="55" bestFit="1" customWidth="1"/>
    <col min="6" max="6" width="24.109375" style="55" bestFit="1" customWidth="1"/>
    <col min="7" max="7" width="14.554687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EOP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171</v>
      </c>
      <c r="F5" s="76" t="s">
        <v>171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173</v>
      </c>
      <c r="C8" s="65"/>
      <c r="D8" s="65" t="s">
        <v>172</v>
      </c>
      <c r="E8" s="78" t="s">
        <v>172</v>
      </c>
      <c r="F8" s="78" t="s">
        <v>172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228</v>
      </c>
      <c r="C27" s="168"/>
      <c r="D27" s="168" t="s">
        <v>230</v>
      </c>
      <c r="E27" s="168" t="s">
        <v>229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283324</v>
      </c>
      <c r="B3" s="83" t="s">
        <v>165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52.8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190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-0.02</v>
      </c>
      <c r="C6" s="125">
        <v>0</v>
      </c>
      <c r="D6" s="130">
        <f>SUM(B6:C6)</f>
        <v>-0.02</v>
      </c>
      <c r="E6" s="97">
        <f>-D6</f>
        <v>0.02</v>
      </c>
      <c r="F6" s="96">
        <f>SUM(D6:E6)</f>
        <v>0</v>
      </c>
    </row>
    <row r="7" spans="1:8">
      <c r="A7" s="94">
        <f>'283200 ED AN'!A7</f>
        <v>201901</v>
      </c>
      <c r="B7" s="97">
        <f>D6</f>
        <v>-0.02</v>
      </c>
      <c r="C7" s="97">
        <v>0.02</v>
      </c>
      <c r="D7" s="130">
        <f t="shared" ref="D7:D18" si="0">SUM(B7:C7)</f>
        <v>0</v>
      </c>
      <c r="E7" s="97">
        <f>-D7</f>
        <v>0</v>
      </c>
      <c r="F7" s="96">
        <f t="shared" ref="F7:F18" si="1">SUM(D7:E7)</f>
        <v>0</v>
      </c>
      <c r="H7" s="98">
        <v>-3406666.72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97">
        <f t="shared" ref="E8:E18" si="3">-D8</f>
        <v>0</v>
      </c>
      <c r="F8" s="96">
        <f t="shared" si="1"/>
        <v>0</v>
      </c>
      <c r="H8" s="98">
        <v>-3400833.39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97">
        <f t="shared" si="3"/>
        <v>0</v>
      </c>
      <c r="F9" s="96">
        <f t="shared" si="1"/>
        <v>0</v>
      </c>
      <c r="H9" s="98">
        <v>-3395000.06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97">
        <f t="shared" si="3"/>
        <v>0</v>
      </c>
      <c r="F10" s="96">
        <f t="shared" si="1"/>
        <v>0</v>
      </c>
      <c r="H10" s="98">
        <v>-3389166.73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97">
        <f t="shared" si="3"/>
        <v>0</v>
      </c>
      <c r="F11" s="96">
        <f t="shared" si="1"/>
        <v>0</v>
      </c>
      <c r="H11" s="98">
        <v>-3383333.4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97">
        <f t="shared" si="3"/>
        <v>0</v>
      </c>
      <c r="F12" s="96">
        <f t="shared" si="1"/>
        <v>0</v>
      </c>
      <c r="H12" s="98">
        <v>-3377500.07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97">
        <f t="shared" si="3"/>
        <v>0</v>
      </c>
      <c r="F13" s="96">
        <f t="shared" si="1"/>
        <v>0</v>
      </c>
      <c r="H13" s="98">
        <v>-3371666.74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97">
        <f t="shared" si="3"/>
        <v>0</v>
      </c>
      <c r="F14" s="96">
        <f t="shared" si="1"/>
        <v>0</v>
      </c>
      <c r="H14" s="98">
        <v>-3365833.41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97">
        <f t="shared" si="3"/>
        <v>0</v>
      </c>
      <c r="F15" s="96">
        <f t="shared" si="1"/>
        <v>0</v>
      </c>
      <c r="H15" s="98">
        <v>-3360000.08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97">
        <f t="shared" si="3"/>
        <v>0</v>
      </c>
      <c r="F16" s="96">
        <f t="shared" si="1"/>
        <v>0</v>
      </c>
      <c r="H16" s="98">
        <v>-3354166.75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97">
        <f t="shared" si="3"/>
        <v>0</v>
      </c>
      <c r="F17" s="96">
        <f t="shared" si="1"/>
        <v>0</v>
      </c>
      <c r="H17" s="98">
        <v>-3348333.42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97">
        <f t="shared" si="3"/>
        <v>0</v>
      </c>
      <c r="F18" s="96">
        <f t="shared" si="1"/>
        <v>0</v>
      </c>
      <c r="H18" s="98">
        <v>-3342500.09</v>
      </c>
    </row>
    <row r="19" spans="1:8">
      <c r="A19" s="99"/>
      <c r="B19" s="100"/>
      <c r="C19" s="101">
        <f>SUM(C7:C18)</f>
        <v>0.02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222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283325</v>
      </c>
      <c r="B3" s="83" t="s">
        <v>166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221</v>
      </c>
      <c r="D5" s="91" t="s">
        <v>184</v>
      </c>
      <c r="E5" s="91" t="s">
        <v>170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0</v>
      </c>
      <c r="C6" s="125">
        <v>0</v>
      </c>
      <c r="D6" s="130">
        <f>SUM(B6:C6)</f>
        <v>0</v>
      </c>
      <c r="E6" s="125">
        <v>0</v>
      </c>
      <c r="F6" s="96">
        <f>SUM(D6:E6)</f>
        <v>0</v>
      </c>
    </row>
    <row r="7" spans="1:8">
      <c r="A7" s="94">
        <f>'283200 ED AN'!A7</f>
        <v>201901</v>
      </c>
      <c r="B7" s="97">
        <f>D6</f>
        <v>0</v>
      </c>
      <c r="C7" s="97">
        <v>0</v>
      </c>
      <c r="D7" s="130">
        <f t="shared" ref="D7:D18" si="0">SUM(B7:C7)</f>
        <v>0</v>
      </c>
      <c r="E7" s="125">
        <v>0</v>
      </c>
      <c r="F7" s="96">
        <f t="shared" ref="F7:F18" si="1">SUM(D7:E7)</f>
        <v>0</v>
      </c>
      <c r="H7" s="98">
        <v>-700000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125">
        <v>0</v>
      </c>
      <c r="F8" s="96">
        <f t="shared" si="1"/>
        <v>0</v>
      </c>
      <c r="H8" s="98">
        <v>-700000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125">
        <v>0</v>
      </c>
      <c r="F9" s="96">
        <f t="shared" si="1"/>
        <v>0</v>
      </c>
      <c r="H9" s="98">
        <v>-700000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125">
        <v>0</v>
      </c>
      <c r="F10" s="96">
        <f t="shared" si="1"/>
        <v>0</v>
      </c>
      <c r="H10" s="98">
        <v>-700000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125">
        <v>0</v>
      </c>
      <c r="F11" s="96">
        <f t="shared" si="1"/>
        <v>0</v>
      </c>
      <c r="H11" s="98">
        <v>-700000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125">
        <v>0</v>
      </c>
      <c r="F12" s="96">
        <f t="shared" si="1"/>
        <v>0</v>
      </c>
      <c r="H12" s="98">
        <v>-700000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125">
        <v>0</v>
      </c>
      <c r="F13" s="96">
        <f t="shared" si="1"/>
        <v>0</v>
      </c>
      <c r="H13" s="98">
        <v>-700000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125">
        <v>0</v>
      </c>
      <c r="F14" s="96">
        <f t="shared" si="1"/>
        <v>0</v>
      </c>
      <c r="H14" s="98">
        <v>-700000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125">
        <v>0</v>
      </c>
      <c r="F15" s="96">
        <f t="shared" si="1"/>
        <v>0</v>
      </c>
      <c r="H15" s="98">
        <v>-700000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125">
        <v>0</v>
      </c>
      <c r="F16" s="96">
        <f t="shared" si="1"/>
        <v>0</v>
      </c>
      <c r="H16" s="98">
        <v>-700000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125">
        <v>0</v>
      </c>
      <c r="F17" s="96">
        <f t="shared" si="1"/>
        <v>0</v>
      </c>
      <c r="H17" s="98">
        <v>-700000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125">
        <v>0</v>
      </c>
      <c r="F18" s="96">
        <f t="shared" si="1"/>
        <v>0</v>
      </c>
      <c r="H18" s="98">
        <v>-700000</v>
      </c>
    </row>
    <row r="19" spans="1:8">
      <c r="A19" s="99"/>
      <c r="B19" s="100"/>
      <c r="C19" s="101">
        <f>SUM(C7:C18)</f>
        <v>0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220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1" bestFit="1" customWidth="1"/>
    <col min="10" max="10" width="12.6640625" style="131" bestFit="1" customWidth="1"/>
    <col min="11" max="11" width="14" style="1" customWidth="1"/>
    <col min="12" max="16384" width="9.109375" style="1"/>
  </cols>
  <sheetData>
    <row r="2" spans="1:12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167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241</v>
      </c>
    </row>
    <row r="5" spans="1:12" ht="39.6">
      <c r="A5" s="90" t="s">
        <v>106</v>
      </c>
      <c r="B5" s="91" t="s">
        <v>107</v>
      </c>
      <c r="C5" s="91" t="s">
        <v>221</v>
      </c>
      <c r="D5" s="91" t="s">
        <v>182</v>
      </c>
      <c r="E5" s="91" t="s">
        <v>170</v>
      </c>
      <c r="F5" s="92" t="s">
        <v>109</v>
      </c>
      <c r="G5" s="93" t="s">
        <v>194</v>
      </c>
      <c r="H5" s="93" t="s">
        <v>110</v>
      </c>
      <c r="I5" s="131" t="s">
        <v>192</v>
      </c>
      <c r="J5" s="131" t="s">
        <v>193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4C47E3-487D-4FF9-8862-4C8281149A29}"/>
</file>

<file path=customXml/itemProps2.xml><?xml version="1.0" encoding="utf-8"?>
<ds:datastoreItem xmlns:ds="http://schemas.openxmlformats.org/officeDocument/2006/customXml" ds:itemID="{189D87CA-AF6F-4EEB-AD62-7C3153412CAB}"/>
</file>

<file path=customXml/itemProps3.xml><?xml version="1.0" encoding="utf-8"?>
<ds:datastoreItem xmlns:ds="http://schemas.openxmlformats.org/officeDocument/2006/customXml" ds:itemID="{9D130E3A-E4EB-4856-8930-290A9464B855}"/>
</file>

<file path=customXml/itemProps4.xml><?xml version="1.0" encoding="utf-8"?>
<ds:datastoreItem xmlns:ds="http://schemas.openxmlformats.org/officeDocument/2006/customXml" ds:itemID="{4D0B2FA9-55A1-4FE8-8D5C-B570F9A61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Elec-Dec19</vt:lpstr>
      <vt:lpstr>Gas North-Dec19</vt:lpstr>
      <vt:lpstr>SYS-Dec19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2020-06-17T18:28:54Z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