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xl/worksheets/sheet5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ustom.xml" ContentType="application/vnd.openxmlformats-officedocument.custom-properties+xml"/>
  <Override PartName="/xl/externalLinks/externalLink11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externalLinks/externalLink9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570" windowHeight="6480" tabRatio="713" activeTab="1"/>
  </bookViews>
  <sheets>
    <sheet name="Scenario Choice" sheetId="31" r:id="rId1"/>
    <sheet name="EXTERNAL" sheetId="1" r:id="rId2"/>
    <sheet name="CUST" sheetId="3" r:id="rId3"/>
    <sheet name="MTRS" sheetId="5" r:id="rId4"/>
    <sheet name="Direct 380" sheetId="13" r:id="rId5"/>
    <sheet name="WtCust" sheetId="14" r:id="rId6"/>
    <sheet name="Direct Assignment" sheetId="8" r:id="rId7"/>
    <sheet name="Uncollectible" sheetId="9" r:id="rId8"/>
    <sheet name="Deposit" sheetId="10" r:id="rId9"/>
    <sheet name="OtherRev" sheetId="11" r:id="rId10"/>
    <sheet name="Proforma Rev" sheetId="27" r:id="rId11"/>
    <sheet name="Demand Allocator" sheetId="15" r:id="rId12"/>
    <sheet name="System Load Factor" sheetId="16" r:id="rId13"/>
    <sheet name="Mains Allocator" sheetId="17" r:id="rId14"/>
    <sheet name="Mains Allocator Old Method" sheetId="30" r:id="rId15"/>
    <sheet name="Mains Costs" sheetId="2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11">'Demand Allocator'!$A$1:$L$53</definedName>
    <definedName name="_xlnm.Print_Area" localSheetId="1">EXTERNAL!$A$1:$M$128</definedName>
    <definedName name="_xlnm.Print_Area" localSheetId="13">'Mains Allocator'!$B$1:$M$56</definedName>
    <definedName name="_xlnm.Print_Area" localSheetId="14">'Mains Allocator Old Method'!$B$1:$M$39</definedName>
    <definedName name="_xlnm.Print_Area" localSheetId="15">'Mains Costs'!$A$1:$F$35</definedName>
    <definedName name="_xlnm.Print_Titles" localSheetId="1">EXTERNAL!$1:$4</definedName>
    <definedName name="UsedInCOSA">#REF!</definedName>
  </definedNames>
  <calcPr calcId="145621" iterate="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13" l="1"/>
  <c r="K69" i="8"/>
  <c r="K68" i="8"/>
  <c r="I64" i="8"/>
  <c r="I61" i="8"/>
  <c r="I60" i="8"/>
  <c r="I56" i="8"/>
  <c r="I55" i="8"/>
  <c r="I54" i="8"/>
  <c r="I52" i="8"/>
  <c r="I51" i="8"/>
  <c r="I50" i="8"/>
  <c r="I49" i="8"/>
  <c r="F31" i="27"/>
  <c r="F30" i="27"/>
  <c r="E25" i="27"/>
  <c r="D25" i="27"/>
  <c r="E24" i="27"/>
  <c r="D24" i="27"/>
  <c r="E23" i="27"/>
  <c r="D23" i="27"/>
  <c r="E22" i="27"/>
  <c r="D22" i="27"/>
  <c r="E21" i="27"/>
  <c r="D21" i="27"/>
  <c r="E20" i="27"/>
  <c r="D20" i="27"/>
  <c r="E19" i="27"/>
  <c r="D19" i="27"/>
  <c r="E18" i="27"/>
  <c r="D18" i="27"/>
  <c r="E17" i="27"/>
  <c r="D17" i="27"/>
  <c r="E16" i="27"/>
  <c r="D16" i="27"/>
  <c r="E15" i="27"/>
  <c r="D15" i="27"/>
  <c r="E14" i="27"/>
  <c r="D14" i="27"/>
  <c r="E13" i="27"/>
  <c r="D13" i="27"/>
  <c r="E12" i="27"/>
  <c r="D12" i="27"/>
  <c r="E11" i="27"/>
  <c r="D11" i="27"/>
  <c r="D17" i="30" l="1"/>
  <c r="D16" i="30"/>
  <c r="B26" i="17"/>
  <c r="B30" i="17"/>
  <c r="B25" i="17"/>
  <c r="B23" i="17"/>
  <c r="B22" i="17"/>
  <c r="D15" i="30"/>
  <c r="D18" i="30"/>
  <c r="L118" i="1"/>
  <c r="K118" i="1"/>
  <c r="J118" i="1"/>
  <c r="I118" i="1"/>
  <c r="H118" i="1"/>
  <c r="G118" i="1"/>
  <c r="F118" i="1"/>
  <c r="E118" i="1"/>
  <c r="L109" i="1"/>
  <c r="M29" i="30"/>
  <c r="L29" i="30"/>
  <c r="K29" i="30"/>
  <c r="J29" i="30"/>
  <c r="J30" i="30" s="1"/>
  <c r="I29" i="30"/>
  <c r="H29" i="30"/>
  <c r="G29" i="30"/>
  <c r="M26" i="30"/>
  <c r="L26" i="30"/>
  <c r="K26" i="30"/>
  <c r="J26" i="30"/>
  <c r="I26" i="30"/>
  <c r="H26" i="30"/>
  <c r="G26" i="30"/>
  <c r="E12" i="30"/>
  <c r="D21" i="30"/>
  <c r="K35" i="30"/>
  <c r="I35" i="30"/>
  <c r="H35" i="30"/>
  <c r="G35" i="30"/>
  <c r="K32" i="30"/>
  <c r="I32" i="30"/>
  <c r="H32" i="30"/>
  <c r="G32" i="30"/>
  <c r="M30" i="30"/>
  <c r="I30" i="30"/>
  <c r="H30" i="30"/>
  <c r="D29" i="30"/>
  <c r="K30" i="30" s="1"/>
  <c r="D26" i="30"/>
  <c r="L27" i="30" s="1"/>
  <c r="B17" i="30"/>
  <c r="B18" i="30" s="1"/>
  <c r="B19" i="30" s="1"/>
  <c r="B21" i="30" s="1"/>
  <c r="B22" i="30" s="1"/>
  <c r="B26" i="30" s="1"/>
  <c r="B27" i="30" s="1"/>
  <c r="B29" i="30" s="1"/>
  <c r="B30" i="30" s="1"/>
  <c r="B32" i="30" s="1"/>
  <c r="B33" i="30" s="1"/>
  <c r="B35" i="30" s="1"/>
  <c r="B36" i="30" s="1"/>
  <c r="B38" i="30" s="1"/>
  <c r="B39" i="30" s="1"/>
  <c r="E16" i="30"/>
  <c r="B15" i="30"/>
  <c r="B16" i="30" s="1"/>
  <c r="D13" i="30"/>
  <c r="B13" i="30"/>
  <c r="E8" i="30"/>
  <c r="D9" i="30" s="1"/>
  <c r="J27" i="30" l="1"/>
  <c r="J9" i="30" s="1"/>
  <c r="M27" i="30"/>
  <c r="J32" i="30"/>
  <c r="I27" i="30"/>
  <c r="I9" i="30" s="1"/>
  <c r="O29" i="30"/>
  <c r="L30" i="30"/>
  <c r="L9" i="30"/>
  <c r="D43" i="30"/>
  <c r="M9" i="30"/>
  <c r="D35" i="30"/>
  <c r="K36" i="30"/>
  <c r="G27" i="30"/>
  <c r="K27" i="30"/>
  <c r="K9" i="30" s="1"/>
  <c r="O26" i="30"/>
  <c r="H27" i="30"/>
  <c r="H9" i="30" s="1"/>
  <c r="G30" i="30"/>
  <c r="D30" i="30" s="1"/>
  <c r="O30" i="30" s="1"/>
  <c r="D32" i="30" l="1"/>
  <c r="L36" i="30"/>
  <c r="O35" i="30"/>
  <c r="G36" i="30"/>
  <c r="J36" i="30"/>
  <c r="I36" i="30"/>
  <c r="M36" i="30"/>
  <c r="D27" i="30"/>
  <c r="O27" i="30" s="1"/>
  <c r="H36" i="30"/>
  <c r="G9" i="30"/>
  <c r="O9" i="30" s="1"/>
  <c r="I33" i="30" l="1"/>
  <c r="O32" i="30"/>
  <c r="L33" i="30"/>
  <c r="H33" i="30"/>
  <c r="M33" i="30"/>
  <c r="G33" i="30"/>
  <c r="K33" i="30"/>
  <c r="J33" i="30"/>
  <c r="M16" i="30"/>
  <c r="I16" i="30"/>
  <c r="L16" i="30"/>
  <c r="H16" i="30"/>
  <c r="K16" i="30"/>
  <c r="J16" i="30"/>
  <c r="G16" i="30"/>
  <c r="J18" i="30"/>
  <c r="M18" i="30"/>
  <c r="I18" i="30"/>
  <c r="L18" i="30"/>
  <c r="H18" i="30"/>
  <c r="G18" i="30"/>
  <c r="K18" i="30"/>
  <c r="D36" i="30"/>
  <c r="O36" i="30" s="1"/>
  <c r="D33" i="30" l="1"/>
  <c r="O33" i="30" s="1"/>
  <c r="O16" i="30"/>
  <c r="O18" i="30"/>
  <c r="L15" i="30"/>
  <c r="H15" i="30"/>
  <c r="K15" i="30"/>
  <c r="G15" i="30"/>
  <c r="D19" i="30"/>
  <c r="I15" i="30"/>
  <c r="M15" i="30"/>
  <c r="J15" i="30"/>
  <c r="K17" i="30"/>
  <c r="G17" i="30"/>
  <c r="J17" i="30"/>
  <c r="M17" i="30"/>
  <c r="L17" i="30"/>
  <c r="I17" i="30"/>
  <c r="H17" i="30"/>
  <c r="J19" i="30" l="1"/>
  <c r="M19" i="30"/>
  <c r="K19" i="30"/>
  <c r="I19" i="30"/>
  <c r="H19" i="30"/>
  <c r="G19" i="30"/>
  <c r="O15" i="30"/>
  <c r="L19" i="30"/>
  <c r="G21" i="30" l="1"/>
  <c r="E109" i="1"/>
  <c r="K21" i="30"/>
  <c r="K22" i="30" s="1"/>
  <c r="I109" i="1"/>
  <c r="H21" i="30"/>
  <c r="H22" i="30" s="1"/>
  <c r="F109" i="1"/>
  <c r="M21" i="30"/>
  <c r="M22" i="30" s="1"/>
  <c r="K109" i="1"/>
  <c r="L21" i="30"/>
  <c r="L22" i="30" s="1"/>
  <c r="J109" i="1"/>
  <c r="I21" i="30"/>
  <c r="I22" i="30" s="1"/>
  <c r="G109" i="1"/>
  <c r="J21" i="30"/>
  <c r="J22" i="30" s="1"/>
  <c r="H109" i="1"/>
  <c r="O19" i="30"/>
  <c r="O21" i="30"/>
  <c r="G22" i="30"/>
  <c r="J38" i="30" l="1"/>
  <c r="J39" i="30" s="1"/>
  <c r="D22" i="30"/>
  <c r="O22" i="30" s="1"/>
  <c r="F61" i="8"/>
  <c r="K26" i="15" l="1"/>
  <c r="J26" i="15"/>
  <c r="K22" i="15"/>
  <c r="J22" i="15"/>
  <c r="K19" i="15"/>
  <c r="J19" i="15"/>
  <c r="K13" i="15"/>
  <c r="K10" i="15"/>
  <c r="J10" i="15"/>
  <c r="K7" i="15"/>
  <c r="I22" i="15" l="1"/>
  <c r="H22" i="15"/>
  <c r="G22" i="15"/>
  <c r="F19" i="15" l="1"/>
  <c r="H26" i="15"/>
  <c r="F7" i="15"/>
  <c r="F13" i="15"/>
  <c r="J13" i="15"/>
  <c r="J7" i="15"/>
  <c r="D26" i="15" l="1"/>
  <c r="G26" i="15"/>
  <c r="D22" i="15"/>
  <c r="E13" i="15"/>
  <c r="I26" i="15"/>
  <c r="F26" i="15"/>
  <c r="E22" i="15"/>
  <c r="F22" i="15"/>
  <c r="E26" i="15"/>
  <c r="E19" i="15"/>
  <c r="I7" i="15"/>
  <c r="D19" i="15"/>
  <c r="G7" i="15"/>
  <c r="I13" i="15"/>
  <c r="I19" i="15"/>
  <c r="F10" i="15"/>
  <c r="H13" i="15"/>
  <c r="H19" i="15"/>
  <c r="I10" i="15"/>
  <c r="H7" i="15"/>
  <c r="G13" i="15"/>
  <c r="G19" i="15"/>
  <c r="H10" i="15" l="1"/>
  <c r="G10" i="15"/>
  <c r="D13" i="15"/>
  <c r="C13" i="16" l="1"/>
  <c r="C7" i="16" l="1"/>
  <c r="D7" i="15" l="1"/>
  <c r="E7" i="15"/>
  <c r="E10" i="15" l="1"/>
  <c r="D10" i="15"/>
  <c r="D7" i="16" l="1"/>
  <c r="D13" i="16" l="1"/>
  <c r="B11" i="17" l="1"/>
  <c r="B12" i="17" s="1"/>
  <c r="B13" i="17" s="1"/>
  <c r="B14" i="17" s="1"/>
  <c r="B17" i="17" s="1"/>
  <c r="B19" i="17" s="1"/>
  <c r="B20" i="17" s="1"/>
  <c r="B21" i="17" s="1"/>
  <c r="L94" i="1"/>
  <c r="C52" i="11" l="1"/>
  <c r="C53" i="11" s="1"/>
  <c r="D51" i="11"/>
  <c r="D52" i="11" s="1"/>
  <c r="B26" i="11"/>
  <c r="E20" i="11"/>
  <c r="E8" i="11"/>
  <c r="E9" i="11"/>
  <c r="E10" i="11"/>
  <c r="E11" i="11"/>
  <c r="E13" i="11"/>
  <c r="E14" i="11"/>
  <c r="E15" i="11"/>
  <c r="E21" i="11" l="1"/>
  <c r="C14" i="14" l="1"/>
  <c r="C12" i="14"/>
  <c r="C10" i="14"/>
  <c r="C21" i="13" l="1"/>
  <c r="C9" i="13"/>
  <c r="C10" i="13"/>
  <c r="C11" i="13"/>
  <c r="C12" i="13"/>
  <c r="C13" i="13"/>
  <c r="C14" i="13"/>
  <c r="C15" i="13"/>
  <c r="C16" i="13"/>
  <c r="C17" i="13"/>
  <c r="B27" i="5" l="1"/>
  <c r="C27" i="5"/>
  <c r="D27" i="5"/>
  <c r="B28" i="5"/>
  <c r="C28" i="5"/>
  <c r="D28" i="5"/>
  <c r="B29" i="5"/>
  <c r="C29" i="5"/>
  <c r="D29" i="5"/>
  <c r="B30" i="5"/>
  <c r="C30" i="5"/>
  <c r="D30" i="5"/>
  <c r="B31" i="5"/>
  <c r="C31" i="5"/>
  <c r="D31" i="5"/>
  <c r="B32" i="5"/>
  <c r="C32" i="5"/>
  <c r="D32" i="5"/>
  <c r="B33" i="5"/>
  <c r="C33" i="5"/>
  <c r="D33" i="5"/>
  <c r="B34" i="5"/>
  <c r="C34" i="5"/>
  <c r="D34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C22" i="3" l="1"/>
  <c r="D22" i="3"/>
  <c r="E22" i="3"/>
  <c r="F22" i="3"/>
  <c r="G22" i="3"/>
  <c r="H22" i="3"/>
  <c r="I22" i="3"/>
  <c r="J22" i="3"/>
  <c r="K22" i="3"/>
  <c r="L22" i="3"/>
  <c r="M22" i="3"/>
  <c r="N22" i="3"/>
  <c r="C31" i="3"/>
  <c r="L13" i="3" l="1"/>
  <c r="L31" i="3"/>
  <c r="H13" i="3"/>
  <c r="H31" i="3"/>
  <c r="D13" i="3"/>
  <c r="D31" i="3"/>
  <c r="K13" i="3"/>
  <c r="K31" i="3"/>
  <c r="G13" i="3"/>
  <c r="G31" i="3"/>
  <c r="N13" i="3"/>
  <c r="N31" i="3"/>
  <c r="J13" i="3"/>
  <c r="J31" i="3"/>
  <c r="F13" i="3"/>
  <c r="F31" i="3"/>
  <c r="M13" i="3"/>
  <c r="M31" i="3"/>
  <c r="I13" i="3"/>
  <c r="I31" i="3"/>
  <c r="E13" i="3"/>
  <c r="E31" i="3"/>
  <c r="M17" i="3"/>
  <c r="M7" i="3"/>
  <c r="M35" i="3" s="1"/>
  <c r="I17" i="3"/>
  <c r="I7" i="3"/>
  <c r="I35" i="3" s="1"/>
  <c r="E17" i="3"/>
  <c r="E7" i="3"/>
  <c r="E35" i="3" s="1"/>
  <c r="L17" i="3"/>
  <c r="L7" i="3"/>
  <c r="L35" i="3" s="1"/>
  <c r="H17" i="3"/>
  <c r="H7" i="3"/>
  <c r="H35" i="3" s="1"/>
  <c r="D7" i="3"/>
  <c r="D35" i="3" s="1"/>
  <c r="D17" i="3"/>
  <c r="C13" i="3"/>
  <c r="K17" i="3"/>
  <c r="K7" i="3"/>
  <c r="K35" i="3" s="1"/>
  <c r="G17" i="3"/>
  <c r="G7" i="3"/>
  <c r="G35" i="3" s="1"/>
  <c r="N17" i="3"/>
  <c r="N7" i="3"/>
  <c r="N35" i="3" s="1"/>
  <c r="J17" i="3"/>
  <c r="J7" i="3"/>
  <c r="J35" i="3" s="1"/>
  <c r="F17" i="3"/>
  <c r="F7" i="3"/>
  <c r="F35" i="3" s="1"/>
  <c r="H30" i="3"/>
  <c r="L29" i="3"/>
  <c r="D29" i="3"/>
  <c r="H28" i="3"/>
  <c r="H27" i="3"/>
  <c r="H26" i="3"/>
  <c r="G30" i="3"/>
  <c r="K29" i="3"/>
  <c r="G28" i="3"/>
  <c r="C27" i="3"/>
  <c r="K26" i="3"/>
  <c r="C26" i="3"/>
  <c r="M30" i="3"/>
  <c r="I30" i="3"/>
  <c r="E30" i="3"/>
  <c r="M29" i="3"/>
  <c r="I29" i="3"/>
  <c r="E29" i="3"/>
  <c r="M28" i="3"/>
  <c r="I28" i="3"/>
  <c r="E28" i="3"/>
  <c r="M27" i="3"/>
  <c r="I27" i="3"/>
  <c r="E27" i="3"/>
  <c r="I26" i="3"/>
  <c r="E26" i="3"/>
  <c r="L30" i="3"/>
  <c r="D30" i="3"/>
  <c r="H29" i="3"/>
  <c r="L28" i="3"/>
  <c r="D28" i="3"/>
  <c r="L27" i="3"/>
  <c r="L26" i="3"/>
  <c r="D26" i="3"/>
  <c r="K30" i="3"/>
  <c r="C30" i="3"/>
  <c r="G29" i="3"/>
  <c r="C29" i="3"/>
  <c r="K28" i="3"/>
  <c r="C28" i="3"/>
  <c r="K27" i="3"/>
  <c r="G27" i="3"/>
  <c r="G26" i="3"/>
  <c r="N30" i="3"/>
  <c r="J30" i="3"/>
  <c r="F30" i="3"/>
  <c r="N29" i="3"/>
  <c r="J29" i="3"/>
  <c r="F29" i="3"/>
  <c r="N28" i="3"/>
  <c r="J28" i="3"/>
  <c r="F28" i="3"/>
  <c r="N27" i="3"/>
  <c r="F27" i="3"/>
  <c r="N26" i="3"/>
  <c r="J26" i="3"/>
  <c r="F26" i="3"/>
  <c r="C17" i="3"/>
  <c r="J27" i="3" l="1"/>
  <c r="E12" i="3"/>
  <c r="M26" i="3"/>
  <c r="G12" i="3"/>
  <c r="H12" i="3"/>
  <c r="O29" i="3"/>
  <c r="P29" i="3"/>
  <c r="P27" i="3"/>
  <c r="C7" i="3"/>
  <c r="C35" i="3" s="1"/>
  <c r="O31" i="3"/>
  <c r="P28" i="3"/>
  <c r="O28" i="3"/>
  <c r="I12" i="3"/>
  <c r="K12" i="3"/>
  <c r="O30" i="3"/>
  <c r="P30" i="3"/>
  <c r="O26" i="3"/>
  <c r="P31" i="3"/>
  <c r="J9" i="3"/>
  <c r="J37" i="3" s="1"/>
  <c r="J19" i="3"/>
  <c r="J21" i="3"/>
  <c r="J11" i="3"/>
  <c r="K18" i="3"/>
  <c r="K8" i="3"/>
  <c r="K36" i="3" s="1"/>
  <c r="K9" i="3"/>
  <c r="K37" i="3" s="1"/>
  <c r="K20" i="3"/>
  <c r="K10" i="3"/>
  <c r="H18" i="3"/>
  <c r="M18" i="3"/>
  <c r="M8" i="3"/>
  <c r="M36" i="3" s="1"/>
  <c r="E19" i="3"/>
  <c r="E9" i="3"/>
  <c r="E37" i="3" s="1"/>
  <c r="M20" i="3"/>
  <c r="M10" i="3"/>
  <c r="E21" i="3"/>
  <c r="E11" i="3"/>
  <c r="K21" i="3"/>
  <c r="K11" i="3"/>
  <c r="L8" i="3"/>
  <c r="L36" i="3" s="1"/>
  <c r="L21" i="3"/>
  <c r="L11" i="3"/>
  <c r="P7" i="3"/>
  <c r="P35" i="3" s="1"/>
  <c r="O7" i="3"/>
  <c r="O35" i="3" s="1"/>
  <c r="P13" i="3"/>
  <c r="O13" i="3"/>
  <c r="D12" i="3"/>
  <c r="F18" i="3"/>
  <c r="F8" i="3"/>
  <c r="F36" i="3" s="1"/>
  <c r="N9" i="3"/>
  <c r="N37" i="3" s="1"/>
  <c r="N19" i="3"/>
  <c r="F20" i="3"/>
  <c r="F10" i="3"/>
  <c r="N21" i="3"/>
  <c r="N11" i="3"/>
  <c r="I19" i="3"/>
  <c r="I21" i="3"/>
  <c r="I11" i="3"/>
  <c r="G18" i="3"/>
  <c r="G8" i="3"/>
  <c r="G36" i="3" s="1"/>
  <c r="G20" i="3"/>
  <c r="G10" i="3"/>
  <c r="H20" i="3"/>
  <c r="H10" i="3"/>
  <c r="F12" i="3"/>
  <c r="C18" i="3"/>
  <c r="C8" i="3"/>
  <c r="C36" i="3" s="1"/>
  <c r="J18" i="3"/>
  <c r="J20" i="3"/>
  <c r="J10" i="3"/>
  <c r="C9" i="3"/>
  <c r="C37" i="3" s="1"/>
  <c r="C19" i="3"/>
  <c r="D20" i="3"/>
  <c r="D10" i="3"/>
  <c r="H11" i="3"/>
  <c r="H21" i="3"/>
  <c r="E18" i="3"/>
  <c r="M19" i="3"/>
  <c r="M9" i="3"/>
  <c r="M37" i="3" s="1"/>
  <c r="E20" i="3"/>
  <c r="E10" i="3"/>
  <c r="M21" i="3"/>
  <c r="M11" i="3"/>
  <c r="D19" i="3"/>
  <c r="M12" i="3"/>
  <c r="J12" i="3"/>
  <c r="O17" i="3"/>
  <c r="P17" i="3"/>
  <c r="C12" i="3"/>
  <c r="L12" i="3"/>
  <c r="N18" i="3"/>
  <c r="N8" i="3"/>
  <c r="N36" i="3" s="1"/>
  <c r="F19" i="3"/>
  <c r="F9" i="3"/>
  <c r="F37" i="3" s="1"/>
  <c r="N10" i="3"/>
  <c r="N20" i="3"/>
  <c r="F21" i="3"/>
  <c r="F11" i="3"/>
  <c r="G19" i="3"/>
  <c r="G9" i="3"/>
  <c r="G37" i="3" s="1"/>
  <c r="C10" i="3"/>
  <c r="C20" i="3"/>
  <c r="G21" i="3"/>
  <c r="G11" i="3"/>
  <c r="H19" i="3"/>
  <c r="H9" i="3"/>
  <c r="H37" i="3" s="1"/>
  <c r="L20" i="3"/>
  <c r="L10" i="3"/>
  <c r="I8" i="3"/>
  <c r="I36" i="3" s="1"/>
  <c r="I18" i="3"/>
  <c r="I20" i="3"/>
  <c r="I10" i="3"/>
  <c r="C21" i="3"/>
  <c r="C11" i="3"/>
  <c r="D8" i="3"/>
  <c r="D36" i="3" s="1"/>
  <c r="D18" i="3"/>
  <c r="L19" i="3"/>
  <c r="L9" i="3"/>
  <c r="L37" i="3" s="1"/>
  <c r="D11" i="3"/>
  <c r="D21" i="3"/>
  <c r="N12" i="3"/>
  <c r="L18" i="3" l="1"/>
  <c r="P26" i="3"/>
  <c r="K19" i="3"/>
  <c r="O27" i="3"/>
  <c r="D27" i="3"/>
  <c r="D9" i="3"/>
  <c r="D37" i="3" s="1"/>
  <c r="J8" i="3"/>
  <c r="J36" i="3" s="1"/>
  <c r="I9" i="3"/>
  <c r="I37" i="3" s="1"/>
  <c r="E8" i="3"/>
  <c r="E36" i="3" s="1"/>
  <c r="H8" i="3"/>
  <c r="H36" i="3" s="1"/>
  <c r="O9" i="3"/>
  <c r="O37" i="3" s="1"/>
  <c r="P9" i="3"/>
  <c r="P37" i="3" s="1"/>
  <c r="O21" i="3"/>
  <c r="P21" i="3"/>
  <c r="P20" i="3"/>
  <c r="O20" i="3"/>
  <c r="P12" i="3"/>
  <c r="O12" i="3"/>
  <c r="O11" i="3"/>
  <c r="P11" i="3"/>
  <c r="O22" i="3"/>
  <c r="P22" i="3"/>
  <c r="O18" i="3"/>
  <c r="P18" i="3"/>
  <c r="P8" i="3"/>
  <c r="P36" i="3" s="1"/>
  <c r="O8" i="3"/>
  <c r="O36" i="3" s="1"/>
  <c r="P10" i="3"/>
  <c r="O10" i="3"/>
  <c r="O19" i="3"/>
  <c r="P19" i="3"/>
  <c r="D64" i="8" l="1"/>
  <c r="K61" i="8" l="1"/>
  <c r="L124" i="1" l="1"/>
  <c r="K124" i="1"/>
  <c r="K123" i="1" s="1"/>
  <c r="A124" i="1"/>
  <c r="A125" i="1" s="1"/>
  <c r="S123" i="1"/>
  <c r="R123" i="1"/>
  <c r="Q123" i="1"/>
  <c r="P123" i="1"/>
  <c r="O123" i="1"/>
  <c r="N123" i="1"/>
  <c r="M123" i="1"/>
  <c r="L123" i="1"/>
  <c r="D33" i="28" l="1"/>
  <c r="B39" i="17" l="1"/>
  <c r="B40" i="17" s="1"/>
  <c r="B36" i="17"/>
  <c r="B37" i="17" s="1"/>
  <c r="B33" i="17"/>
  <c r="B34" i="17" s="1"/>
  <c r="B31" i="17" l="1"/>
  <c r="C7" i="28"/>
  <c r="C30" i="28" s="1"/>
  <c r="D7" i="28"/>
  <c r="C8" i="28"/>
  <c r="D8" i="28"/>
  <c r="C9" i="28"/>
  <c r="C31" i="28" s="1"/>
  <c r="D9" i="28"/>
  <c r="C10" i="28"/>
  <c r="D10" i="28"/>
  <c r="C11" i="28"/>
  <c r="D11" i="28"/>
  <c r="C12" i="28"/>
  <c r="D12" i="28"/>
  <c r="C13" i="28"/>
  <c r="D13" i="28"/>
  <c r="C14" i="28"/>
  <c r="D14" i="28"/>
  <c r="C15" i="28"/>
  <c r="D15" i="28"/>
  <c r="C16" i="28"/>
  <c r="D16" i="28"/>
  <c r="C17" i="28"/>
  <c r="D17" i="28"/>
  <c r="C18" i="28"/>
  <c r="D18" i="28"/>
  <c r="C19" i="28"/>
  <c r="D19" i="28"/>
  <c r="C20" i="28"/>
  <c r="D20" i="28"/>
  <c r="C21" i="28"/>
  <c r="D21" i="28"/>
  <c r="C22" i="28"/>
  <c r="D22" i="28"/>
  <c r="C23" i="28"/>
  <c r="D23" i="28"/>
  <c r="C24" i="28"/>
  <c r="D24" i="28"/>
  <c r="C25" i="28"/>
  <c r="F11" i="27" l="1"/>
  <c r="B43" i="17"/>
  <c r="B44" i="17" s="1"/>
  <c r="B49" i="17" s="1"/>
  <c r="B50" i="17" s="1"/>
  <c r="B52" i="17" s="1"/>
  <c r="B53" i="17" s="1"/>
  <c r="B55" i="17" s="1"/>
  <c r="B56" i="17" s="1"/>
  <c r="B46" i="17"/>
  <c r="B47" i="17" s="1"/>
  <c r="D25" i="28"/>
  <c r="C33" i="28" l="1"/>
  <c r="C32" i="28" s="1"/>
  <c r="C34" i="28" s="1"/>
  <c r="D32" i="28" l="1"/>
  <c r="D31" i="28"/>
  <c r="D30" i="28"/>
  <c r="D34" i="28" s="1"/>
  <c r="C35" i="28"/>
  <c r="K29" i="15" l="1"/>
  <c r="J29" i="15"/>
  <c r="K28" i="15"/>
  <c r="J28" i="15"/>
  <c r="A13" i="15"/>
  <c r="A14" i="15" s="1"/>
  <c r="A16" i="15" s="1"/>
  <c r="A17" i="15" s="1"/>
  <c r="A19" i="15" s="1"/>
  <c r="A20" i="15" s="1"/>
  <c r="A22" i="15" s="1"/>
  <c r="A23" i="15" s="1"/>
  <c r="A25" i="15" s="1"/>
  <c r="A26" i="15" s="1"/>
  <c r="A27" i="15" s="1"/>
  <c r="A28" i="15" s="1"/>
  <c r="A29" i="15" s="1"/>
  <c r="A30" i="15" s="1"/>
  <c r="A31" i="15" s="1"/>
  <c r="A32" i="15" s="1"/>
  <c r="A34" i="15" s="1"/>
  <c r="A35" i="15" s="1"/>
  <c r="A36" i="15" s="1"/>
  <c r="A38" i="15" s="1"/>
  <c r="A39" i="15" s="1"/>
  <c r="A41" i="15" s="1"/>
  <c r="A42" i="15" s="1"/>
  <c r="A44" i="15" s="1"/>
  <c r="A46" i="15" s="1"/>
  <c r="A47" i="15" s="1"/>
  <c r="A48" i="15" s="1"/>
  <c r="A50" i="15" s="1"/>
  <c r="A51" i="15" s="1"/>
  <c r="A53" i="15" s="1"/>
  <c r="A8" i="15"/>
  <c r="A10" i="15" s="1"/>
  <c r="A11" i="15" s="1"/>
  <c r="K31" i="15" l="1"/>
  <c r="J31" i="15"/>
  <c r="M30" i="17"/>
  <c r="E28" i="15" l="1"/>
  <c r="F28" i="15"/>
  <c r="G28" i="15"/>
  <c r="H28" i="15"/>
  <c r="I28" i="15"/>
  <c r="G124" i="1"/>
  <c r="L26" i="15" l="1"/>
  <c r="D28" i="15"/>
  <c r="L28" i="15" s="1"/>
  <c r="D23" i="15"/>
  <c r="D29" i="15"/>
  <c r="L22" i="15"/>
  <c r="M43" i="17"/>
  <c r="I43" i="17"/>
  <c r="L30" i="17"/>
  <c r="L33" i="17" s="1"/>
  <c r="J124" i="1"/>
  <c r="J123" i="1" s="1"/>
  <c r="H43" i="17"/>
  <c r="L19" i="15"/>
  <c r="I20" i="15" s="1"/>
  <c r="I35" i="15" s="1"/>
  <c r="I36" i="15" s="1"/>
  <c r="H23" i="15"/>
  <c r="H29" i="15"/>
  <c r="H31" i="15" s="1"/>
  <c r="F29" i="15"/>
  <c r="F31" i="15" s="1"/>
  <c r="J30" i="17"/>
  <c r="H124" i="1"/>
  <c r="K30" i="17"/>
  <c r="I124" i="1"/>
  <c r="I30" i="17"/>
  <c r="I39" i="17" s="1"/>
  <c r="E23" i="15"/>
  <c r="E29" i="15"/>
  <c r="E31" i="15" s="1"/>
  <c r="I23" i="15"/>
  <c r="I29" i="15"/>
  <c r="I31" i="15" s="1"/>
  <c r="G29" i="15"/>
  <c r="G31" i="15" s="1"/>
  <c r="G23" i="15"/>
  <c r="G43" i="17"/>
  <c r="I33" i="17" l="1"/>
  <c r="I36" i="17"/>
  <c r="J33" i="17"/>
  <c r="J36" i="17"/>
  <c r="K33" i="17"/>
  <c r="K36" i="17"/>
  <c r="I46" i="17"/>
  <c r="I49" i="17"/>
  <c r="I52" i="17"/>
  <c r="H52" i="17"/>
  <c r="H46" i="17"/>
  <c r="H49" i="17"/>
  <c r="G46" i="17"/>
  <c r="G49" i="17"/>
  <c r="G52" i="17"/>
  <c r="K43" i="17"/>
  <c r="G38" i="15"/>
  <c r="G39" i="15" s="1"/>
  <c r="G47" i="15"/>
  <c r="G48" i="15" s="1"/>
  <c r="D47" i="15"/>
  <c r="D38" i="15"/>
  <c r="J43" i="17"/>
  <c r="L43" i="17"/>
  <c r="E38" i="15"/>
  <c r="E39" i="15" s="1"/>
  <c r="E47" i="15"/>
  <c r="E48" i="15" s="1"/>
  <c r="H47" i="15"/>
  <c r="H48" i="15" s="1"/>
  <c r="H38" i="15"/>
  <c r="H39" i="15" s="1"/>
  <c r="E20" i="15"/>
  <c r="E35" i="15" s="1"/>
  <c r="E36" i="15" s="1"/>
  <c r="K23" i="15"/>
  <c r="J23" i="15"/>
  <c r="K20" i="15"/>
  <c r="K35" i="15" s="1"/>
  <c r="K36" i="15" s="1"/>
  <c r="J20" i="15"/>
  <c r="J35" i="15" s="1"/>
  <c r="J36" i="15" s="1"/>
  <c r="L13" i="15"/>
  <c r="K14" i="15" s="1"/>
  <c r="I38" i="15"/>
  <c r="I39" i="15" s="1"/>
  <c r="I47" i="15"/>
  <c r="I48" i="15" s="1"/>
  <c r="H20" i="15"/>
  <c r="H35" i="15" s="1"/>
  <c r="H36" i="15" s="1"/>
  <c r="F23" i="15"/>
  <c r="L23" i="15" s="1"/>
  <c r="D20" i="15"/>
  <c r="F20" i="15"/>
  <c r="F35" i="15" s="1"/>
  <c r="F36" i="15" s="1"/>
  <c r="D31" i="15"/>
  <c r="L29" i="15"/>
  <c r="G20" i="15"/>
  <c r="G35" i="15" s="1"/>
  <c r="G36" i="15" s="1"/>
  <c r="D43" i="17" l="1"/>
  <c r="J44" i="17" s="1"/>
  <c r="H44" i="17"/>
  <c r="K49" i="17"/>
  <c r="K46" i="17"/>
  <c r="D52" i="17"/>
  <c r="L46" i="17"/>
  <c r="L44" i="17"/>
  <c r="J49" i="17"/>
  <c r="J46" i="17"/>
  <c r="E14" i="15"/>
  <c r="D14" i="15"/>
  <c r="J14" i="15"/>
  <c r="G14" i="15"/>
  <c r="D48" i="15"/>
  <c r="L20" i="15"/>
  <c r="D35" i="15"/>
  <c r="F14" i="15"/>
  <c r="J38" i="15"/>
  <c r="J39" i="15" s="1"/>
  <c r="J47" i="15"/>
  <c r="J48" i="15" s="1"/>
  <c r="I14" i="15"/>
  <c r="H14" i="15"/>
  <c r="L31" i="15"/>
  <c r="D32" i="15" s="1"/>
  <c r="E127" i="1" s="1"/>
  <c r="F47" i="15"/>
  <c r="F48" i="15" s="1"/>
  <c r="F38" i="15"/>
  <c r="F39" i="15" s="1"/>
  <c r="K38" i="15"/>
  <c r="K39" i="15" s="1"/>
  <c r="K47" i="15"/>
  <c r="K48" i="15" s="1"/>
  <c r="D39" i="15"/>
  <c r="G44" i="17" l="1"/>
  <c r="D49" i="17"/>
  <c r="M50" i="17" s="1"/>
  <c r="I44" i="17"/>
  <c r="K44" i="17"/>
  <c r="M44" i="17"/>
  <c r="H53" i="17"/>
  <c r="G53" i="17"/>
  <c r="L50" i="17"/>
  <c r="K53" i="17"/>
  <c r="L53" i="17"/>
  <c r="J53" i="17"/>
  <c r="M53" i="17"/>
  <c r="L38" i="15"/>
  <c r="D46" i="17"/>
  <c r="K47" i="17" s="1"/>
  <c r="I53" i="17"/>
  <c r="L48" i="15"/>
  <c r="L14" i="15"/>
  <c r="D36" i="15"/>
  <c r="L35" i="15"/>
  <c r="L47" i="15"/>
  <c r="L39" i="15"/>
  <c r="K32" i="15"/>
  <c r="L127" i="1" s="1"/>
  <c r="J32" i="15"/>
  <c r="K127" i="1" s="1"/>
  <c r="I32" i="15"/>
  <c r="J127" i="1" s="1"/>
  <c r="G32" i="15"/>
  <c r="H127" i="1" s="1"/>
  <c r="F32" i="15"/>
  <c r="G127" i="1" s="1"/>
  <c r="H32" i="15"/>
  <c r="I127" i="1" s="1"/>
  <c r="E32" i="15"/>
  <c r="G30" i="17"/>
  <c r="H50" i="17" l="1"/>
  <c r="G50" i="17"/>
  <c r="J50" i="17"/>
  <c r="I50" i="17"/>
  <c r="D50" i="17" s="1"/>
  <c r="D44" i="17"/>
  <c r="K50" i="17"/>
  <c r="L32" i="15"/>
  <c r="F127" i="1"/>
  <c r="G33" i="17"/>
  <c r="G39" i="17"/>
  <c r="G36" i="17"/>
  <c r="L47" i="17"/>
  <c r="D53" i="17"/>
  <c r="I47" i="17"/>
  <c r="M47" i="17"/>
  <c r="H47" i="17"/>
  <c r="G47" i="17"/>
  <c r="J47" i="17"/>
  <c r="H30" i="17"/>
  <c r="F124" i="1"/>
  <c r="L36" i="15"/>
  <c r="E124" i="1"/>
  <c r="D124" i="1" l="1"/>
  <c r="E123" i="1" s="1"/>
  <c r="H39" i="17"/>
  <c r="D39" i="17" s="1"/>
  <c r="H36" i="17"/>
  <c r="D30" i="17"/>
  <c r="L31" i="17" s="1"/>
  <c r="H33" i="17"/>
  <c r="D47" i="17"/>
  <c r="L10" i="15"/>
  <c r="L7" i="15"/>
  <c r="E8" i="15" s="1"/>
  <c r="G123" i="1" l="1"/>
  <c r="I123" i="1"/>
  <c r="H123" i="1"/>
  <c r="F123" i="1"/>
  <c r="M31" i="17"/>
  <c r="K31" i="17"/>
  <c r="G31" i="17"/>
  <c r="J31" i="17"/>
  <c r="I31" i="17"/>
  <c r="J40" i="17"/>
  <c r="L40" i="17"/>
  <c r="M40" i="17"/>
  <c r="I40" i="17"/>
  <c r="K40" i="17"/>
  <c r="H40" i="17"/>
  <c r="D36" i="17"/>
  <c r="G40" i="17"/>
  <c r="H31" i="17"/>
  <c r="D33" i="17"/>
  <c r="K11" i="15"/>
  <c r="J11" i="15"/>
  <c r="F11" i="15"/>
  <c r="G11" i="15"/>
  <c r="H11" i="15"/>
  <c r="I11" i="15"/>
  <c r="D11" i="15"/>
  <c r="K8" i="15"/>
  <c r="J8" i="15"/>
  <c r="H8" i="15"/>
  <c r="F8" i="15"/>
  <c r="G8" i="15"/>
  <c r="I8" i="15"/>
  <c r="D8" i="15"/>
  <c r="E11" i="15"/>
  <c r="D31" i="17" l="1"/>
  <c r="D40" i="17"/>
  <c r="M37" i="17"/>
  <c r="L37" i="17"/>
  <c r="J37" i="17"/>
  <c r="K37" i="17"/>
  <c r="I37" i="17"/>
  <c r="G37" i="17"/>
  <c r="H37" i="17"/>
  <c r="M34" i="17"/>
  <c r="J34" i="17"/>
  <c r="K34" i="17"/>
  <c r="I34" i="17"/>
  <c r="L34" i="17"/>
  <c r="G34" i="17"/>
  <c r="H34" i="17"/>
  <c r="G41" i="15"/>
  <c r="G42" i="15" s="1"/>
  <c r="G44" i="15" s="1"/>
  <c r="G50" i="15"/>
  <c r="G51" i="15" s="1"/>
  <c r="G53" i="15" s="1"/>
  <c r="G16" i="15"/>
  <c r="E16" i="15"/>
  <c r="F50" i="15"/>
  <c r="F51" i="15" s="1"/>
  <c r="F53" i="15" s="1"/>
  <c r="F41" i="15"/>
  <c r="F42" i="15" s="1"/>
  <c r="F44" i="15" s="1"/>
  <c r="L8" i="15"/>
  <c r="I41" i="15"/>
  <c r="I42" i="15" s="1"/>
  <c r="I44" i="15" s="1"/>
  <c r="I50" i="15"/>
  <c r="I51" i="15" s="1"/>
  <c r="I53" i="15" s="1"/>
  <c r="J41" i="15"/>
  <c r="J42" i="15" s="1"/>
  <c r="J44" i="15" s="1"/>
  <c r="J50" i="15"/>
  <c r="J51" i="15" s="1"/>
  <c r="J53" i="15" s="1"/>
  <c r="E41" i="15"/>
  <c r="E42" i="15" s="1"/>
  <c r="E44" i="15" s="1"/>
  <c r="E50" i="15"/>
  <c r="E51" i="15" s="1"/>
  <c r="E53" i="15" s="1"/>
  <c r="D50" i="15"/>
  <c r="L11" i="15"/>
  <c r="D41" i="15"/>
  <c r="H50" i="15"/>
  <c r="H51" i="15" s="1"/>
  <c r="H53" i="15" s="1"/>
  <c r="H41" i="15"/>
  <c r="H42" i="15" s="1"/>
  <c r="H44" i="15" s="1"/>
  <c r="K41" i="15"/>
  <c r="K42" i="15" s="1"/>
  <c r="K44" i="15" s="1"/>
  <c r="K50" i="15"/>
  <c r="K51" i="15" s="1"/>
  <c r="K53" i="15" s="1"/>
  <c r="D34" i="17" l="1"/>
  <c r="D37" i="17"/>
  <c r="H16" i="15"/>
  <c r="D42" i="15"/>
  <c r="L41" i="15"/>
  <c r="D16" i="15"/>
  <c r="F16" i="15"/>
  <c r="L50" i="15"/>
  <c r="D51" i="15"/>
  <c r="K16" i="15"/>
  <c r="J16" i="15"/>
  <c r="I16" i="15"/>
  <c r="L51" i="15" l="1"/>
  <c r="D53" i="15"/>
  <c r="L53" i="15" s="1"/>
  <c r="L42" i="15"/>
  <c r="D44" i="15"/>
  <c r="L44" i="15" s="1"/>
  <c r="L16" i="15"/>
  <c r="H17" i="15" s="1"/>
  <c r="E17" i="15" l="1"/>
  <c r="G17" i="15"/>
  <c r="D17" i="15"/>
  <c r="K17" i="15"/>
  <c r="J17" i="15"/>
  <c r="F17" i="15"/>
  <c r="I17" i="15"/>
  <c r="L17" i="15" l="1"/>
  <c r="C15" i="16" l="1"/>
  <c r="D15" i="16" s="1"/>
  <c r="E15" i="16" s="1"/>
  <c r="E13" i="16"/>
  <c r="C9" i="16"/>
  <c r="E26" i="27"/>
  <c r="D26" i="27"/>
  <c r="F25" i="27"/>
  <c r="F24" i="27"/>
  <c r="F23" i="27"/>
  <c r="J91" i="1" s="1"/>
  <c r="F22" i="27"/>
  <c r="F21" i="27"/>
  <c r="F20" i="27"/>
  <c r="H97" i="1" s="1"/>
  <c r="F19" i="27"/>
  <c r="H91" i="1" s="1"/>
  <c r="F18" i="27"/>
  <c r="F17" i="27"/>
  <c r="F16" i="27"/>
  <c r="F15" i="27"/>
  <c r="F14" i="27"/>
  <c r="B14" i="27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B26" i="27" s="1"/>
  <c r="B30" i="27" s="1"/>
  <c r="B31" i="27" s="1"/>
  <c r="F13" i="27"/>
  <c r="F12" i="27"/>
  <c r="F26" i="27" s="1"/>
  <c r="C14" i="10"/>
  <c r="B15" i="9"/>
  <c r="E69" i="8"/>
  <c r="J69" i="8" s="1"/>
  <c r="D69" i="8"/>
  <c r="I69" i="8" s="1"/>
  <c r="N69" i="8" s="1"/>
  <c r="C69" i="8"/>
  <c r="H69" i="8" s="1"/>
  <c r="M69" i="8" s="1"/>
  <c r="B69" i="8"/>
  <c r="G69" i="8" s="1"/>
  <c r="L69" i="8" s="1"/>
  <c r="D68" i="8"/>
  <c r="I68" i="8" s="1"/>
  <c r="N68" i="8" s="1"/>
  <c r="C68" i="8"/>
  <c r="H68" i="8" s="1"/>
  <c r="M68" i="8" s="1"/>
  <c r="B68" i="8"/>
  <c r="G68" i="8" s="1"/>
  <c r="L68" i="8" s="1"/>
  <c r="B64" i="8"/>
  <c r="C61" i="8"/>
  <c r="G61" i="8" s="1"/>
  <c r="B61" i="8"/>
  <c r="C60" i="8"/>
  <c r="G60" i="8" s="1"/>
  <c r="K60" i="8" s="1"/>
  <c r="B60" i="8"/>
  <c r="D60" i="8" s="1"/>
  <c r="H60" i="8" s="1"/>
  <c r="C57" i="8"/>
  <c r="B57" i="8"/>
  <c r="G56" i="8"/>
  <c r="K56" i="8" s="1"/>
  <c r="F56" i="8"/>
  <c r="J56" i="8" s="1"/>
  <c r="D56" i="8"/>
  <c r="H56" i="8" s="1"/>
  <c r="G55" i="8"/>
  <c r="K55" i="8" s="1"/>
  <c r="F55" i="8"/>
  <c r="J55" i="8" s="1"/>
  <c r="D55" i="8"/>
  <c r="H55" i="8" s="1"/>
  <c r="G54" i="8"/>
  <c r="K54" i="8" s="1"/>
  <c r="F54" i="8"/>
  <c r="J54" i="8" s="1"/>
  <c r="D54" i="8"/>
  <c r="H54" i="8" s="1"/>
  <c r="G53" i="8"/>
  <c r="K53" i="8" s="1"/>
  <c r="F53" i="8"/>
  <c r="J53" i="8" s="1"/>
  <c r="D53" i="8"/>
  <c r="H53" i="8" s="1"/>
  <c r="J52" i="8"/>
  <c r="G52" i="8"/>
  <c r="K52" i="8" s="1"/>
  <c r="F52" i="8"/>
  <c r="D52" i="8"/>
  <c r="H52" i="8" s="1"/>
  <c r="G51" i="8"/>
  <c r="K51" i="8" s="1"/>
  <c r="F51" i="8"/>
  <c r="J51" i="8" s="1"/>
  <c r="D51" i="8"/>
  <c r="H51" i="8" s="1"/>
  <c r="J50" i="8"/>
  <c r="G50" i="8"/>
  <c r="K50" i="8" s="1"/>
  <c r="F50" i="8"/>
  <c r="D50" i="8"/>
  <c r="J49" i="8"/>
  <c r="G49" i="8"/>
  <c r="K49" i="8" s="1"/>
  <c r="F49" i="8"/>
  <c r="D49" i="8"/>
  <c r="H49" i="8" s="1"/>
  <c r="C18" i="14"/>
  <c r="C18" i="13"/>
  <c r="C23" i="13" s="1"/>
  <c r="A10" i="13"/>
  <c r="A11" i="13" s="1"/>
  <c r="A12" i="13" s="1"/>
  <c r="A13" i="13" s="1"/>
  <c r="A14" i="13" s="1"/>
  <c r="A15" i="13" s="1"/>
  <c r="A16" i="13" s="1"/>
  <c r="A17" i="13" s="1"/>
  <c r="A18" i="13" s="1"/>
  <c r="A19" i="13" s="1"/>
  <c r="A21" i="13" s="1"/>
  <c r="A23" i="13" s="1"/>
  <c r="A25" i="13" s="1"/>
  <c r="A27" i="13" s="1"/>
  <c r="A29" i="13" s="1"/>
  <c r="A31" i="13" s="1"/>
  <c r="D35" i="5"/>
  <c r="B35" i="5"/>
  <c r="I21" i="5"/>
  <c r="G21" i="5"/>
  <c r="E21" i="5"/>
  <c r="C21" i="5"/>
  <c r="D21" i="5" s="1"/>
  <c r="B21" i="5"/>
  <c r="J20" i="5"/>
  <c r="H20" i="5"/>
  <c r="F20" i="5"/>
  <c r="D20" i="5"/>
  <c r="J19" i="5"/>
  <c r="H19" i="5"/>
  <c r="F19" i="5"/>
  <c r="D19" i="5"/>
  <c r="J18" i="5"/>
  <c r="H18" i="5"/>
  <c r="F18" i="5"/>
  <c r="D18" i="5"/>
  <c r="J17" i="5"/>
  <c r="H17" i="5"/>
  <c r="F17" i="5"/>
  <c r="D17" i="5"/>
  <c r="J16" i="5"/>
  <c r="H16" i="5"/>
  <c r="F16" i="5"/>
  <c r="D16" i="5"/>
  <c r="J15" i="5"/>
  <c r="H15" i="5"/>
  <c r="F15" i="5"/>
  <c r="D15" i="5"/>
  <c r="J14" i="5"/>
  <c r="H14" i="5"/>
  <c r="F14" i="5"/>
  <c r="D14" i="5"/>
  <c r="J13" i="5"/>
  <c r="H13" i="5"/>
  <c r="F13" i="5"/>
  <c r="D13" i="5"/>
  <c r="J12" i="5"/>
  <c r="H12" i="5"/>
  <c r="F12" i="5"/>
  <c r="D12" i="5"/>
  <c r="J11" i="5"/>
  <c r="H11" i="5"/>
  <c r="F11" i="5"/>
  <c r="D11" i="5"/>
  <c r="J10" i="5"/>
  <c r="H10" i="5"/>
  <c r="F10" i="5"/>
  <c r="D10" i="5"/>
  <c r="J9" i="5"/>
  <c r="H9" i="5"/>
  <c r="F9" i="5"/>
  <c r="D9" i="5"/>
  <c r="J8" i="5"/>
  <c r="J21" i="5" s="1"/>
  <c r="H8" i="5"/>
  <c r="H21" i="5" s="1"/>
  <c r="F8" i="5"/>
  <c r="F21" i="5" s="1"/>
  <c r="D8" i="5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D25" i="3"/>
  <c r="E25" i="3" s="1"/>
  <c r="F25" i="3" s="1"/>
  <c r="G25" i="3" s="1"/>
  <c r="H25" i="3" s="1"/>
  <c r="I25" i="3" s="1"/>
  <c r="J25" i="3" s="1"/>
  <c r="K25" i="3" s="1"/>
  <c r="L25" i="3" s="1"/>
  <c r="M25" i="3" s="1"/>
  <c r="N25" i="3" s="1"/>
  <c r="N23" i="3"/>
  <c r="M23" i="3"/>
  <c r="L23" i="3"/>
  <c r="K23" i="3"/>
  <c r="J23" i="3"/>
  <c r="I23" i="3"/>
  <c r="H23" i="3"/>
  <c r="G23" i="3"/>
  <c r="F23" i="3"/>
  <c r="E23" i="3"/>
  <c r="D23" i="3"/>
  <c r="C23" i="3"/>
  <c r="I11" i="1"/>
  <c r="E11" i="1"/>
  <c r="D16" i="3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N14" i="3"/>
  <c r="M14" i="3"/>
  <c r="L14" i="3"/>
  <c r="K14" i="3"/>
  <c r="J14" i="3"/>
  <c r="I14" i="3"/>
  <c r="H14" i="3"/>
  <c r="G14" i="3"/>
  <c r="F14" i="3"/>
  <c r="E14" i="3"/>
  <c r="D14" i="3"/>
  <c r="C14" i="3"/>
  <c r="D6" i="3"/>
  <c r="E6" i="3" s="1"/>
  <c r="F6" i="3" s="1"/>
  <c r="G6" i="3" s="1"/>
  <c r="H6" i="3" s="1"/>
  <c r="I6" i="3" s="1"/>
  <c r="J6" i="3" s="1"/>
  <c r="K6" i="3" s="1"/>
  <c r="L6" i="3" s="1"/>
  <c r="M6" i="3" s="1"/>
  <c r="N6" i="3" s="1"/>
  <c r="L126" i="1"/>
  <c r="K126" i="1"/>
  <c r="A127" i="1"/>
  <c r="A128" i="1" s="1"/>
  <c r="S126" i="1"/>
  <c r="R126" i="1"/>
  <c r="Q126" i="1"/>
  <c r="P126" i="1"/>
  <c r="O126" i="1"/>
  <c r="N126" i="1"/>
  <c r="M126" i="1"/>
  <c r="K121" i="1"/>
  <c r="J121" i="1"/>
  <c r="I121" i="1"/>
  <c r="H121" i="1"/>
  <c r="G121" i="1"/>
  <c r="F121" i="1"/>
  <c r="E121" i="1"/>
  <c r="A121" i="1"/>
  <c r="A122" i="1" s="1"/>
  <c r="S120" i="1"/>
  <c r="R120" i="1"/>
  <c r="Q120" i="1"/>
  <c r="P120" i="1"/>
  <c r="O120" i="1"/>
  <c r="N120" i="1"/>
  <c r="M120" i="1"/>
  <c r="L120" i="1"/>
  <c r="A118" i="1"/>
  <c r="A119" i="1" s="1"/>
  <c r="S117" i="1"/>
  <c r="R117" i="1"/>
  <c r="Q117" i="1"/>
  <c r="P117" i="1"/>
  <c r="O117" i="1"/>
  <c r="N117" i="1"/>
  <c r="M117" i="1"/>
  <c r="L117" i="1"/>
  <c r="A115" i="1"/>
  <c r="A116" i="1" s="1"/>
  <c r="S114" i="1"/>
  <c r="R114" i="1"/>
  <c r="Q114" i="1"/>
  <c r="P114" i="1"/>
  <c r="O114" i="1"/>
  <c r="N114" i="1"/>
  <c r="M114" i="1"/>
  <c r="L114" i="1"/>
  <c r="A109" i="1"/>
  <c r="A110" i="1" s="1"/>
  <c r="S108" i="1"/>
  <c r="R108" i="1"/>
  <c r="Q108" i="1"/>
  <c r="P108" i="1"/>
  <c r="O108" i="1"/>
  <c r="N108" i="1"/>
  <c r="M108" i="1"/>
  <c r="L108" i="1"/>
  <c r="J106" i="1"/>
  <c r="I106" i="1"/>
  <c r="H106" i="1"/>
  <c r="G106" i="1"/>
  <c r="F106" i="1"/>
  <c r="E106" i="1"/>
  <c r="A106" i="1"/>
  <c r="A107" i="1" s="1"/>
  <c r="S105" i="1"/>
  <c r="R105" i="1"/>
  <c r="Q105" i="1"/>
  <c r="P105" i="1"/>
  <c r="O105" i="1"/>
  <c r="N105" i="1"/>
  <c r="M105" i="1"/>
  <c r="L105" i="1"/>
  <c r="K105" i="1"/>
  <c r="K103" i="1"/>
  <c r="J103" i="1"/>
  <c r="I103" i="1"/>
  <c r="H103" i="1"/>
  <c r="G103" i="1"/>
  <c r="F103" i="1"/>
  <c r="E103" i="1"/>
  <c r="A103" i="1"/>
  <c r="A104" i="1" s="1"/>
  <c r="S102" i="1"/>
  <c r="R102" i="1"/>
  <c r="Q102" i="1"/>
  <c r="P102" i="1"/>
  <c r="O102" i="1"/>
  <c r="N102" i="1"/>
  <c r="M102" i="1"/>
  <c r="L102" i="1"/>
  <c r="L100" i="1"/>
  <c r="L99" i="1" s="1"/>
  <c r="A100" i="1"/>
  <c r="A101" i="1" s="1"/>
  <c r="S99" i="1"/>
  <c r="R99" i="1"/>
  <c r="Q99" i="1"/>
  <c r="P99" i="1"/>
  <c r="O99" i="1"/>
  <c r="N99" i="1"/>
  <c r="M99" i="1"/>
  <c r="K97" i="1"/>
  <c r="K100" i="1" s="1"/>
  <c r="J97" i="1"/>
  <c r="I97" i="1"/>
  <c r="G97" i="1"/>
  <c r="F97" i="1"/>
  <c r="A97" i="1"/>
  <c r="A98" i="1" s="1"/>
  <c r="S96" i="1"/>
  <c r="R96" i="1"/>
  <c r="Q96" i="1"/>
  <c r="P96" i="1"/>
  <c r="O96" i="1"/>
  <c r="N96" i="1"/>
  <c r="M96" i="1"/>
  <c r="L96" i="1"/>
  <c r="E96" i="1"/>
  <c r="A94" i="1"/>
  <c r="A95" i="1" s="1"/>
  <c r="S93" i="1"/>
  <c r="R93" i="1"/>
  <c r="Q93" i="1"/>
  <c r="P93" i="1"/>
  <c r="O93" i="1"/>
  <c r="N93" i="1"/>
  <c r="M93" i="1"/>
  <c r="I91" i="1"/>
  <c r="G91" i="1"/>
  <c r="F91" i="1"/>
  <c r="A91" i="1"/>
  <c r="A92" i="1" s="1"/>
  <c r="S90" i="1"/>
  <c r="R90" i="1"/>
  <c r="Q90" i="1"/>
  <c r="P90" i="1"/>
  <c r="O90" i="1"/>
  <c r="N90" i="1"/>
  <c r="M90" i="1"/>
  <c r="L90" i="1"/>
  <c r="K90" i="1"/>
  <c r="A88" i="1"/>
  <c r="A89" i="1" s="1"/>
  <c r="S87" i="1"/>
  <c r="R87" i="1"/>
  <c r="Q87" i="1"/>
  <c r="P87" i="1"/>
  <c r="O87" i="1"/>
  <c r="N87" i="1"/>
  <c r="M87" i="1"/>
  <c r="L83" i="1"/>
  <c r="K83" i="1"/>
  <c r="J83" i="1"/>
  <c r="I83" i="1"/>
  <c r="H83" i="1"/>
  <c r="G83" i="1"/>
  <c r="F83" i="1"/>
  <c r="E83" i="1"/>
  <c r="E82" i="1" s="1"/>
  <c r="A83" i="1"/>
  <c r="S82" i="1"/>
  <c r="R82" i="1"/>
  <c r="Q82" i="1"/>
  <c r="P82" i="1"/>
  <c r="O82" i="1"/>
  <c r="N82" i="1"/>
  <c r="M82" i="1"/>
  <c r="L82" i="1"/>
  <c r="L80" i="1"/>
  <c r="L79" i="1" s="1"/>
  <c r="K80" i="1"/>
  <c r="K79" i="1" s="1"/>
  <c r="J80" i="1"/>
  <c r="I80" i="1"/>
  <c r="H80" i="1"/>
  <c r="G80" i="1"/>
  <c r="F80" i="1"/>
  <c r="E80" i="1"/>
  <c r="A80" i="1"/>
  <c r="A81" i="1" s="1"/>
  <c r="S79" i="1"/>
  <c r="R79" i="1"/>
  <c r="Q79" i="1"/>
  <c r="P79" i="1"/>
  <c r="O79" i="1"/>
  <c r="N79" i="1"/>
  <c r="M79" i="1"/>
  <c r="L77" i="1"/>
  <c r="K77" i="1"/>
  <c r="J77" i="1"/>
  <c r="I77" i="1"/>
  <c r="H77" i="1"/>
  <c r="G77" i="1"/>
  <c r="F77" i="1"/>
  <c r="E77" i="1"/>
  <c r="E76" i="1" s="1"/>
  <c r="A77" i="1"/>
  <c r="A78" i="1" s="1"/>
  <c r="S76" i="1"/>
  <c r="R76" i="1"/>
  <c r="Q76" i="1"/>
  <c r="P76" i="1"/>
  <c r="O76" i="1"/>
  <c r="N76" i="1"/>
  <c r="M76" i="1"/>
  <c r="L76" i="1"/>
  <c r="L74" i="1"/>
  <c r="L73" i="1" s="1"/>
  <c r="K74" i="1"/>
  <c r="K73" i="1" s="1"/>
  <c r="J74" i="1"/>
  <c r="I74" i="1"/>
  <c r="H74" i="1"/>
  <c r="G74" i="1"/>
  <c r="F74" i="1"/>
  <c r="E74" i="1"/>
  <c r="A74" i="1"/>
  <c r="A75" i="1" s="1"/>
  <c r="S73" i="1"/>
  <c r="R73" i="1"/>
  <c r="Q73" i="1"/>
  <c r="P73" i="1"/>
  <c r="O73" i="1"/>
  <c r="N73" i="1"/>
  <c r="M73" i="1"/>
  <c r="I70" i="1"/>
  <c r="H70" i="1"/>
  <c r="G70" i="1"/>
  <c r="F70" i="1"/>
  <c r="A71" i="1"/>
  <c r="A72" i="1" s="1"/>
  <c r="S70" i="1"/>
  <c r="R70" i="1"/>
  <c r="Q70" i="1"/>
  <c r="P70" i="1"/>
  <c r="O70" i="1"/>
  <c r="N70" i="1"/>
  <c r="M70" i="1"/>
  <c r="L70" i="1"/>
  <c r="K70" i="1"/>
  <c r="J70" i="1"/>
  <c r="J67" i="1"/>
  <c r="I67" i="1"/>
  <c r="H67" i="1"/>
  <c r="G67" i="1"/>
  <c r="F67" i="1"/>
  <c r="E67" i="1"/>
  <c r="A68" i="1"/>
  <c r="A69" i="1" s="1"/>
  <c r="S67" i="1"/>
  <c r="R67" i="1"/>
  <c r="Q67" i="1"/>
  <c r="P67" i="1"/>
  <c r="O67" i="1"/>
  <c r="N67" i="1"/>
  <c r="M67" i="1"/>
  <c r="L67" i="1"/>
  <c r="K67" i="1"/>
  <c r="L65" i="1"/>
  <c r="K65" i="1"/>
  <c r="K64" i="1" s="1"/>
  <c r="J65" i="1"/>
  <c r="J64" i="1" s="1"/>
  <c r="I65" i="1"/>
  <c r="H65" i="1"/>
  <c r="H64" i="1" s="1"/>
  <c r="G65" i="1"/>
  <c r="F65" i="1"/>
  <c r="E65" i="1"/>
  <c r="A65" i="1"/>
  <c r="A66" i="1" s="1"/>
  <c r="S64" i="1"/>
  <c r="R64" i="1"/>
  <c r="Q64" i="1"/>
  <c r="P64" i="1"/>
  <c r="O64" i="1"/>
  <c r="N64" i="1"/>
  <c r="M64" i="1"/>
  <c r="L62" i="1"/>
  <c r="K62" i="1"/>
  <c r="K61" i="1" s="1"/>
  <c r="J62" i="1"/>
  <c r="J61" i="1" s="1"/>
  <c r="I62" i="1"/>
  <c r="H62" i="1"/>
  <c r="H61" i="1" s="1"/>
  <c r="G62" i="1"/>
  <c r="G61" i="1" s="1"/>
  <c r="F62" i="1"/>
  <c r="E62" i="1"/>
  <c r="A62" i="1"/>
  <c r="A63" i="1" s="1"/>
  <c r="S61" i="1"/>
  <c r="R61" i="1"/>
  <c r="Q61" i="1"/>
  <c r="P61" i="1"/>
  <c r="O61" i="1"/>
  <c r="N61" i="1"/>
  <c r="M61" i="1"/>
  <c r="L59" i="1"/>
  <c r="L58" i="1" s="1"/>
  <c r="K59" i="1"/>
  <c r="J59" i="1"/>
  <c r="I59" i="1"/>
  <c r="H59" i="1"/>
  <c r="G59" i="1"/>
  <c r="F59" i="1"/>
  <c r="E59" i="1"/>
  <c r="E58" i="1" s="1"/>
  <c r="A59" i="1"/>
  <c r="A60" i="1" s="1"/>
  <c r="S58" i="1"/>
  <c r="R58" i="1"/>
  <c r="Q58" i="1"/>
  <c r="P58" i="1"/>
  <c r="O58" i="1"/>
  <c r="N58" i="1"/>
  <c r="M58" i="1"/>
  <c r="L56" i="1"/>
  <c r="K56" i="1"/>
  <c r="K55" i="1" s="1"/>
  <c r="J56" i="1"/>
  <c r="I56" i="1"/>
  <c r="H56" i="1"/>
  <c r="G56" i="1"/>
  <c r="F56" i="1"/>
  <c r="E56" i="1"/>
  <c r="A56" i="1"/>
  <c r="A57" i="1" s="1"/>
  <c r="S55" i="1"/>
  <c r="R55" i="1"/>
  <c r="Q55" i="1"/>
  <c r="P55" i="1"/>
  <c r="O55" i="1"/>
  <c r="N55" i="1"/>
  <c r="M55" i="1"/>
  <c r="L55" i="1"/>
  <c r="S53" i="1"/>
  <c r="S52" i="1" s="1"/>
  <c r="R53" i="1"/>
  <c r="R52" i="1" s="1"/>
  <c r="Q53" i="1"/>
  <c r="Q52" i="1" s="1"/>
  <c r="P53" i="1"/>
  <c r="P52" i="1" s="1"/>
  <c r="O53" i="1"/>
  <c r="O52" i="1" s="1"/>
  <c r="L53" i="1"/>
  <c r="L52" i="1" s="1"/>
  <c r="A53" i="1"/>
  <c r="A54" i="1" s="1"/>
  <c r="N52" i="1"/>
  <c r="M52" i="1"/>
  <c r="L38" i="1"/>
  <c r="K38" i="1"/>
  <c r="K37" i="1" s="1"/>
  <c r="J38" i="1"/>
  <c r="J37" i="1" s="1"/>
  <c r="I38" i="1"/>
  <c r="I37" i="1" s="1"/>
  <c r="H38" i="1"/>
  <c r="H37" i="1" s="1"/>
  <c r="G38" i="1"/>
  <c r="F38" i="1"/>
  <c r="F37" i="1" s="1"/>
  <c r="E38" i="1"/>
  <c r="E37" i="1" s="1"/>
  <c r="A38" i="1"/>
  <c r="A39" i="1" s="1"/>
  <c r="S37" i="1"/>
  <c r="R37" i="1"/>
  <c r="Q37" i="1"/>
  <c r="P37" i="1"/>
  <c r="O37" i="1"/>
  <c r="N37" i="1"/>
  <c r="M37" i="1"/>
  <c r="L50" i="1"/>
  <c r="K50" i="1"/>
  <c r="J50" i="1"/>
  <c r="I50" i="1"/>
  <c r="H50" i="1"/>
  <c r="G50" i="1"/>
  <c r="F50" i="1"/>
  <c r="E50" i="1"/>
  <c r="E49" i="1" s="1"/>
  <c r="A50" i="1"/>
  <c r="A51" i="1" s="1"/>
  <c r="S49" i="1"/>
  <c r="R49" i="1"/>
  <c r="Q49" i="1"/>
  <c r="P49" i="1"/>
  <c r="O49" i="1"/>
  <c r="N49" i="1"/>
  <c r="M49" i="1"/>
  <c r="L49" i="1"/>
  <c r="L47" i="1"/>
  <c r="K47" i="1"/>
  <c r="K46" i="1" s="1"/>
  <c r="J47" i="1"/>
  <c r="I47" i="1"/>
  <c r="H47" i="1"/>
  <c r="G47" i="1"/>
  <c r="F47" i="1"/>
  <c r="E47" i="1"/>
  <c r="A47" i="1"/>
  <c r="A48" i="1" s="1"/>
  <c r="S46" i="1"/>
  <c r="R46" i="1"/>
  <c r="Q46" i="1"/>
  <c r="P46" i="1"/>
  <c r="O46" i="1"/>
  <c r="N46" i="1"/>
  <c r="M46" i="1"/>
  <c r="L44" i="1"/>
  <c r="K44" i="1"/>
  <c r="J44" i="1"/>
  <c r="I44" i="1"/>
  <c r="H44" i="1"/>
  <c r="G44" i="1"/>
  <c r="F44" i="1"/>
  <c r="E44" i="1"/>
  <c r="E43" i="1" s="1"/>
  <c r="A44" i="1"/>
  <c r="A45" i="1" s="1"/>
  <c r="S43" i="1"/>
  <c r="R43" i="1"/>
  <c r="Q43" i="1"/>
  <c r="P43" i="1"/>
  <c r="O43" i="1"/>
  <c r="N43" i="1"/>
  <c r="M43" i="1"/>
  <c r="L43" i="1"/>
  <c r="L41" i="1"/>
  <c r="K41" i="1"/>
  <c r="K40" i="1" s="1"/>
  <c r="J41" i="1"/>
  <c r="I41" i="1"/>
  <c r="H41" i="1"/>
  <c r="G41" i="1"/>
  <c r="F41" i="1"/>
  <c r="E41" i="1"/>
  <c r="A41" i="1"/>
  <c r="A42" i="1" s="1"/>
  <c r="S40" i="1"/>
  <c r="R40" i="1"/>
  <c r="Q40" i="1"/>
  <c r="P40" i="1"/>
  <c r="O40" i="1"/>
  <c r="N40" i="1"/>
  <c r="M40" i="1"/>
  <c r="D35" i="1"/>
  <c r="L34" i="1" s="1"/>
  <c r="A35" i="1"/>
  <c r="A36" i="1" s="1"/>
  <c r="S34" i="1"/>
  <c r="R34" i="1"/>
  <c r="Q34" i="1"/>
  <c r="P34" i="1"/>
  <c r="O34" i="1"/>
  <c r="N34" i="1"/>
  <c r="M34" i="1"/>
  <c r="K34" i="1"/>
  <c r="J34" i="1"/>
  <c r="I34" i="1"/>
  <c r="H34" i="1"/>
  <c r="G34" i="1"/>
  <c r="F34" i="1"/>
  <c r="E34" i="1"/>
  <c r="G32" i="1"/>
  <c r="F32" i="1"/>
  <c r="E32" i="1"/>
  <c r="A32" i="1"/>
  <c r="A33" i="1" s="1"/>
  <c r="S31" i="1"/>
  <c r="R31" i="1"/>
  <c r="Q31" i="1"/>
  <c r="P31" i="1"/>
  <c r="O31" i="1"/>
  <c r="N31" i="1"/>
  <c r="M31" i="1"/>
  <c r="L31" i="1"/>
  <c r="K31" i="1"/>
  <c r="J31" i="1"/>
  <c r="I31" i="1"/>
  <c r="H31" i="1"/>
  <c r="A29" i="1"/>
  <c r="A30" i="1" s="1"/>
  <c r="S28" i="1"/>
  <c r="R28" i="1"/>
  <c r="Q28" i="1"/>
  <c r="P28" i="1"/>
  <c r="O28" i="1"/>
  <c r="N28" i="1"/>
  <c r="M28" i="1"/>
  <c r="L28" i="1"/>
  <c r="I28" i="1"/>
  <c r="G28" i="1"/>
  <c r="F28" i="1"/>
  <c r="E28" i="1"/>
  <c r="A26" i="1"/>
  <c r="A27" i="1" s="1"/>
  <c r="S25" i="1"/>
  <c r="R25" i="1"/>
  <c r="Q25" i="1"/>
  <c r="P25" i="1"/>
  <c r="O25" i="1"/>
  <c r="N25" i="1"/>
  <c r="M25" i="1"/>
  <c r="L25" i="1"/>
  <c r="K25" i="1"/>
  <c r="J25" i="1"/>
  <c r="H25" i="1"/>
  <c r="K23" i="1"/>
  <c r="J23" i="1"/>
  <c r="I23" i="1"/>
  <c r="H23" i="1"/>
  <c r="G23" i="1"/>
  <c r="F23" i="1"/>
  <c r="E23" i="1"/>
  <c r="A23" i="1"/>
  <c r="A24" i="1" s="1"/>
  <c r="S22" i="1"/>
  <c r="R22" i="1"/>
  <c r="Q22" i="1"/>
  <c r="P22" i="1"/>
  <c r="O22" i="1"/>
  <c r="N22" i="1"/>
  <c r="M22" i="1"/>
  <c r="L22" i="1"/>
  <c r="K20" i="1"/>
  <c r="J20" i="1"/>
  <c r="I20" i="1"/>
  <c r="H20" i="1"/>
  <c r="G20" i="1"/>
  <c r="F20" i="1"/>
  <c r="E20" i="1"/>
  <c r="A20" i="1"/>
  <c r="A21" i="1" s="1"/>
  <c r="S19" i="1"/>
  <c r="R19" i="1"/>
  <c r="Q19" i="1"/>
  <c r="P19" i="1"/>
  <c r="O19" i="1"/>
  <c r="N19" i="1"/>
  <c r="M19" i="1"/>
  <c r="L19" i="1"/>
  <c r="K17" i="1"/>
  <c r="J17" i="1"/>
  <c r="I17" i="1"/>
  <c r="H17" i="1"/>
  <c r="G17" i="1"/>
  <c r="F17" i="1"/>
  <c r="E17" i="1"/>
  <c r="A17" i="1"/>
  <c r="A18" i="1" s="1"/>
  <c r="S16" i="1"/>
  <c r="R16" i="1"/>
  <c r="Q16" i="1"/>
  <c r="P16" i="1"/>
  <c r="O16" i="1"/>
  <c r="N16" i="1"/>
  <c r="M16" i="1"/>
  <c r="L16" i="1"/>
  <c r="S14" i="1"/>
  <c r="S13" i="1" s="1"/>
  <c r="R14" i="1"/>
  <c r="R13" i="1" s="1"/>
  <c r="Q14" i="1"/>
  <c r="Q13" i="1" s="1"/>
  <c r="P14" i="1"/>
  <c r="P13" i="1" s="1"/>
  <c r="O14" i="1"/>
  <c r="O13" i="1" s="1"/>
  <c r="L14" i="1"/>
  <c r="L13" i="1" s="1"/>
  <c r="K14" i="1"/>
  <c r="K13" i="1" s="1"/>
  <c r="A14" i="1"/>
  <c r="A15" i="1" s="1"/>
  <c r="N13" i="1"/>
  <c r="M13" i="1"/>
  <c r="J11" i="1"/>
  <c r="H11" i="1"/>
  <c r="H14" i="1" s="1"/>
  <c r="G11" i="1"/>
  <c r="G14" i="1" s="1"/>
  <c r="F11" i="1"/>
  <c r="A11" i="1"/>
  <c r="A12" i="1" s="1"/>
  <c r="S10" i="1"/>
  <c r="R10" i="1"/>
  <c r="Q10" i="1"/>
  <c r="P10" i="1"/>
  <c r="O10" i="1"/>
  <c r="N10" i="1"/>
  <c r="M10" i="1"/>
  <c r="L10" i="1"/>
  <c r="K10" i="1"/>
  <c r="K8" i="1"/>
  <c r="K53" i="1" s="1"/>
  <c r="J8" i="1"/>
  <c r="I8" i="1"/>
  <c r="E16" i="14" s="1"/>
  <c r="H8" i="1"/>
  <c r="H53" i="1" s="1"/>
  <c r="G8" i="1"/>
  <c r="G53" i="1" s="1"/>
  <c r="F8" i="1"/>
  <c r="E12" i="14" s="1"/>
  <c r="F12" i="14" s="1"/>
  <c r="E8" i="1"/>
  <c r="E10" i="14" s="1"/>
  <c r="A8" i="1"/>
  <c r="A9" i="1" s="1"/>
  <c r="S7" i="1"/>
  <c r="R7" i="1"/>
  <c r="Q7" i="1"/>
  <c r="P7" i="1"/>
  <c r="O7" i="1"/>
  <c r="N7" i="1"/>
  <c r="M7" i="1"/>
  <c r="L7" i="1"/>
  <c r="E91" i="1" l="1"/>
  <c r="D91" i="1" s="1"/>
  <c r="J19" i="1"/>
  <c r="P14" i="3"/>
  <c r="D10" i="13"/>
  <c r="D11" i="13"/>
  <c r="D14" i="13"/>
  <c r="D15" i="13"/>
  <c r="D9" i="16"/>
  <c r="E9" i="16" s="1"/>
  <c r="E17" i="17"/>
  <c r="E9" i="17" s="1"/>
  <c r="D9" i="13"/>
  <c r="D12" i="13"/>
  <c r="D16" i="13"/>
  <c r="E16" i="13" s="1"/>
  <c r="D13" i="13"/>
  <c r="D17" i="13"/>
  <c r="C35" i="5"/>
  <c r="O14" i="3"/>
  <c r="P23" i="3"/>
  <c r="F64" i="8"/>
  <c r="J64" i="8" s="1"/>
  <c r="D57" i="8"/>
  <c r="D61" i="8"/>
  <c r="H61" i="8" s="1"/>
  <c r="K57" i="8"/>
  <c r="H100" i="1"/>
  <c r="H94" i="1" s="1"/>
  <c r="D38" i="1"/>
  <c r="L37" i="1" s="1"/>
  <c r="D65" i="1"/>
  <c r="I64" i="1" s="1"/>
  <c r="J53" i="1"/>
  <c r="G37" i="1"/>
  <c r="I100" i="1"/>
  <c r="I94" i="1" s="1"/>
  <c r="D47" i="1"/>
  <c r="E46" i="1" s="1"/>
  <c r="D74" i="1"/>
  <c r="F73" i="1" s="1"/>
  <c r="D80" i="1"/>
  <c r="G79" i="1" s="1"/>
  <c r="J100" i="1"/>
  <c r="J94" i="1" s="1"/>
  <c r="E100" i="1"/>
  <c r="D23" i="1"/>
  <c r="K22" i="1" s="1"/>
  <c r="D121" i="1"/>
  <c r="G120" i="1" s="1"/>
  <c r="D56" i="1"/>
  <c r="H55" i="1" s="1"/>
  <c r="D71" i="1"/>
  <c r="D83" i="1"/>
  <c r="G82" i="1" s="1"/>
  <c r="D97" i="1"/>
  <c r="D77" i="1"/>
  <c r="H76" i="1" s="1"/>
  <c r="G100" i="1"/>
  <c r="G94" i="1" s="1"/>
  <c r="D50" i="1"/>
  <c r="G49" i="1" s="1"/>
  <c r="F100" i="1"/>
  <c r="F94" i="1" s="1"/>
  <c r="J16" i="1"/>
  <c r="K94" i="1"/>
  <c r="C27" i="13"/>
  <c r="C31" i="13"/>
  <c r="F11" i="11"/>
  <c r="F10" i="11"/>
  <c r="F9" i="11"/>
  <c r="F8" i="11"/>
  <c r="F12" i="11"/>
  <c r="F21" i="11"/>
  <c r="F16" i="11"/>
  <c r="J57" i="8"/>
  <c r="F14" i="11"/>
  <c r="F15" i="11"/>
  <c r="H10" i="14"/>
  <c r="F10" i="14"/>
  <c r="G12" i="14" s="1"/>
  <c r="H12" i="14" s="1"/>
  <c r="F26" i="1" s="1"/>
  <c r="E14" i="1"/>
  <c r="E53" i="1"/>
  <c r="D11" i="1"/>
  <c r="F10" i="1" s="1"/>
  <c r="I14" i="1"/>
  <c r="I53" i="1"/>
  <c r="J14" i="1"/>
  <c r="D8" i="1"/>
  <c r="K7" i="1" s="1"/>
  <c r="D17" i="1"/>
  <c r="G16" i="1" s="1"/>
  <c r="D59" i="1"/>
  <c r="K58" i="1" s="1"/>
  <c r="D103" i="1"/>
  <c r="G102" i="1" s="1"/>
  <c r="F60" i="8"/>
  <c r="J60" i="8" s="1"/>
  <c r="J61" i="8"/>
  <c r="E68" i="8"/>
  <c r="J68" i="8" s="1"/>
  <c r="F17" i="11"/>
  <c r="F18" i="11"/>
  <c r="F19" i="11"/>
  <c r="F20" i="11"/>
  <c r="D20" i="1"/>
  <c r="D44" i="1"/>
  <c r="F53" i="1"/>
  <c r="D62" i="1"/>
  <c r="D68" i="1"/>
  <c r="D106" i="1"/>
  <c r="J105" i="1" s="1"/>
  <c r="O23" i="3"/>
  <c r="E15" i="14"/>
  <c r="H50" i="8"/>
  <c r="F13" i="11"/>
  <c r="F14" i="1"/>
  <c r="D41" i="1"/>
  <c r="D32" i="1"/>
  <c r="E70" i="1"/>
  <c r="J79" i="1" l="1"/>
  <c r="F79" i="1"/>
  <c r="E17" i="13"/>
  <c r="G17" i="13" s="1"/>
  <c r="K29" i="1" s="1"/>
  <c r="F14" i="13"/>
  <c r="E15" i="13"/>
  <c r="D18" i="13"/>
  <c r="G8" i="11"/>
  <c r="H8" i="11" s="1"/>
  <c r="H23" i="11" s="1"/>
  <c r="F13" i="13"/>
  <c r="F16" i="13"/>
  <c r="F9" i="13"/>
  <c r="F15" i="13"/>
  <c r="E13" i="13"/>
  <c r="F17" i="13"/>
  <c r="G64" i="8"/>
  <c r="K64" i="8" s="1"/>
  <c r="F90" i="1"/>
  <c r="H64" i="8"/>
  <c r="I96" i="1"/>
  <c r="G96" i="1"/>
  <c r="J73" i="1"/>
  <c r="I73" i="1"/>
  <c r="E73" i="1"/>
  <c r="L64" i="1"/>
  <c r="E79" i="1"/>
  <c r="J96" i="1"/>
  <c r="E64" i="1"/>
  <c r="I46" i="1"/>
  <c r="I76" i="1"/>
  <c r="H46" i="1"/>
  <c r="G46" i="1"/>
  <c r="J46" i="1"/>
  <c r="G64" i="1"/>
  <c r="F46" i="1"/>
  <c r="F76" i="1"/>
  <c r="K96" i="1"/>
  <c r="F64" i="1"/>
  <c r="K76" i="1"/>
  <c r="H49" i="1"/>
  <c r="L46" i="1"/>
  <c r="H79" i="1"/>
  <c r="J90" i="1"/>
  <c r="E90" i="1"/>
  <c r="E120" i="1"/>
  <c r="G90" i="1"/>
  <c r="H90" i="1"/>
  <c r="G73" i="1"/>
  <c r="F120" i="1"/>
  <c r="F55" i="1"/>
  <c r="K82" i="1"/>
  <c r="H73" i="1"/>
  <c r="D100" i="1"/>
  <c r="H99" i="1" s="1"/>
  <c r="I79" i="1"/>
  <c r="F105" i="1"/>
  <c r="E22" i="1"/>
  <c r="F96" i="1"/>
  <c r="H96" i="1"/>
  <c r="I90" i="1"/>
  <c r="K102" i="1"/>
  <c r="H120" i="1"/>
  <c r="K120" i="1"/>
  <c r="H22" i="1"/>
  <c r="I10" i="1"/>
  <c r="I49" i="1"/>
  <c r="I55" i="1"/>
  <c r="J22" i="1"/>
  <c r="E94" i="1"/>
  <c r="D94" i="1" s="1"/>
  <c r="J49" i="1"/>
  <c r="I82" i="1"/>
  <c r="G55" i="1"/>
  <c r="G7" i="1"/>
  <c r="F49" i="1"/>
  <c r="F82" i="1"/>
  <c r="G76" i="1"/>
  <c r="K49" i="1"/>
  <c r="H82" i="1"/>
  <c r="J55" i="1"/>
  <c r="I22" i="1"/>
  <c r="I120" i="1"/>
  <c r="J120" i="1"/>
  <c r="G22" i="1"/>
  <c r="E55" i="1"/>
  <c r="J76" i="1"/>
  <c r="J82" i="1"/>
  <c r="F22" i="1"/>
  <c r="G11" i="11"/>
  <c r="H11" i="11" s="1"/>
  <c r="G10" i="11"/>
  <c r="H10" i="11" s="1"/>
  <c r="H25" i="11" s="1"/>
  <c r="G88" i="1" s="1"/>
  <c r="G9" i="11"/>
  <c r="H9" i="11" s="1"/>
  <c r="G15" i="11"/>
  <c r="H15" i="11" s="1"/>
  <c r="G14" i="11"/>
  <c r="H14" i="11" s="1"/>
  <c r="G13" i="11"/>
  <c r="H13" i="11" s="1"/>
  <c r="G12" i="11"/>
  <c r="H12" i="11" s="1"/>
  <c r="G20" i="11"/>
  <c r="H20" i="11" s="1"/>
  <c r="H30" i="11" s="1"/>
  <c r="L88" i="1" s="1"/>
  <c r="G19" i="11"/>
  <c r="H19" i="11" s="1"/>
  <c r="H29" i="11" s="1"/>
  <c r="K88" i="1" s="1"/>
  <c r="G18" i="11"/>
  <c r="H18" i="11" s="1"/>
  <c r="G17" i="11"/>
  <c r="H17" i="11" s="1"/>
  <c r="G16" i="11"/>
  <c r="H16" i="11" s="1"/>
  <c r="J115" i="1"/>
  <c r="J40" i="1"/>
  <c r="E40" i="1"/>
  <c r="G40" i="1"/>
  <c r="F40" i="1"/>
  <c r="I40" i="1"/>
  <c r="K43" i="1"/>
  <c r="H43" i="1"/>
  <c r="G43" i="1"/>
  <c r="I43" i="1"/>
  <c r="J7" i="1"/>
  <c r="F7" i="1"/>
  <c r="I7" i="1"/>
  <c r="H7" i="1"/>
  <c r="E7" i="1"/>
  <c r="D53" i="1"/>
  <c r="F52" i="1" s="1"/>
  <c r="E52" i="1"/>
  <c r="K16" i="1"/>
  <c r="F12" i="13"/>
  <c r="F11" i="13"/>
  <c r="F10" i="13"/>
  <c r="K115" i="1"/>
  <c r="F115" i="1"/>
  <c r="E14" i="14"/>
  <c r="G105" i="1"/>
  <c r="I105" i="1"/>
  <c r="E105" i="1"/>
  <c r="H105" i="1"/>
  <c r="L61" i="1"/>
  <c r="I61" i="1"/>
  <c r="E61" i="1"/>
  <c r="K19" i="1"/>
  <c r="I19" i="1"/>
  <c r="E19" i="1"/>
  <c r="G19" i="1"/>
  <c r="H19" i="1"/>
  <c r="H58" i="1"/>
  <c r="I58" i="1"/>
  <c r="J58" i="1"/>
  <c r="F58" i="1"/>
  <c r="D14" i="1"/>
  <c r="J13" i="1" s="1"/>
  <c r="F19" i="1"/>
  <c r="F61" i="1"/>
  <c r="J10" i="1"/>
  <c r="H40" i="1"/>
  <c r="J43" i="1"/>
  <c r="E12" i="13"/>
  <c r="E11" i="13"/>
  <c r="E10" i="13"/>
  <c r="E9" i="13"/>
  <c r="G115" i="1"/>
  <c r="E10" i="1"/>
  <c r="L40" i="1"/>
  <c r="G58" i="1"/>
  <c r="F43" i="1"/>
  <c r="E14" i="13"/>
  <c r="E31" i="1"/>
  <c r="F31" i="1"/>
  <c r="H102" i="1"/>
  <c r="J102" i="1"/>
  <c r="F102" i="1"/>
  <c r="I102" i="1"/>
  <c r="E102" i="1"/>
  <c r="E16" i="1"/>
  <c r="F16" i="1"/>
  <c r="I16" i="1"/>
  <c r="H16" i="1"/>
  <c r="G10" i="1"/>
  <c r="H10" i="1"/>
  <c r="E26" i="1"/>
  <c r="G31" i="1"/>
  <c r="G16" i="13" l="1"/>
  <c r="J29" i="1" s="1"/>
  <c r="F18" i="13"/>
  <c r="I99" i="1"/>
  <c r="J99" i="1"/>
  <c r="E99" i="1"/>
  <c r="F99" i="1"/>
  <c r="G99" i="1"/>
  <c r="K99" i="1"/>
  <c r="H26" i="11"/>
  <c r="H88" i="1" s="1"/>
  <c r="H24" i="11"/>
  <c r="F88" i="1" s="1"/>
  <c r="F93" i="1"/>
  <c r="J93" i="1"/>
  <c r="H115" i="1"/>
  <c r="H13" i="1"/>
  <c r="G13" i="1"/>
  <c r="F14" i="14"/>
  <c r="G14" i="14" s="1"/>
  <c r="E18" i="14"/>
  <c r="F13" i="1"/>
  <c r="H28" i="11"/>
  <c r="J88" i="1" s="1"/>
  <c r="G21" i="11"/>
  <c r="K93" i="1"/>
  <c r="I13" i="1"/>
  <c r="G52" i="1"/>
  <c r="J52" i="1"/>
  <c r="K52" i="1"/>
  <c r="H52" i="1"/>
  <c r="E115" i="1"/>
  <c r="L93" i="1"/>
  <c r="I52" i="1"/>
  <c r="E93" i="1"/>
  <c r="I115" i="1"/>
  <c r="G93" i="1"/>
  <c r="I93" i="1"/>
  <c r="E18" i="13"/>
  <c r="G12" i="13"/>
  <c r="E13" i="1"/>
  <c r="H93" i="1"/>
  <c r="H27" i="11"/>
  <c r="I88" i="1" s="1"/>
  <c r="H29" i="1" l="1"/>
  <c r="G18" i="13"/>
  <c r="D115" i="1"/>
  <c r="H114" i="1" s="1"/>
  <c r="H21" i="11"/>
  <c r="H16" i="14"/>
  <c r="I26" i="1" s="1"/>
  <c r="H15" i="14"/>
  <c r="E114" i="1" l="1"/>
  <c r="I114" i="1"/>
  <c r="H31" i="11"/>
  <c r="E88" i="1"/>
  <c r="F114" i="1"/>
  <c r="K114" i="1"/>
  <c r="G114" i="1"/>
  <c r="J114" i="1"/>
  <c r="D29" i="1"/>
  <c r="G26" i="1"/>
  <c r="H18" i="14"/>
  <c r="K28" i="1" l="1"/>
  <c r="J28" i="1"/>
  <c r="D127" i="1"/>
  <c r="E126" i="1" s="1"/>
  <c r="D26" i="1"/>
  <c r="G25" i="1" s="1"/>
  <c r="H28" i="1"/>
  <c r="D88" i="1"/>
  <c r="H87" i="1" l="1"/>
  <c r="L87" i="1"/>
  <c r="F87" i="1"/>
  <c r="K87" i="1"/>
  <c r="G87" i="1"/>
  <c r="J87" i="1"/>
  <c r="I87" i="1"/>
  <c r="G126" i="1"/>
  <c r="F126" i="1"/>
  <c r="J126" i="1"/>
  <c r="H126" i="1"/>
  <c r="I126" i="1"/>
  <c r="F25" i="1"/>
  <c r="E25" i="1"/>
  <c r="I25" i="1"/>
  <c r="E87" i="1"/>
  <c r="D25" i="17" l="1"/>
  <c r="D17" i="17" l="1"/>
  <c r="D20" i="17" s="1"/>
  <c r="D9" i="17"/>
  <c r="D22" i="17" l="1"/>
  <c r="M22" i="17" s="1"/>
  <c r="D19" i="17"/>
  <c r="D21" i="17"/>
  <c r="D13" i="17"/>
  <c r="I13" i="17" s="1"/>
  <c r="D11" i="17"/>
  <c r="D12" i="17"/>
  <c r="D14" i="17"/>
  <c r="M14" i="17" s="1"/>
  <c r="H21" i="17"/>
  <c r="D60" i="17"/>
  <c r="K21" i="17" l="1"/>
  <c r="I21" i="17"/>
  <c r="L21" i="17"/>
  <c r="M21" i="17"/>
  <c r="J21" i="17"/>
  <c r="D23" i="17"/>
  <c r="G21" i="17"/>
  <c r="H20" i="17"/>
  <c r="L20" i="17"/>
  <c r="G20" i="17"/>
  <c r="K20" i="17"/>
  <c r="I20" i="17"/>
  <c r="M20" i="17"/>
  <c r="J20" i="17"/>
  <c r="D15" i="17"/>
  <c r="M11" i="17"/>
  <c r="I11" i="17"/>
  <c r="I15" i="17" s="1"/>
  <c r="H11" i="17"/>
  <c r="L11" i="17"/>
  <c r="J11" i="17"/>
  <c r="K11" i="17"/>
  <c r="G11" i="17"/>
  <c r="H12" i="17"/>
  <c r="L12" i="17"/>
  <c r="K12" i="17"/>
  <c r="M12" i="17"/>
  <c r="I12" i="17"/>
  <c r="G12" i="17"/>
  <c r="J12" i="17"/>
  <c r="M13" i="17"/>
  <c r="H13" i="17"/>
  <c r="K13" i="17"/>
  <c r="G13" i="17"/>
  <c r="L13" i="17"/>
  <c r="J13" i="17"/>
  <c r="I19" i="17"/>
  <c r="I23" i="17" s="1"/>
  <c r="L19" i="17"/>
  <c r="K19" i="17"/>
  <c r="H19" i="17"/>
  <c r="J19" i="17"/>
  <c r="M19" i="17"/>
  <c r="G19" i="17"/>
  <c r="G23" i="17" l="1"/>
  <c r="K23" i="17"/>
  <c r="J23" i="17"/>
  <c r="H23" i="17"/>
  <c r="M23" i="17"/>
  <c r="L23" i="17"/>
  <c r="H15" i="17"/>
  <c r="M15" i="17"/>
  <c r="L15" i="17"/>
  <c r="K15" i="17"/>
  <c r="G15" i="17"/>
  <c r="J15" i="17"/>
  <c r="H25" i="17" l="1"/>
  <c r="G25" i="17"/>
  <c r="K25" i="17"/>
  <c r="J25" i="17"/>
  <c r="J26" i="17" s="1"/>
  <c r="I25" i="17"/>
  <c r="M25" i="17"/>
  <c r="M26" i="17" s="1"/>
  <c r="L25" i="17"/>
  <c r="F15" i="17"/>
  <c r="H26" i="17"/>
  <c r="K26" i="17"/>
  <c r="F25" i="17" l="1"/>
  <c r="I26" i="17"/>
  <c r="L26" i="17"/>
  <c r="J55" i="17"/>
  <c r="J56" i="17" s="1"/>
  <c r="G26" i="17"/>
  <c r="D109" i="1"/>
  <c r="H108" i="1" l="1"/>
  <c r="F108" i="1"/>
  <c r="J108" i="1"/>
  <c r="K108" i="1"/>
  <c r="G108" i="1"/>
  <c r="I108" i="1"/>
  <c r="D118" i="1"/>
  <c r="E117" i="1" s="1"/>
  <c r="E108" i="1"/>
  <c r="D26" i="17"/>
  <c r="F117" i="1" l="1"/>
  <c r="H117" i="1"/>
  <c r="G117" i="1"/>
  <c r="K117" i="1"/>
  <c r="I117" i="1"/>
  <c r="J117" i="1"/>
</calcChain>
</file>

<file path=xl/sharedStrings.xml><?xml version="1.0" encoding="utf-8"?>
<sst xmlns="http://schemas.openxmlformats.org/spreadsheetml/2006/main" count="767" uniqueCount="422">
  <si>
    <t>External Allocators</t>
  </si>
  <si>
    <t>Name</t>
  </si>
  <si>
    <t>Description</t>
  </si>
  <si>
    <t>Classifier</t>
  </si>
  <si>
    <t>Total</t>
  </si>
  <si>
    <t>CUSTOMER EXTERNAL ALLOCATORS</t>
  </si>
  <si>
    <t>CUST</t>
  </si>
  <si>
    <t>Average Customers</t>
  </si>
  <si>
    <t>CUS</t>
  </si>
  <si>
    <t>CUSTXT</t>
  </si>
  <si>
    <t>Customers (excl. transport)</t>
  </si>
  <si>
    <t>DIR_CUSTXT</t>
  </si>
  <si>
    <t>DIRS</t>
  </si>
  <si>
    <t>MTRS_CUS</t>
  </si>
  <si>
    <t>Customer Meters - Acc 381</t>
  </si>
  <si>
    <t>MTRS_INST</t>
  </si>
  <si>
    <t>Meters Installation - Acc 382</t>
  </si>
  <si>
    <t>MTRS_385</t>
  </si>
  <si>
    <t>Regulators - Acc 385</t>
  </si>
  <si>
    <t>SERV</t>
  </si>
  <si>
    <t>Services</t>
  </si>
  <si>
    <t>Distr. Plant - Services</t>
  </si>
  <si>
    <t>~</t>
  </si>
  <si>
    <t>Cust. Adv. in Aid of Construction (# cust)</t>
  </si>
  <si>
    <t>Rental Property</t>
  </si>
  <si>
    <t>DIR_DSALES</t>
  </si>
  <si>
    <t>Direct Distr. Assignment to Sales</t>
  </si>
  <si>
    <t>DIR_DTRNSP</t>
  </si>
  <si>
    <t>Direct Distr. Assignment to Transport</t>
  </si>
  <si>
    <t>DIRT</t>
  </si>
  <si>
    <t>DIR_CASALES</t>
  </si>
  <si>
    <t>Direct Cust. Acct. Assignment to Sales</t>
  </si>
  <si>
    <t>DIR_CATRNSP</t>
  </si>
  <si>
    <t>Direct Cust. Acct. Assignment to Transport</t>
  </si>
  <si>
    <t>Direct Cust. Service Assignment to Sales_908</t>
  </si>
  <si>
    <t>TRANSCUS</t>
  </si>
  <si>
    <t>Transport Customers</t>
  </si>
  <si>
    <t>SALES_902</t>
  </si>
  <si>
    <t>Sales Meter Reading Costs</t>
  </si>
  <si>
    <t>TRANS_902</t>
  </si>
  <si>
    <t>Transport Meter Reading Costs</t>
  </si>
  <si>
    <t xml:space="preserve">Uncollectibles </t>
  </si>
  <si>
    <t>Customer Deposit</t>
  </si>
  <si>
    <t>DIR920_TRNSPT</t>
  </si>
  <si>
    <t>Acct. 920 Direct Assignment to Transport</t>
  </si>
  <si>
    <t>DIR921_TRNSPT</t>
  </si>
  <si>
    <t>Acct. 921 Direct Assignment to Transport</t>
  </si>
  <si>
    <t>DIR926_SALES</t>
  </si>
  <si>
    <t>Acct. 926 Direct Assignment to Sales</t>
  </si>
  <si>
    <t>DIR926_TRNSPT</t>
  </si>
  <si>
    <t>Acct. 926 Direct Assignment to Transport</t>
  </si>
  <si>
    <t>DIR408_SALES</t>
  </si>
  <si>
    <t>Acct. 408 Direct Assignment to Sales</t>
  </si>
  <si>
    <t>DIR408_TRNSPT</t>
  </si>
  <si>
    <t>Acct. 408 Direct Assignment to Transport</t>
  </si>
  <si>
    <t>COMMODITY EXTERNAL ALLOCATORS</t>
  </si>
  <si>
    <t>OTHREV</t>
  </si>
  <si>
    <t>Other Operating Revenue</t>
  </si>
  <si>
    <t>COM</t>
  </si>
  <si>
    <t>SALESREV</t>
  </si>
  <si>
    <t>Sales Margin Revenue</t>
  </si>
  <si>
    <t>STRREV</t>
  </si>
  <si>
    <t>Sales, Transportation and Rental Margin Revenue</t>
  </si>
  <si>
    <t>TRANSREV</t>
  </si>
  <si>
    <t>Margin Revenue from Transportation for Others</t>
  </si>
  <si>
    <t>STREV</t>
  </si>
  <si>
    <t>Sales &amp; Transportation Margin Revenue</t>
  </si>
  <si>
    <t>COM1</t>
  </si>
  <si>
    <t>Weather Normalized Volumes</t>
  </si>
  <si>
    <t>COM1XT_COM</t>
  </si>
  <si>
    <t>Weather Normalized Volumes (excl. Transportation)</t>
  </si>
  <si>
    <t>SEAS3_COM</t>
  </si>
  <si>
    <t>Seasonal 3</t>
  </si>
  <si>
    <t>Peak Day (excl. transport)</t>
  </si>
  <si>
    <t>SEAS2_COM</t>
  </si>
  <si>
    <t>A_MAINS</t>
  </si>
  <si>
    <t>Average for Mains</t>
  </si>
  <si>
    <t>DEMAND EXTERNAL ALLOCATORS</t>
  </si>
  <si>
    <t>PAVG</t>
  </si>
  <si>
    <t>Peak and Average</t>
  </si>
  <si>
    <t>DEM</t>
  </si>
  <si>
    <t>Peak and Average for Mains</t>
  </si>
  <si>
    <t>PDAY</t>
  </si>
  <si>
    <t>Peak Day (Design Day)</t>
  </si>
  <si>
    <t>PDAYXT</t>
  </si>
  <si>
    <t>SEAS3_DEM</t>
  </si>
  <si>
    <t>SC</t>
  </si>
  <si>
    <t>Rate Class</t>
  </si>
  <si>
    <t>Average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</si>
  <si>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</si>
  <si>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</si>
  <si>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</si>
  <si>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</si>
  <si>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</si>
  <si>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</si>
  <si>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</si>
  <si>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Check</t>
  </si>
  <si>
    <t>Comm. &amp; Indus. (31)</t>
  </si>
  <si>
    <t>Large Volume (41)</t>
  </si>
  <si>
    <t>Interruptible (85)</t>
  </si>
  <si>
    <t>Limited Interruptible (86)</t>
  </si>
  <si>
    <t>Non-Exclusive Interruptible (87)</t>
  </si>
  <si>
    <t>Transp. Comm. &amp; Indus. (31T)</t>
  </si>
  <si>
    <t>Transp. Large Volume (41T)</t>
  </si>
  <si>
    <t>Transp. Interruptible (85T)</t>
  </si>
  <si>
    <t>Transp. Limited Interruptible (86T)</t>
  </si>
  <si>
    <t>Transp. Non-Exclusive Interruptible (87T)</t>
  </si>
  <si>
    <t>Rental</t>
  </si>
  <si>
    <t>Puget Sound Energy</t>
  </si>
  <si>
    <t>Quantity</t>
  </si>
  <si>
    <t>381 Total Cost</t>
  </si>
  <si>
    <t>382 Total Cost</t>
  </si>
  <si>
    <t>385 Total Cost</t>
  </si>
  <si>
    <t>Rate Schedule</t>
  </si>
  <si>
    <t>AMR</t>
  </si>
  <si>
    <t>Other</t>
  </si>
  <si>
    <t>Amount</t>
  </si>
  <si>
    <t>Percent</t>
  </si>
  <si>
    <t>SCH_023G</t>
  </si>
  <si>
    <t>SCH_053G</t>
  </si>
  <si>
    <t>SCH_031G</t>
  </si>
  <si>
    <t>SCH_031GT</t>
  </si>
  <si>
    <t>SCH_041G</t>
  </si>
  <si>
    <t>SCH_041GT</t>
  </si>
  <si>
    <t>SCH_085G</t>
  </si>
  <si>
    <t>SCH_085GT</t>
  </si>
  <si>
    <t>SCH_086G</t>
  </si>
  <si>
    <t>SCH_086GT</t>
  </si>
  <si>
    <t>SCH_087G</t>
  </si>
  <si>
    <t>SCH_087GT</t>
  </si>
  <si>
    <t>AMR: Automated Meter Reading</t>
  </si>
  <si>
    <t>Rentals</t>
  </si>
  <si>
    <t>Line</t>
  </si>
  <si>
    <t>Class Allocation</t>
  </si>
  <si>
    <t>No.</t>
  </si>
  <si>
    <t>Costs</t>
  </si>
  <si>
    <t>Percentage</t>
  </si>
  <si>
    <t>Plant</t>
  </si>
  <si>
    <t>Accum. Resr.</t>
  </si>
  <si>
    <t>(A)</t>
  </si>
  <si>
    <t>(B)</t>
  </si>
  <si>
    <t>(C)</t>
  </si>
  <si>
    <t>(D)</t>
  </si>
  <si>
    <t>(E)</t>
  </si>
  <si>
    <t>85G-C</t>
  </si>
  <si>
    <t>85G-I</t>
  </si>
  <si>
    <t>85TG-C</t>
  </si>
  <si>
    <t>85TG-I</t>
  </si>
  <si>
    <t>87G-C</t>
  </si>
  <si>
    <t>87G-I</t>
  </si>
  <si>
    <t>87TG-C</t>
  </si>
  <si>
    <t>87TG-I</t>
  </si>
  <si>
    <t>Total Cost</t>
  </si>
  <si>
    <t>Ratio (line 10 / line 12)</t>
  </si>
  <si>
    <t>Total Account 380 Plant in Service</t>
  </si>
  <si>
    <t>Direct Assignment Plant in Service (line 13 x line 14)</t>
  </si>
  <si>
    <t>Total Account 380 Accum. Reserve</t>
  </si>
  <si>
    <t>Direct Assignment Accum. Reserve (line 13 x line 16)</t>
  </si>
  <si>
    <t>Determination of Customer Weights for Service (Account 380) Allocation</t>
  </si>
  <si>
    <t>A/C 380 HWI</t>
  </si>
  <si>
    <t>Weighted</t>
  </si>
  <si>
    <t>Adj. Costs</t>
  </si>
  <si>
    <t>Class</t>
  </si>
  <si>
    <t>No. Customers</t>
  </si>
  <si>
    <t>Unit Cost</t>
  </si>
  <si>
    <t>Weight</t>
  </si>
  <si>
    <t>Customer</t>
  </si>
  <si>
    <t>(F)</t>
  </si>
  <si>
    <t>(G)</t>
  </si>
  <si>
    <t>1 inch and less</t>
  </si>
  <si>
    <t>Residential (23, 16, 53)</t>
  </si>
  <si>
    <t>1.125 in. to 3 in.</t>
  </si>
  <si>
    <t>Comm. &amp; Indus. (31, 31T)</t>
  </si>
  <si>
    <t>4 inch and greater</t>
  </si>
  <si>
    <t>Large Vol. &amp;  Limited Inter.</t>
  </si>
  <si>
    <t>Large Volume (41, 41T)</t>
  </si>
  <si>
    <t>Allocation Factor</t>
  </si>
  <si>
    <t xml:space="preserve"> - % of Total</t>
  </si>
  <si>
    <t>DIR926_386</t>
  </si>
  <si>
    <t>DIR408_386</t>
  </si>
  <si>
    <t>Limited Interruptible (86,86T)</t>
  </si>
  <si>
    <t>September 2016 Ending Balance</t>
  </si>
  <si>
    <t>Sum of Total Onetime Charges</t>
  </si>
  <si>
    <t>"Rate Category"2:0UCRATE_CAT</t>
  </si>
  <si>
    <t>Onetime Charges</t>
  </si>
  <si>
    <t>allocation %</t>
  </si>
  <si>
    <t>allocation $</t>
  </si>
  <si>
    <t>Total Onetime Charges</t>
  </si>
  <si>
    <t>SCH_016GR</t>
  </si>
  <si>
    <t>Commercial &amp; industrial (31)</t>
  </si>
  <si>
    <t>SCH_031GC</t>
  </si>
  <si>
    <t>Large volume (41)</t>
  </si>
  <si>
    <t>SCH_031GI</t>
  </si>
  <si>
    <t>Transportation - large volume (41T)</t>
  </si>
  <si>
    <t>SCH_041GC</t>
  </si>
  <si>
    <t>Transportation - general services (31T)</t>
  </si>
  <si>
    <t>SCH_041GI</t>
  </si>
  <si>
    <t>SCH_041GTC</t>
  </si>
  <si>
    <t>Transportation - interruptible (85T)</t>
  </si>
  <si>
    <t>SCH_041GTI</t>
  </si>
  <si>
    <t>Limited interruptible (86)</t>
  </si>
  <si>
    <t>SCH_071G</t>
  </si>
  <si>
    <t>Transportation - Limited interruptible (86T)</t>
  </si>
  <si>
    <t>SCH_072G</t>
  </si>
  <si>
    <t>Non exclusive interruptible (87)</t>
  </si>
  <si>
    <t>SCH_074G</t>
  </si>
  <si>
    <t>Transportation - non exclusive interruptible (87T)</t>
  </si>
  <si>
    <t>SCH_085GC</t>
  </si>
  <si>
    <t xml:space="preserve">Contracts </t>
  </si>
  <si>
    <t>SCH_085GI</t>
  </si>
  <si>
    <t>SCH_085GTC</t>
  </si>
  <si>
    <t>SCH_085GTI</t>
  </si>
  <si>
    <t>SCH_086GC</t>
  </si>
  <si>
    <t>SCH_086GI</t>
  </si>
  <si>
    <t>(blank)</t>
  </si>
  <si>
    <t>Grand Total</t>
  </si>
  <si>
    <t>"Sub-Transaction"6:RSTXTLG</t>
  </si>
  <si>
    <t>Gas</t>
  </si>
  <si>
    <t>Elec Non-Converted Bad Debt</t>
  </si>
  <si>
    <t>Electric Residential Service</t>
  </si>
  <si>
    <t>Gas Non-Converted Bad Debt</t>
  </si>
  <si>
    <t>Gas Payment Return Fee Credit</t>
  </si>
  <si>
    <t>Late Payment Charge</t>
  </si>
  <si>
    <t>LIHEAP Pledge</t>
  </si>
  <si>
    <t>Others</t>
  </si>
  <si>
    <t>Payment on Account</t>
  </si>
  <si>
    <t>Salvation Army Pledge</t>
  </si>
  <si>
    <t>(blank) Total</t>
  </si>
  <si>
    <t>4-Factor Allocator</t>
  </si>
  <si>
    <t>Elec</t>
  </si>
  <si>
    <t>Sch. 101</t>
  </si>
  <si>
    <t>Revenue</t>
  </si>
  <si>
    <t>Gas Revenue</t>
  </si>
  <si>
    <t>A</t>
  </si>
  <si>
    <t>B</t>
  </si>
  <si>
    <t>C</t>
  </si>
  <si>
    <t>Residential (23)</t>
  </si>
  <si>
    <t>Residential (53)</t>
  </si>
  <si>
    <t>Compressed Natural Gas Service (54)</t>
  </si>
  <si>
    <t xml:space="preserve">  23, 53, 16</t>
  </si>
  <si>
    <t xml:space="preserve">  31, 31T</t>
  </si>
  <si>
    <t xml:space="preserve">  41, 41T</t>
  </si>
  <si>
    <t xml:space="preserve">  85, 85T</t>
  </si>
  <si>
    <t xml:space="preserve">  86, 86T</t>
  </si>
  <si>
    <t xml:space="preserve">  87, 87T</t>
  </si>
  <si>
    <t>(All Volumes)</t>
  </si>
  <si>
    <t>Load Factor Weighting of PDAY and COM1</t>
  </si>
  <si>
    <t>COM1XT</t>
  </si>
  <si>
    <t>(Sales Volumes)</t>
  </si>
  <si>
    <t>(All NOV-MAR Sales Volumes)</t>
  </si>
  <si>
    <t>(All Apr-Oct Sales Volumes)</t>
  </si>
  <si>
    <t>No. Days Apr-Oct</t>
  </si>
  <si>
    <t xml:space="preserve">Apr-Oct Ave Daily Sales </t>
  </si>
  <si>
    <t>Nov-Mar Ave Daily Sales</t>
  </si>
  <si>
    <t>No. Days Nov-Mar</t>
  </si>
  <si>
    <t>(Incremental NOV-MAR Seasonal Sales)</t>
  </si>
  <si>
    <t>TF1</t>
  </si>
  <si>
    <t>COM1XT Annual Sales</t>
  </si>
  <si>
    <t>Weighted Alloc. Percent:</t>
  </si>
  <si>
    <t>SEAS_2 Winter Sales</t>
  </si>
  <si>
    <t>PDAYXT Peak Day</t>
  </si>
  <si>
    <t>Sum of Weighted Alloc. Percent:</t>
  </si>
  <si>
    <t>JPTF2</t>
  </si>
  <si>
    <t>Estimated System Load Factor</t>
  </si>
  <si>
    <t>Total System Load Factor Calculation</t>
  </si>
  <si>
    <t>DAYS PER YEAR</t>
  </si>
  <si>
    <t>Load Factor =</t>
  </si>
  <si>
    <t>(COM1)/(PDAY*DAYS PER YEAR) =</t>
  </si>
  <si>
    <t>System Load Factor Calculation - Sales</t>
  </si>
  <si>
    <t>(COM1XT)/(PDAY*DAYS PER YEAR) =</t>
  </si>
  <si>
    <t>Peak-Average Allocation Factor for Mains</t>
  </si>
  <si>
    <t>Item</t>
  </si>
  <si>
    <t>Allocator</t>
  </si>
  <si>
    <t>Contracts (SC)</t>
  </si>
  <si>
    <t>Peak</t>
  </si>
  <si>
    <t>Peak Related Costs</t>
  </si>
  <si>
    <t>Design Peak</t>
  </si>
  <si>
    <t>Average Related Costs</t>
  </si>
  <si>
    <t>Large Mains (=&gt; 4")</t>
  </si>
  <si>
    <t>Medium Mains (2-3")</t>
  </si>
  <si>
    <t>Volume Less 87, SC</t>
  </si>
  <si>
    <t>Small Mains (&lt; 2")</t>
  </si>
  <si>
    <t>Total (PA_MAINS)</t>
  </si>
  <si>
    <t>Allocators</t>
  </si>
  <si>
    <t>Total Annual Volume</t>
  </si>
  <si>
    <t>Total Allocated to 85, 87 and Contracts</t>
  </si>
  <si>
    <t>Percent Allocated to 85, 87 and Contracts</t>
  </si>
  <si>
    <t>2019 Gas General Rate Case Filing</t>
  </si>
  <si>
    <t xml:space="preserve">Natural Gas Customers by Rate Schedule </t>
  </si>
  <si>
    <t>Test Year Ended December 31, 2018</t>
  </si>
  <si>
    <t>All Customers (CUST Allocator)</t>
  </si>
  <si>
    <t>Customers Excluding Transportation (CUSTXT Allocator)</t>
  </si>
  <si>
    <t>Transportation Customers Only (TRANSCUS Allocator)</t>
  </si>
  <si>
    <t>Acct. 252 Customer Advance Customers (DIR252 Allocator)</t>
  </si>
  <si>
    <t>2019 Gas General Rate Case</t>
  </si>
  <si>
    <t>Account 380 Services - Directly Assigned Costs (2018$)</t>
  </si>
  <si>
    <t xml:space="preserve">2019 Gas General Rate Case </t>
  </si>
  <si>
    <t>Direct 380 Allocation</t>
  </si>
  <si>
    <t>12 ME December 2018</t>
  </si>
  <si>
    <t xml:space="preserve">2019 Gas General Rate Case Filing </t>
  </si>
  <si>
    <t>Peak Day and Volume Allocators</t>
  </si>
  <si>
    <t>NOT UPDATED</t>
  </si>
  <si>
    <t>Adjusted</t>
  </si>
  <si>
    <t>Residential Lighting (16)</t>
  </si>
  <si>
    <t>Commercial &amp; Industrial (31)</t>
  </si>
  <si>
    <t>Transportation - Commercial &amp; Industrial (31T)</t>
  </si>
  <si>
    <t>Transportation - Large Volume (41T)</t>
  </si>
  <si>
    <t>Transportation - Interruptible (85T)</t>
  </si>
  <si>
    <t>Transportation - Limited Interruptible (86T)</t>
  </si>
  <si>
    <t>Transportation - Non-Exclusive Interruptible (87T)</t>
  </si>
  <si>
    <t>Summary of Restated &amp; Normalized Margin Revenues by Rate Schedule</t>
  </si>
  <si>
    <t xml:space="preserve">Margin </t>
  </si>
  <si>
    <t>D = B - C</t>
  </si>
  <si>
    <t>Total Margin Revenue From Sales/Transport Schedules</t>
  </si>
  <si>
    <t>For COSA</t>
  </si>
  <si>
    <t>Direct Assignment</t>
  </si>
  <si>
    <t>Total Direct Assigned</t>
  </si>
  <si>
    <t>Total Account in Workpaper</t>
  </si>
  <si>
    <t>% of Total in Workpaper</t>
  </si>
  <si>
    <t>Total in Rev Requirement</t>
  </si>
  <si>
    <t>Sales - Direct Assigned in Workpaper</t>
  </si>
  <si>
    <t>Transport - Direct Assigned in Workpaper</t>
  </si>
  <si>
    <t>DIR_908</t>
  </si>
  <si>
    <t>DIR_875</t>
  </si>
  <si>
    <t>DIR_876</t>
  </si>
  <si>
    <t>DIR_878</t>
  </si>
  <si>
    <t>DIR_880</t>
  </si>
  <si>
    <t>DIR_887</t>
  </si>
  <si>
    <t>DIR_890</t>
  </si>
  <si>
    <t>DIR_893</t>
  </si>
  <si>
    <t>DIR_894</t>
  </si>
  <si>
    <t>Sales - % of Total in Workpaper</t>
  </si>
  <si>
    <t>Transport - % of Total in Workpaper</t>
  </si>
  <si>
    <t>Sales - Direct Assignment in COSA</t>
  </si>
  <si>
    <t>Transport - Direct Assignment in COSA</t>
  </si>
  <si>
    <t>DIR_902</t>
  </si>
  <si>
    <t>DIR_903</t>
  </si>
  <si>
    <t>DIR_926</t>
  </si>
  <si>
    <t>Total Account in Workpaper [1]</t>
  </si>
  <si>
    <t>DIR_408</t>
  </si>
  <si>
    <t>Note [1] - Acct 926 - No total in workpaper so we are using total acocunt balance in revenue requirement.</t>
  </si>
  <si>
    <t>Rental - Direct Assigned in Workpaper</t>
  </si>
  <si>
    <t>Rental - % of Total in Workpaper</t>
  </si>
  <si>
    <t>Rental - Direct Assignment in COSA</t>
  </si>
  <si>
    <t>COM_1</t>
  </si>
  <si>
    <t>DIR_380</t>
  </si>
  <si>
    <t>DIR_252</t>
  </si>
  <si>
    <t>DIR_386</t>
  </si>
  <si>
    <t>DIR_904</t>
  </si>
  <si>
    <t>DIR_235</t>
  </si>
  <si>
    <t>=&gt; 4</t>
  </si>
  <si>
    <t>c</t>
  </si>
  <si>
    <t>2-3</t>
  </si>
  <si>
    <t>b</t>
  </si>
  <si>
    <t>&lt; 2</t>
  </si>
  <si>
    <t>a</t>
  </si>
  <si>
    <t>Total Quantity</t>
  </si>
  <si>
    <t>Category</t>
  </si>
  <si>
    <t>Group</t>
  </si>
  <si>
    <t>20 ST</t>
  </si>
  <si>
    <t>16 ST</t>
  </si>
  <si>
    <t>12 ST</t>
  </si>
  <si>
    <t>8 ST</t>
  </si>
  <si>
    <t>6 ST</t>
  </si>
  <si>
    <t>4 ST</t>
  </si>
  <si>
    <t>3 ST</t>
  </si>
  <si>
    <t>2 ST</t>
  </si>
  <si>
    <t>1.25 ST</t>
  </si>
  <si>
    <t>1 ST</t>
  </si>
  <si>
    <t>.75-1.75 ST</t>
  </si>
  <si>
    <t>8 PE</t>
  </si>
  <si>
    <t>6 PE</t>
  </si>
  <si>
    <t>4 PE</t>
  </si>
  <si>
    <t>3 PE</t>
  </si>
  <si>
    <t>2 PE</t>
  </si>
  <si>
    <t>1.25 PE</t>
  </si>
  <si>
    <t>1.125 PE</t>
  </si>
  <si>
    <t>Size</t>
  </si>
  <si>
    <t>Costs by Type</t>
  </si>
  <si>
    <t>2018 $</t>
  </si>
  <si>
    <t>Costs by Size and Type</t>
  </si>
  <si>
    <t>Total Average Related Costs</t>
  </si>
  <si>
    <t>Volume Less SC</t>
  </si>
  <si>
    <t>Direct to Boeing</t>
  </si>
  <si>
    <t>Direct to SC</t>
  </si>
  <si>
    <t>Direct Assigned Mains to SC</t>
  </si>
  <si>
    <t>Design Day Peak Less 87, SC</t>
  </si>
  <si>
    <t>Design Day Peak Less SC</t>
  </si>
  <si>
    <t>Design Day Peak Res and Com</t>
  </si>
  <si>
    <t>Volume Less 85, 86, 87, SC</t>
  </si>
  <si>
    <t>Rentals - Direct Assigned in Workpaper</t>
  </si>
  <si>
    <t>NA</t>
  </si>
  <si>
    <t>Rentals - % of Total in Workpaper</t>
  </si>
  <si>
    <t>Rentals - Direct Assignment in COSA</t>
  </si>
  <si>
    <t>Data Source: Gas Customer Counts Allocators_Jan18-Dec18.xlsx</t>
  </si>
  <si>
    <t>Meter Cost Allocation Factors Summary</t>
  </si>
  <si>
    <t>Source: Gas Proforma Revenue_2019 GRC_DRAFT 5-6-19.xlsx</t>
  </si>
  <si>
    <t>Elec Billing Intiation Credit</t>
  </si>
  <si>
    <t>Elec Reconnection Charge CR</t>
  </si>
  <si>
    <t>Gas - Closed Acct Comm Credit</t>
  </si>
  <si>
    <t>PSE HELP Elec Pledge</t>
  </si>
  <si>
    <t>PSE HELP Gas Pledge</t>
  </si>
  <si>
    <t>Returned Payment</t>
  </si>
  <si>
    <t>Rental Margin</t>
  </si>
  <si>
    <t>P_MAINS</t>
  </si>
  <si>
    <t>Design Day Less 85, 86, 87, SC</t>
  </si>
  <si>
    <t>Direct Assigned Customer Related Costs - Directly Assigned Costs (2018$)</t>
  </si>
  <si>
    <t>Uncollectible Costs (2018$)</t>
  </si>
  <si>
    <t>Source: Gas Uncollectible Accounts_Acct 144_Jan18-Dec18.xlsx</t>
  </si>
  <si>
    <t>Customer Deposit Costs (2018$)</t>
  </si>
  <si>
    <t>SOURCE: Gas Customer Deposits_Acct 235_12-31-18.xlsx</t>
  </si>
  <si>
    <t>Other Revenue (2018$)</t>
  </si>
  <si>
    <t>SOURCE: Gas Peak Day and Volume Allocators_Jan18-Dec18.xlsx</t>
  </si>
  <si>
    <t>Volume</t>
  </si>
  <si>
    <t>Volume Less 85, 87, SC</t>
  </si>
  <si>
    <t>Total Average Related Costs (A_MAINS)</t>
  </si>
  <si>
    <t>Mains Allocator</t>
  </si>
  <si>
    <t>Old Method</t>
  </si>
  <si>
    <t>New Method</t>
  </si>
  <si>
    <t>Selection</t>
  </si>
  <si>
    <t>SOURCE: Gas Normalized Revenue_2019 GRC.xlsx</t>
  </si>
  <si>
    <t>Account 376 as of December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</si>
</sst>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%"/>
    <numFmt numFmtId="166" formatCode="_(* #,##0.0000_);_(* \(#,##0.0000\);_(* &quot;-&quot;_);_(@_)"/>
    <numFmt numFmtId="167" formatCode="_(* #,##0_);_(* \(#,##0\);_(* &quot;-&quot;??_);_(@_)"/>
    <numFmt numFmtId="168" formatCode="_(* #,##0.00000_);_(* \(#,##0.00000\);_(* &quot;-&quot;??_);_(@_)"/>
    <numFmt numFmtId="169" formatCode="0.0000000"/>
    <numFmt numFmtId="170" formatCode="d\.mmm\.yy"/>
    <numFmt numFmtId="171" formatCode="#."/>
    <numFmt numFmtId="172" formatCode="_(* ###0_);_(* \(###0\);_(* &quot;-&quot;_);_(@_)"/>
    <numFmt numFmtId="173" formatCode="&quot;$&quot;#,##0\ ;\(&quot;$&quot;#,##0\)"/>
    <numFmt numFmtId="174" formatCode="mmmm\ d\,\ yyyy"/>
    <numFmt numFmtId="175" formatCode="00000"/>
    <numFmt numFmtId="176" formatCode="_([$€-2]* #,##0.00_);_([$€-2]* \(#,##0.00\);_([$€-2]* &quot;-&quot;??_)"/>
    <numFmt numFmtId="177" formatCode="0.00_)"/>
    <numFmt numFmtId="178" formatCode="&quot;$&quot;#,##0;\-&quot;$&quot;#,##0"/>
    <numFmt numFmtId="179" formatCode="#,##0.00\ ;\(#,##0.00\)"/>
    <numFmt numFmtId="180" formatCode="#,##0.00000000000;[Red]\-#,##0.00000000000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&quot;$&quot;#,##0.00"/>
    <numFmt numFmtId="184" formatCode="_(&quot;$&quot;* #,##0_);_(&quot;$&quot;* \(#,##0\);_(&quot;$&quot;* &quot;-&quot;??_);_(@_)"/>
    <numFmt numFmtId="185" formatCode="0.0%"/>
    <numFmt numFmtId="186" formatCode="&quot;$ &quot;#,##0.00;&quot;$ -&quot;#,##0.00"/>
    <numFmt numFmtId="187" formatCode="#,##0;\-#,##0;#,##0"/>
    <numFmt numFmtId="188" formatCode="#,##0.0"/>
    <numFmt numFmtId="189" formatCode="#,##0.0000000"/>
    <numFmt numFmtId="190" formatCode="#,##0.000000"/>
    <numFmt numFmtId="191" formatCode="0.0000%"/>
    <numFmt numFmtId="192" formatCode="0_);\(0\)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0000FF"/>
      <name val="Arial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sz val="8"/>
      <name val="Helv"/>
    </font>
    <font>
      <sz val="11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21"/>
      <name val="Arial"/>
      <family val="2"/>
    </font>
    <font>
      <i/>
      <sz val="9"/>
      <name val="Arial"/>
      <family val="2"/>
    </font>
    <font>
      <sz val="10"/>
      <color rgb="FF00808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</font>
    <font>
      <sz val="10"/>
      <color indexed="12"/>
      <name val="Arial"/>
    </font>
    <font>
      <sz val="11"/>
      <name val="Calibri"/>
      <family val="2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65">
    <xf numFmtId="164" fontId="0" fillId="0" borderId="0">
      <alignment horizontal="left" wrapText="1"/>
    </xf>
    <xf numFmtId="43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10" fontId="20" fillId="0" borderId="10"/>
    <xf numFmtId="0" fontId="26" fillId="0" borderId="0" applyNumberFormat="0" applyFill="0" applyBorder="0" applyAlignment="0" applyProtection="0"/>
    <xf numFmtId="41" fontId="20" fillId="33" borderId="0"/>
    <xf numFmtId="0" fontId="19" fillId="0" borderId="0">
      <alignment horizontal="left" vertical="center"/>
    </xf>
    <xf numFmtId="0" fontId="21" fillId="33" borderId="0">
      <alignment horizontal="left" wrapText="1"/>
    </xf>
    <xf numFmtId="41" fontId="23" fillId="34" borderId="10">
      <alignment horizontal="left"/>
      <protection locked="0"/>
    </xf>
    <xf numFmtId="41" fontId="24" fillId="34" borderId="10">
      <alignment horizontal="left"/>
      <protection locked="0"/>
    </xf>
    <xf numFmtId="0" fontId="25" fillId="0" borderId="0"/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9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9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9" fillId="0" borderId="0"/>
    <xf numFmtId="0" fontId="29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0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9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0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0" fontId="29" fillId="0" borderId="0"/>
    <xf numFmtId="0" fontId="29" fillId="0" borderId="0"/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9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0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29" fillId="0" borderId="0"/>
    <xf numFmtId="0" fontId="29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168" fontId="20" fillId="0" borderId="0">
      <alignment horizontal="left" wrapText="1"/>
    </xf>
    <xf numFmtId="168" fontId="25" fillId="0" borderId="0">
      <alignment horizontal="left" wrapText="1"/>
    </xf>
    <xf numFmtId="168" fontId="25" fillId="0" borderId="0">
      <alignment horizontal="left" wrapText="1"/>
    </xf>
    <xf numFmtId="0" fontId="29" fillId="0" borderId="0"/>
    <xf numFmtId="0" fontId="30" fillId="36" borderId="0" applyNumberFormat="0" applyBorder="0" applyAlignment="0" applyProtection="0"/>
    <xf numFmtId="0" fontId="1" fillId="10" borderId="0" applyNumberFormat="0" applyBorder="0" applyAlignment="0" applyProtection="0"/>
    <xf numFmtId="0" fontId="30" fillId="36" borderId="0" applyNumberFormat="0" applyBorder="0" applyAlignment="0" applyProtection="0"/>
    <xf numFmtId="0" fontId="1" fillId="36" borderId="0" applyNumberFormat="0" applyBorder="0" applyAlignment="0" applyProtection="0"/>
    <xf numFmtId="0" fontId="30" fillId="37" borderId="0" applyNumberFormat="0" applyBorder="0" applyAlignment="0" applyProtection="0"/>
    <xf numFmtId="0" fontId="1" fillId="14" borderId="0" applyNumberFormat="0" applyBorder="0" applyAlignment="0" applyProtection="0"/>
    <xf numFmtId="0" fontId="30" fillId="37" borderId="0" applyNumberFormat="0" applyBorder="0" applyAlignment="0" applyProtection="0"/>
    <xf numFmtId="0" fontId="1" fillId="37" borderId="0" applyNumberFormat="0" applyBorder="0" applyAlignment="0" applyProtection="0"/>
    <xf numFmtId="0" fontId="30" fillId="38" borderId="0" applyNumberFormat="0" applyBorder="0" applyAlignment="0" applyProtection="0"/>
    <xf numFmtId="0" fontId="1" fillId="18" borderId="0" applyNumberFormat="0" applyBorder="0" applyAlignment="0" applyProtection="0"/>
    <xf numFmtId="0" fontId="30" fillId="38" borderId="0" applyNumberFormat="0" applyBorder="0" applyAlignment="0" applyProtection="0"/>
    <xf numFmtId="0" fontId="1" fillId="38" borderId="0" applyNumberFormat="0" applyBorder="0" applyAlignment="0" applyProtection="0"/>
    <xf numFmtId="0" fontId="30" fillId="39" borderId="0" applyNumberFormat="0" applyBorder="0" applyAlignment="0" applyProtection="0"/>
    <xf numFmtId="0" fontId="1" fillId="22" borderId="0" applyNumberFormat="0" applyBorder="0" applyAlignment="0" applyProtection="0"/>
    <xf numFmtId="0" fontId="30" fillId="39" borderId="0" applyNumberFormat="0" applyBorder="0" applyAlignment="0" applyProtection="0"/>
    <xf numFmtId="0" fontId="1" fillId="39" borderId="0" applyNumberFormat="0" applyBorder="0" applyAlignment="0" applyProtection="0"/>
    <xf numFmtId="0" fontId="30" fillId="40" borderId="0" applyNumberFormat="0" applyBorder="0" applyAlignment="0" applyProtection="0"/>
    <xf numFmtId="0" fontId="1" fillId="26" borderId="0" applyNumberFormat="0" applyBorder="0" applyAlignment="0" applyProtection="0"/>
    <xf numFmtId="0" fontId="30" fillId="40" borderId="0" applyNumberFormat="0" applyBorder="0" applyAlignment="0" applyProtection="0"/>
    <xf numFmtId="0" fontId="1" fillId="26" borderId="0" applyNumberFormat="0" applyBorder="0" applyAlignment="0" applyProtection="0"/>
    <xf numFmtId="0" fontId="30" fillId="41" borderId="0" applyNumberFormat="0" applyBorder="0" applyAlignment="0" applyProtection="0"/>
    <xf numFmtId="0" fontId="1" fillId="30" borderId="0" applyNumberFormat="0" applyBorder="0" applyAlignment="0" applyProtection="0"/>
    <xf numFmtId="0" fontId="30" fillId="41" borderId="0" applyNumberFormat="0" applyBorder="0" applyAlignment="0" applyProtection="0"/>
    <xf numFmtId="0" fontId="1" fillId="30" borderId="0" applyNumberFormat="0" applyBorder="0" applyAlignment="0" applyProtection="0"/>
    <xf numFmtId="0" fontId="30" fillId="42" borderId="0" applyNumberFormat="0" applyBorder="0" applyAlignment="0" applyProtection="0"/>
    <xf numFmtId="0" fontId="1" fillId="11" borderId="0" applyNumberFormat="0" applyBorder="0" applyAlignment="0" applyProtection="0"/>
    <xf numFmtId="0" fontId="30" fillId="42" borderId="0" applyNumberFormat="0" applyBorder="0" applyAlignment="0" applyProtection="0"/>
    <xf numFmtId="0" fontId="1" fillId="11" borderId="0" applyNumberFormat="0" applyBorder="0" applyAlignment="0" applyProtection="0"/>
    <xf numFmtId="0" fontId="30" fillId="43" borderId="0" applyNumberFormat="0" applyBorder="0" applyAlignment="0" applyProtection="0"/>
    <xf numFmtId="0" fontId="1" fillId="15" borderId="0" applyNumberFormat="0" applyBorder="0" applyAlignment="0" applyProtection="0"/>
    <xf numFmtId="0" fontId="30" fillId="43" borderId="0" applyNumberFormat="0" applyBorder="0" applyAlignment="0" applyProtection="0"/>
    <xf numFmtId="0" fontId="1" fillId="15" borderId="0" applyNumberFormat="0" applyBorder="0" applyAlignment="0" applyProtection="0"/>
    <xf numFmtId="0" fontId="30" fillId="44" borderId="0" applyNumberFormat="0" applyBorder="0" applyAlignment="0" applyProtection="0"/>
    <xf numFmtId="0" fontId="1" fillId="19" borderId="0" applyNumberFormat="0" applyBorder="0" applyAlignment="0" applyProtection="0"/>
    <xf numFmtId="0" fontId="30" fillId="44" borderId="0" applyNumberFormat="0" applyBorder="0" applyAlignment="0" applyProtection="0"/>
    <xf numFmtId="0" fontId="1" fillId="44" borderId="0" applyNumberFormat="0" applyBorder="0" applyAlignment="0" applyProtection="0"/>
    <xf numFmtId="0" fontId="30" fillId="39" borderId="0" applyNumberFormat="0" applyBorder="0" applyAlignment="0" applyProtection="0"/>
    <xf numFmtId="0" fontId="1" fillId="23" borderId="0" applyNumberFormat="0" applyBorder="0" applyAlignment="0" applyProtection="0"/>
    <xf numFmtId="0" fontId="30" fillId="39" borderId="0" applyNumberFormat="0" applyBorder="0" applyAlignment="0" applyProtection="0"/>
    <xf numFmtId="0" fontId="1" fillId="23" borderId="0" applyNumberFormat="0" applyBorder="0" applyAlignment="0" applyProtection="0"/>
    <xf numFmtId="0" fontId="30" fillId="42" borderId="0" applyNumberFormat="0" applyBorder="0" applyAlignment="0" applyProtection="0"/>
    <xf numFmtId="0" fontId="1" fillId="27" borderId="0" applyNumberFormat="0" applyBorder="0" applyAlignment="0" applyProtection="0"/>
    <xf numFmtId="0" fontId="30" fillId="42" borderId="0" applyNumberFormat="0" applyBorder="0" applyAlignment="0" applyProtection="0"/>
    <xf numFmtId="0" fontId="1" fillId="27" borderId="0" applyNumberFormat="0" applyBorder="0" applyAlignment="0" applyProtection="0"/>
    <xf numFmtId="0" fontId="30" fillId="45" borderId="0" applyNumberFormat="0" applyBorder="0" applyAlignment="0" applyProtection="0"/>
    <xf numFmtId="0" fontId="1" fillId="31" borderId="0" applyNumberFormat="0" applyBorder="0" applyAlignment="0" applyProtection="0"/>
    <xf numFmtId="0" fontId="30" fillId="45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44" borderId="0" applyNumberFormat="0" applyBorder="0" applyAlignment="0" applyProtection="0"/>
    <xf numFmtId="0" fontId="18" fillId="20" borderId="0" applyNumberFormat="0" applyBorder="0" applyAlignment="0" applyProtection="0"/>
    <xf numFmtId="0" fontId="18" fillId="4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47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8" fillId="3" borderId="0" applyNumberFormat="0" applyBorder="0" applyAlignment="0" applyProtection="0"/>
    <xf numFmtId="170" fontId="31" fillId="0" borderId="0" applyFill="0" applyBorder="0" applyAlignment="0"/>
    <xf numFmtId="170" fontId="31" fillId="0" borderId="0" applyFill="0" applyBorder="0" applyAlignment="0"/>
    <xf numFmtId="170" fontId="31" fillId="0" borderId="0" applyFill="0" applyBorder="0" applyAlignment="0"/>
    <xf numFmtId="0" fontId="12" fillId="6" borderId="4" applyNumberFormat="0" applyAlignment="0" applyProtection="0"/>
    <xf numFmtId="0" fontId="32" fillId="48" borderId="11" applyNumberFormat="0" applyAlignment="0" applyProtection="0"/>
    <xf numFmtId="0" fontId="14" fillId="7" borderId="7" applyNumberFormat="0" applyAlignment="0" applyProtection="0"/>
    <xf numFmtId="41" fontId="25" fillId="49" borderId="0"/>
    <xf numFmtId="41" fontId="25" fillId="49" borderId="0"/>
    <xf numFmtId="41" fontId="25" fillId="49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3" fontId="22" fillId="0" borderId="0" applyFill="0" applyBorder="0" applyAlignment="0" applyProtection="0"/>
    <xf numFmtId="0" fontId="35" fillId="0" borderId="0"/>
    <xf numFmtId="0" fontId="35" fillId="0" borderId="0"/>
    <xf numFmtId="0" fontId="36" fillId="0" borderId="0"/>
    <xf numFmtId="0" fontId="36" fillId="0" borderId="0"/>
    <xf numFmtId="0" fontId="37" fillId="0" borderId="0"/>
    <xf numFmtId="0" fontId="38" fillId="0" borderId="0"/>
    <xf numFmtId="0" fontId="38" fillId="0" borderId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40" fillId="0" borderId="0" applyFont="0" applyFill="0" applyBorder="0" applyAlignment="0" applyProtection="0"/>
    <xf numFmtId="3" fontId="22" fillId="0" borderId="0" applyFont="0" applyFill="0" applyBorder="0" applyAlignment="0" applyProtection="0"/>
    <xf numFmtId="3" fontId="22" fillId="0" borderId="0" applyFont="0" applyFill="0" applyBorder="0" applyAlignment="0" applyProtection="0"/>
    <xf numFmtId="171" fontId="41" fillId="0" borderId="0">
      <protection locked="0"/>
    </xf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2" fillId="0" borderId="0" applyNumberFormat="0" applyAlignment="0">
      <alignment horizontal="left"/>
    </xf>
    <xf numFmtId="0" fontId="43" fillId="0" borderId="0" applyNumberFormat="0" applyAlignment="0"/>
    <xf numFmtId="0" fontId="43" fillId="0" borderId="0" applyNumberFormat="0" applyAlignment="0"/>
    <xf numFmtId="0" fontId="43" fillId="0" borderId="0" applyNumberFormat="0" applyAlignment="0"/>
    <xf numFmtId="0" fontId="35" fillId="0" borderId="0"/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0" fontId="35" fillId="0" borderId="0"/>
    <xf numFmtId="0" fontId="37" fillId="0" borderId="0"/>
    <xf numFmtId="0" fontId="38" fillId="0" borderId="0"/>
    <xf numFmtId="0" fontId="38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5" fontId="22" fillId="0" borderId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5" fontId="22" fillId="0" borderId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174" fontId="22" fillId="0" borderId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25" fillId="0" borderId="0"/>
    <xf numFmtId="175" fontId="25" fillId="0" borderId="0"/>
    <xf numFmtId="175" fontId="25" fillId="0" borderId="0"/>
    <xf numFmtId="175" fontId="25" fillId="0" borderId="0"/>
    <xf numFmtId="176" fontId="25" fillId="0" borderId="0" applyFont="0" applyFill="0" applyBorder="0" applyAlignment="0" applyProtection="0">
      <alignment horizontal="left" wrapText="1"/>
    </xf>
    <xf numFmtId="0" fontId="16" fillId="0" borderId="0" applyNumberFormat="0" applyFill="0" applyBorder="0" applyAlignment="0" applyProtection="0"/>
    <xf numFmtId="2" fontId="22" fillId="0" borderId="0" applyFill="0" applyBorder="0" applyAlignment="0" applyProtection="0"/>
    <xf numFmtId="2" fontId="40" fillId="0" borderId="0" applyFont="0" applyFill="0" applyBorder="0" applyAlignment="0" applyProtection="0"/>
    <xf numFmtId="2" fontId="40" fillId="0" borderId="0" applyFont="0" applyFill="0" applyBorder="0" applyAlignment="0" applyProtection="0"/>
    <xf numFmtId="2" fontId="22" fillId="0" borderId="0" applyFill="0" applyBorder="0" applyAlignment="0" applyProtection="0"/>
    <xf numFmtId="2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2" fontId="40" fillId="0" borderId="0" applyFont="0" applyFill="0" applyBorder="0" applyAlignment="0" applyProtection="0"/>
    <xf numFmtId="0" fontId="35" fillId="0" borderId="0"/>
    <xf numFmtId="0" fontId="7" fillId="2" borderId="0" applyNumberFormat="0" applyBorder="0" applyAlignment="0" applyProtection="0"/>
    <xf numFmtId="38" fontId="26" fillId="49" borderId="0" applyNumberFormat="0" applyBorder="0" applyAlignment="0" applyProtection="0"/>
    <xf numFmtId="38" fontId="26" fillId="49" borderId="0" applyNumberFormat="0" applyBorder="0" applyAlignment="0" applyProtection="0"/>
    <xf numFmtId="38" fontId="26" fillId="49" borderId="0" applyNumberFormat="0" applyBorder="0" applyAlignment="0" applyProtection="0"/>
    <xf numFmtId="38" fontId="26" fillId="49" borderId="0" applyNumberFormat="0" applyBorder="0" applyAlignment="0" applyProtection="0"/>
    <xf numFmtId="38" fontId="26" fillId="49" borderId="0" applyNumberFormat="0" applyBorder="0" applyAlignment="0" applyProtection="0"/>
    <xf numFmtId="0" fontId="44" fillId="0" borderId="12" applyNumberFormat="0" applyAlignment="0" applyProtection="0">
      <alignment horizontal="left"/>
    </xf>
    <xf numFmtId="0" fontId="44" fillId="0" borderId="12" applyNumberFormat="0" applyAlignment="0" applyProtection="0">
      <alignment horizontal="left"/>
    </xf>
    <xf numFmtId="0" fontId="44" fillId="0" borderId="12" applyNumberFormat="0" applyAlignment="0" applyProtection="0">
      <alignment horizontal="left"/>
    </xf>
    <xf numFmtId="0" fontId="44" fillId="0" borderId="13">
      <alignment horizontal="left"/>
    </xf>
    <xf numFmtId="0" fontId="44" fillId="0" borderId="13">
      <alignment horizontal="left"/>
    </xf>
    <xf numFmtId="0" fontId="44" fillId="0" borderId="13">
      <alignment horizontal="left"/>
    </xf>
    <xf numFmtId="0" fontId="4" fillId="0" borderId="1" applyNumberFormat="0" applyFill="0" applyAlignment="0" applyProtection="0"/>
    <xf numFmtId="0" fontId="45" fillId="0" borderId="14" applyNumberFormat="0" applyFill="0" applyAlignment="0" applyProtection="0"/>
    <xf numFmtId="0" fontId="5" fillId="0" borderId="2" applyNumberFormat="0" applyFill="0" applyAlignment="0" applyProtection="0"/>
    <xf numFmtId="0" fontId="46" fillId="0" borderId="15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38" fontId="47" fillId="0" borderId="0"/>
    <xf numFmtId="38" fontId="47" fillId="0" borderId="0"/>
    <xf numFmtId="38" fontId="47" fillId="0" borderId="0"/>
    <xf numFmtId="40" fontId="47" fillId="0" borderId="0"/>
    <xf numFmtId="40" fontId="47" fillId="0" borderId="0"/>
    <xf numFmtId="40" fontId="47" fillId="0" borderId="0"/>
    <xf numFmtId="10" fontId="26" fillId="33" borderId="16" applyNumberFormat="0" applyBorder="0" applyAlignment="0" applyProtection="0"/>
    <xf numFmtId="10" fontId="26" fillId="33" borderId="16" applyNumberFormat="0" applyBorder="0" applyAlignment="0" applyProtection="0"/>
    <xf numFmtId="10" fontId="26" fillId="33" borderId="16" applyNumberFormat="0" applyBorder="0" applyAlignment="0" applyProtection="0"/>
    <xf numFmtId="10" fontId="26" fillId="33" borderId="16" applyNumberFormat="0" applyBorder="0" applyAlignment="0" applyProtection="0"/>
    <xf numFmtId="10" fontId="26" fillId="33" borderId="16" applyNumberFormat="0" applyBorder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10" fontId="23" fillId="34" borderId="10">
      <alignment horizontal="right"/>
      <protection locked="0"/>
    </xf>
    <xf numFmtId="41" fontId="24" fillId="34" borderId="10">
      <alignment horizontal="left"/>
      <protection locked="0"/>
    </xf>
    <xf numFmtId="0" fontId="26" fillId="49" borderId="0"/>
    <xf numFmtId="0" fontId="26" fillId="49" borderId="0"/>
    <xf numFmtId="0" fontId="26" fillId="49" borderId="0"/>
    <xf numFmtId="3" fontId="48" fillId="0" borderId="0" applyFill="0" applyBorder="0" applyAlignment="0" applyProtection="0"/>
    <xf numFmtId="0" fontId="13" fillId="0" borderId="6" applyNumberFormat="0" applyFill="0" applyAlignment="0" applyProtection="0"/>
    <xf numFmtId="44" fontId="21" fillId="0" borderId="17" applyNumberFormat="0" applyFont="0" applyAlignment="0">
      <alignment horizontal="center"/>
    </xf>
    <xf numFmtId="44" fontId="21" fillId="0" borderId="17" applyNumberFormat="0" applyFont="0" applyAlignment="0">
      <alignment horizontal="center"/>
    </xf>
    <xf numFmtId="44" fontId="21" fillId="0" borderId="17" applyNumberFormat="0" applyFont="0" applyAlignment="0">
      <alignment horizontal="center"/>
    </xf>
    <xf numFmtId="44" fontId="21" fillId="0" borderId="17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44" fontId="21" fillId="0" borderId="18" applyNumberFormat="0" applyFont="0" applyAlignment="0">
      <alignment horizontal="center"/>
    </xf>
    <xf numFmtId="0" fontId="9" fillId="4" borderId="0" applyNumberFormat="0" applyBorder="0" applyAlignment="0" applyProtection="0"/>
    <xf numFmtId="37" fontId="49" fillId="0" borderId="0"/>
    <xf numFmtId="37" fontId="49" fillId="0" borderId="0"/>
    <xf numFmtId="37" fontId="49" fillId="0" borderId="0"/>
    <xf numFmtId="177" fontId="50" fillId="0" borderId="0"/>
    <xf numFmtId="178" fontId="25" fillId="0" borderId="0"/>
    <xf numFmtId="178" fontId="25" fillId="0" borderId="0"/>
    <xf numFmtId="178" fontId="25" fillId="0" borderId="0"/>
    <xf numFmtId="179" fontId="25" fillId="0" borderId="0"/>
    <xf numFmtId="180" fontId="25" fillId="0" borderId="0"/>
    <xf numFmtId="180" fontId="25" fillId="0" borderId="0"/>
    <xf numFmtId="180" fontId="25" fillId="0" borderId="0"/>
    <xf numFmtId="18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2" fontId="25" fillId="0" borderId="0">
      <alignment horizontal="left" wrapText="1"/>
    </xf>
    <xf numFmtId="0" fontId="25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4" fillId="0" borderId="0"/>
    <xf numFmtId="0" fontId="30" fillId="0" borderId="0"/>
    <xf numFmtId="0" fontId="33" fillId="0" borderId="0"/>
    <xf numFmtId="0" fontId="1" fillId="0" borderId="0"/>
    <xf numFmtId="0" fontId="34" fillId="0" borderId="0"/>
    <xf numFmtId="174" fontId="25" fillId="0" borderId="0">
      <alignment horizontal="left" wrapText="1"/>
    </xf>
    <xf numFmtId="0" fontId="1" fillId="0" borderId="0"/>
    <xf numFmtId="0" fontId="25" fillId="0" borderId="0"/>
    <xf numFmtId="0" fontId="30" fillId="8" borderId="8" applyNumberFormat="0" applyFont="0" applyAlignment="0" applyProtection="0"/>
    <xf numFmtId="0" fontId="1" fillId="8" borderId="8" applyNumberFormat="0" applyFont="0" applyAlignment="0" applyProtection="0"/>
    <xf numFmtId="0" fontId="30" fillId="50" borderId="19" applyNumberFormat="0" applyFont="0" applyAlignment="0" applyProtection="0"/>
    <xf numFmtId="0" fontId="30" fillId="50" borderId="19" applyNumberFormat="0" applyFont="0" applyAlignment="0" applyProtection="0"/>
    <xf numFmtId="0" fontId="30" fillId="50" borderId="19" applyNumberFormat="0" applyFont="0" applyAlignment="0" applyProtection="0"/>
    <xf numFmtId="0" fontId="30" fillId="50" borderId="19" applyNumberFormat="0" applyFont="0" applyAlignment="0" applyProtection="0"/>
    <xf numFmtId="0" fontId="11" fillId="6" borderId="5" applyNumberFormat="0" applyAlignment="0" applyProtection="0"/>
    <xf numFmtId="0" fontId="35" fillId="0" borderId="0"/>
    <xf numFmtId="0" fontId="35" fillId="0" borderId="0"/>
    <xf numFmtId="0" fontId="36" fillId="0" borderId="0"/>
    <xf numFmtId="0" fontId="36" fillId="0" borderId="0"/>
    <xf numFmtId="0" fontId="37" fillId="0" borderId="0"/>
    <xf numFmtId="0" fontId="38" fillId="0" borderId="0"/>
    <xf numFmtId="0" fontId="36" fillId="0" borderId="0"/>
    <xf numFmtId="0" fontId="36" fillId="0" borderId="0"/>
    <xf numFmtId="0" fontId="38" fillId="0" borderId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10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41" fontId="25" fillId="51" borderId="10"/>
    <xf numFmtId="41" fontId="25" fillId="51" borderId="10"/>
    <xf numFmtId="41" fontId="25" fillId="51" borderId="10"/>
    <xf numFmtId="0" fontId="51" fillId="0" borderId="0" applyNumberFormat="0" applyFont="0" applyFill="0" applyBorder="0" applyAlignment="0" applyProtection="0">
      <alignment horizontal="left"/>
    </xf>
    <xf numFmtId="0" fontId="51" fillId="0" borderId="0" applyNumberFormat="0" applyFont="0" applyFill="0" applyBorder="0" applyAlignment="0" applyProtection="0">
      <alignment horizontal="left"/>
    </xf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15" fontId="51" fillId="0" borderId="0" applyFont="0" applyFill="0" applyBorder="0" applyAlignment="0" applyProtection="0"/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52" fillId="0" borderId="20">
      <alignment horizontal="center"/>
    </xf>
    <xf numFmtId="0" fontId="52" fillId="0" borderId="20">
      <alignment horizontal="center"/>
    </xf>
    <xf numFmtId="0" fontId="52" fillId="0" borderId="20">
      <alignment horizontal="center"/>
    </xf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51" fillId="52" borderId="0" applyNumberFormat="0" applyFont="0" applyBorder="0" applyAlignment="0" applyProtection="0"/>
    <xf numFmtId="0" fontId="51" fillId="52" borderId="0" applyNumberFormat="0" applyFont="0" applyBorder="0" applyAlignment="0" applyProtection="0"/>
    <xf numFmtId="0" fontId="51" fillId="52" borderId="0" applyNumberFormat="0" applyFont="0" applyBorder="0" applyAlignment="0" applyProtection="0"/>
    <xf numFmtId="0" fontId="37" fillId="0" borderId="0"/>
    <xf numFmtId="0" fontId="38" fillId="0" borderId="0"/>
    <xf numFmtId="0" fontId="38" fillId="0" borderId="0"/>
    <xf numFmtId="3" fontId="53" fillId="0" borderId="0" applyFill="0" applyBorder="0" applyAlignment="0" applyProtection="0"/>
    <xf numFmtId="0" fontId="54" fillId="0" borderId="0"/>
    <xf numFmtId="0" fontId="55" fillId="0" borderId="0"/>
    <xf numFmtId="0" fontId="55" fillId="0" borderId="0"/>
    <xf numFmtId="3" fontId="53" fillId="0" borderId="0" applyFill="0" applyBorder="0" applyAlignment="0" applyProtection="0"/>
    <xf numFmtId="42" fontId="25" fillId="33" borderId="0"/>
    <xf numFmtId="0" fontId="36" fillId="53" borderId="0"/>
    <xf numFmtId="0" fontId="56" fillId="53" borderId="21"/>
    <xf numFmtId="0" fontId="57" fillId="54" borderId="22"/>
    <xf numFmtId="0" fontId="58" fillId="53" borderId="23"/>
    <xf numFmtId="42" fontId="25" fillId="33" borderId="0"/>
    <xf numFmtId="42" fontId="25" fillId="33" borderId="24">
      <alignment vertical="center"/>
    </xf>
    <xf numFmtId="42" fontId="25" fillId="33" borderId="24">
      <alignment vertical="center"/>
    </xf>
    <xf numFmtId="42" fontId="59" fillId="34" borderId="13">
      <alignment vertical="center"/>
    </xf>
    <xf numFmtId="42" fontId="59" fillId="34" borderId="13">
      <alignment vertical="center"/>
    </xf>
    <xf numFmtId="42" fontId="25" fillId="33" borderId="24">
      <alignment vertical="center"/>
    </xf>
    <xf numFmtId="0" fontId="21" fillId="33" borderId="25" applyNumberFormat="0">
      <alignment horizontal="center" vertical="center" wrapText="1"/>
    </xf>
    <xf numFmtId="0" fontId="21" fillId="33" borderId="25" applyNumberFormat="0">
      <alignment horizontal="center" vertical="center" wrapText="1"/>
    </xf>
    <xf numFmtId="0" fontId="21" fillId="33" borderId="25" applyNumberFormat="0">
      <alignment horizontal="center" vertical="center" wrapText="1"/>
    </xf>
    <xf numFmtId="10" fontId="20" fillId="33" borderId="0"/>
    <xf numFmtId="10" fontId="25" fillId="33" borderId="0"/>
    <xf numFmtId="10" fontId="25" fillId="33" borderId="0"/>
    <xf numFmtId="181" fontId="20" fillId="33" borderId="0"/>
    <xf numFmtId="181" fontId="25" fillId="33" borderId="0"/>
    <xf numFmtId="181" fontId="25" fillId="33" borderId="0"/>
    <xf numFmtId="181" fontId="25" fillId="33" borderId="0"/>
    <xf numFmtId="181" fontId="25" fillId="33" borderId="0"/>
    <xf numFmtId="42" fontId="25" fillId="33" borderId="0"/>
    <xf numFmtId="167" fontId="47" fillId="0" borderId="0" applyBorder="0" applyAlignment="0"/>
    <xf numFmtId="42" fontId="25" fillId="33" borderId="26">
      <alignment horizontal="left"/>
    </xf>
    <xf numFmtId="42" fontId="25" fillId="33" borderId="26">
      <alignment horizontal="left"/>
    </xf>
    <xf numFmtId="42" fontId="60" fillId="33" borderId="26">
      <alignment horizontal="left"/>
    </xf>
    <xf numFmtId="42" fontId="60" fillId="33" borderId="26">
      <alignment horizontal="left"/>
    </xf>
    <xf numFmtId="42" fontId="25" fillId="33" borderId="26">
      <alignment horizontal="left"/>
    </xf>
    <xf numFmtId="181" fontId="60" fillId="33" borderId="26">
      <alignment horizontal="left"/>
    </xf>
    <xf numFmtId="167" fontId="47" fillId="0" borderId="0" applyBorder="0" applyAlignment="0"/>
    <xf numFmtId="14" fontId="33" fillId="0" borderId="0" applyNumberFormat="0" applyFill="0" applyBorder="0" applyAlignment="0" applyProtection="0">
      <alignment horizontal="left"/>
    </xf>
    <xf numFmtId="182" fontId="25" fillId="0" borderId="0" applyFont="0" applyFill="0" applyAlignment="0">
      <alignment horizontal="right"/>
    </xf>
    <xf numFmtId="182" fontId="25" fillId="0" borderId="0" applyFont="0" applyFill="0" applyAlignment="0">
      <alignment horizontal="right"/>
    </xf>
    <xf numFmtId="182" fontId="25" fillId="0" borderId="0" applyFont="0" applyFill="0" applyAlignment="0">
      <alignment horizontal="right"/>
    </xf>
    <xf numFmtId="4" fontId="61" fillId="34" borderId="27" applyNumberFormat="0" applyProtection="0">
      <alignment vertical="center"/>
    </xf>
    <xf numFmtId="4" fontId="62" fillId="34" borderId="27" applyNumberFormat="0" applyProtection="0">
      <alignment vertical="center"/>
    </xf>
    <xf numFmtId="4" fontId="61" fillId="34" borderId="27" applyNumberFormat="0" applyProtection="0">
      <alignment horizontal="left" vertical="center" indent="1"/>
    </xf>
    <xf numFmtId="4" fontId="61" fillId="34" borderId="27" applyNumberFormat="0" applyProtection="0">
      <alignment horizontal="left" vertical="center" indent="1"/>
    </xf>
    <xf numFmtId="0" fontId="25" fillId="55" borderId="27" applyNumberFormat="0" applyProtection="0">
      <alignment horizontal="left" vertical="center" indent="1"/>
    </xf>
    <xf numFmtId="4" fontId="61" fillId="56" borderId="27" applyNumberFormat="0" applyProtection="0">
      <alignment horizontal="right" vertical="center"/>
    </xf>
    <xf numFmtId="4" fontId="61" fillId="57" borderId="27" applyNumberFormat="0" applyProtection="0">
      <alignment horizontal="right" vertical="center"/>
    </xf>
    <xf numFmtId="4" fontId="61" fillId="58" borderId="27" applyNumberFormat="0" applyProtection="0">
      <alignment horizontal="right" vertical="center"/>
    </xf>
    <xf numFmtId="4" fontId="61" fillId="59" borderId="27" applyNumberFormat="0" applyProtection="0">
      <alignment horizontal="right" vertical="center"/>
    </xf>
    <xf numFmtId="4" fontId="61" fillId="60" borderId="27" applyNumberFormat="0" applyProtection="0">
      <alignment horizontal="right" vertical="center"/>
    </xf>
    <xf numFmtId="4" fontId="61" fillId="61" borderId="27" applyNumberFormat="0" applyProtection="0">
      <alignment horizontal="right" vertical="center"/>
    </xf>
    <xf numFmtId="4" fontId="61" fillId="62" borderId="27" applyNumberFormat="0" applyProtection="0">
      <alignment horizontal="right" vertical="center"/>
    </xf>
    <xf numFmtId="4" fontId="61" fillId="63" borderId="27" applyNumberFormat="0" applyProtection="0">
      <alignment horizontal="right" vertical="center"/>
    </xf>
    <xf numFmtId="4" fontId="61" fillId="64" borderId="27" applyNumberFormat="0" applyProtection="0">
      <alignment horizontal="right" vertical="center"/>
    </xf>
    <xf numFmtId="4" fontId="63" fillId="65" borderId="27" applyNumberFormat="0" applyProtection="0">
      <alignment horizontal="left" vertical="center" indent="1"/>
    </xf>
    <xf numFmtId="4" fontId="61" fillId="66" borderId="28" applyNumberFormat="0" applyProtection="0">
      <alignment horizontal="left" vertical="center" indent="1"/>
    </xf>
    <xf numFmtId="4" fontId="64" fillId="67" borderId="0" applyNumberFormat="0" applyProtection="0">
      <alignment horizontal="left" vertical="center" indent="1"/>
    </xf>
    <xf numFmtId="0" fontId="25" fillId="55" borderId="27" applyNumberFormat="0" applyProtection="0">
      <alignment horizontal="left" vertical="center" indent="1"/>
    </xf>
    <xf numFmtId="4" fontId="61" fillId="66" borderId="27" applyNumberFormat="0" applyProtection="0">
      <alignment horizontal="left" vertical="center" indent="1"/>
    </xf>
    <xf numFmtId="4" fontId="61" fillId="68" borderId="27" applyNumberFormat="0" applyProtection="0">
      <alignment horizontal="left" vertical="center" indent="1"/>
    </xf>
    <xf numFmtId="0" fontId="25" fillId="68" borderId="27" applyNumberFormat="0" applyProtection="0">
      <alignment horizontal="left" vertical="center" indent="1"/>
    </xf>
    <xf numFmtId="0" fontId="25" fillId="68" borderId="27" applyNumberFormat="0" applyProtection="0">
      <alignment horizontal="left" vertical="center" indent="1"/>
    </xf>
    <xf numFmtId="0" fontId="25" fillId="69" borderId="27" applyNumberFormat="0" applyProtection="0">
      <alignment horizontal="left" vertical="center" indent="1"/>
    </xf>
    <xf numFmtId="0" fontId="25" fillId="69" borderId="27" applyNumberFormat="0" applyProtection="0">
      <alignment horizontal="left" vertical="center" indent="1"/>
    </xf>
    <xf numFmtId="0" fontId="25" fillId="49" borderId="27" applyNumberFormat="0" applyProtection="0">
      <alignment horizontal="left" vertical="center" indent="1"/>
    </xf>
    <xf numFmtId="0" fontId="25" fillId="49" borderId="27" applyNumberFormat="0" applyProtection="0">
      <alignment horizontal="left" vertical="center" indent="1"/>
    </xf>
    <xf numFmtId="0" fontId="25" fillId="55" borderId="27" applyNumberFormat="0" applyProtection="0">
      <alignment horizontal="left" vertical="center" indent="1"/>
    </xf>
    <xf numFmtId="0" fontId="25" fillId="55" borderId="27" applyNumberFormat="0" applyProtection="0">
      <alignment horizontal="left" vertical="center" indent="1"/>
    </xf>
    <xf numFmtId="4" fontId="61" fillId="70" borderId="27" applyNumberFormat="0" applyProtection="0">
      <alignment vertical="center"/>
    </xf>
    <xf numFmtId="4" fontId="62" fillId="70" borderId="27" applyNumberFormat="0" applyProtection="0">
      <alignment vertical="center"/>
    </xf>
    <xf numFmtId="4" fontId="61" fillId="70" borderId="27" applyNumberFormat="0" applyProtection="0">
      <alignment horizontal="left" vertical="center" indent="1"/>
    </xf>
    <xf numFmtId="4" fontId="61" fillId="70" borderId="27" applyNumberFormat="0" applyProtection="0">
      <alignment horizontal="left" vertical="center" indent="1"/>
    </xf>
    <xf numFmtId="4" fontId="61" fillId="66" borderId="27" applyNumberFormat="0" applyProtection="0">
      <alignment horizontal="right" vertical="center"/>
    </xf>
    <xf numFmtId="4" fontId="62" fillId="66" borderId="27" applyNumberFormat="0" applyProtection="0">
      <alignment horizontal="right" vertical="center"/>
    </xf>
    <xf numFmtId="0" fontId="25" fillId="55" borderId="27" applyNumberFormat="0" applyProtection="0">
      <alignment horizontal="left" vertical="center" indent="1"/>
    </xf>
    <xf numFmtId="0" fontId="25" fillId="55" borderId="27" applyNumberFormat="0" applyProtection="0">
      <alignment horizontal="left" vertical="center" indent="1"/>
    </xf>
    <xf numFmtId="0" fontId="65" fillId="0" borderId="0"/>
    <xf numFmtId="4" fontId="28" fillId="66" borderId="27" applyNumberFormat="0" applyProtection="0">
      <alignment horizontal="right" vertical="center"/>
    </xf>
    <xf numFmtId="39" fontId="25" fillId="71" borderId="0"/>
    <xf numFmtId="39" fontId="25" fillId="71" borderId="0"/>
    <xf numFmtId="39" fontId="25" fillId="71" borderId="0"/>
    <xf numFmtId="39" fontId="20" fillId="71" borderId="0"/>
    <xf numFmtId="38" fontId="26" fillId="0" borderId="29"/>
    <xf numFmtId="38" fontId="26" fillId="0" borderId="29"/>
    <xf numFmtId="38" fontId="26" fillId="0" borderId="29"/>
    <xf numFmtId="38" fontId="26" fillId="0" borderId="29"/>
    <xf numFmtId="38" fontId="26" fillId="0" borderId="29"/>
    <xf numFmtId="38" fontId="47" fillId="0" borderId="26"/>
    <xf numFmtId="38" fontId="47" fillId="0" borderId="26"/>
    <xf numFmtId="38" fontId="47" fillId="0" borderId="26"/>
    <xf numFmtId="39" fontId="33" fillId="72" borderId="0"/>
    <xf numFmtId="164" fontId="25" fillId="0" borderId="0">
      <alignment horizontal="left" wrapText="1"/>
    </xf>
    <xf numFmtId="168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40" fontId="66" fillId="0" borderId="0" applyBorder="0">
      <alignment horizontal="right"/>
    </xf>
    <xf numFmtId="41" fontId="59" fillId="33" borderId="0">
      <alignment horizontal="left"/>
    </xf>
    <xf numFmtId="0" fontId="25" fillId="0" borderId="0" applyNumberFormat="0" applyBorder="0" applyAlignment="0"/>
    <xf numFmtId="0" fontId="3" fillId="0" borderId="0" applyNumberFormat="0" applyFill="0" applyBorder="0" applyAlignment="0" applyProtection="0"/>
    <xf numFmtId="0" fontId="36" fillId="0" borderId="0"/>
    <xf numFmtId="0" fontId="56" fillId="53" borderId="0"/>
    <xf numFmtId="183" fontId="67" fillId="33" borderId="0">
      <alignment horizontal="left" vertical="center"/>
    </xf>
    <xf numFmtId="183" fontId="68" fillId="0" borderId="0">
      <alignment horizontal="left" vertical="center"/>
    </xf>
    <xf numFmtId="183" fontId="68" fillId="0" borderId="0">
      <alignment horizontal="left" vertical="center"/>
    </xf>
    <xf numFmtId="0" fontId="21" fillId="33" borderId="0">
      <alignment horizontal="left" wrapText="1"/>
    </xf>
    <xf numFmtId="0" fontId="21" fillId="33" borderId="0">
      <alignment horizontal="left" wrapText="1"/>
    </xf>
    <xf numFmtId="0" fontId="17" fillId="0" borderId="9" applyNumberFormat="0" applyFill="0" applyAlignment="0" applyProtection="0"/>
    <xf numFmtId="0" fontId="69" fillId="0" borderId="30" applyNumberFormat="0" applyFill="0" applyAlignment="0" applyProtection="0"/>
    <xf numFmtId="0" fontId="37" fillId="0" borderId="31"/>
    <xf numFmtId="0" fontId="38" fillId="0" borderId="31"/>
    <xf numFmtId="0" fontId="38" fillId="0" borderId="31"/>
    <xf numFmtId="0" fontId="15" fillId="0" borderId="0" applyNumberFormat="0" applyFill="0" applyBorder="0" applyAlignment="0" applyProtection="0"/>
    <xf numFmtId="0" fontId="1" fillId="0" borderId="0"/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164" fontId="25" fillId="0" borderId="0">
      <alignment horizontal="left" wrapText="1"/>
    </xf>
    <xf numFmtId="0" fontId="1" fillId="0" borderId="0"/>
    <xf numFmtId="0" fontId="2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0" borderId="0"/>
    <xf numFmtId="0" fontId="77" fillId="0" borderId="0"/>
    <xf numFmtId="9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44" fontId="77" fillId="0" borderId="0" applyFont="0" applyFill="0" applyBorder="0" applyAlignment="0" applyProtection="0"/>
    <xf numFmtId="41" fontId="24" fillId="34" borderId="10">
      <alignment horizontal="left"/>
      <protection locked="0"/>
    </xf>
  </cellStyleXfs>
  <cellXfs count="402">
    <xf numFmtId="164" fontId="0" fillId="0" borderId="0" xfId="0">
      <alignment horizontal="left" wrapText="1"/>
    </xf>
    <xf numFmtId="0" fontId="19" fillId="0" borderId="0" xfId="6">
      <alignment horizontal="left" vertical="center"/>
    </xf>
    <xf numFmtId="0" fontId="0" fillId="33" borderId="0" xfId="0" applyNumberFormat="1" applyFill="1" applyAlignment="1"/>
    <xf numFmtId="0" fontId="22" fillId="0" borderId="0" xfId="7" applyFont="1" applyFill="1" applyAlignment="1">
      <alignment horizontal="left"/>
    </xf>
    <xf numFmtId="0" fontId="21" fillId="0" borderId="0" xfId="7" applyFont="1" applyFill="1" applyAlignment="1">
      <alignment horizontal="left"/>
    </xf>
    <xf numFmtId="0" fontId="21" fillId="33" borderId="0" xfId="7" applyAlignment="1">
      <alignment horizontal="center" wrapText="1"/>
    </xf>
    <xf numFmtId="41" fontId="21" fillId="33" borderId="0" xfId="7" applyNumberFormat="1" applyAlignment="1">
      <alignment horizontal="center" wrapText="1"/>
    </xf>
    <xf numFmtId="0" fontId="21" fillId="33" borderId="0" xfId="7" applyFont="1">
      <alignment horizontal="left" wrapText="1"/>
    </xf>
    <xf numFmtId="0" fontId="21" fillId="33" borderId="0" xfId="7" applyFont="1" applyAlignment="1">
      <alignment horizontal="centerContinuous"/>
    </xf>
    <xf numFmtId="0" fontId="21" fillId="33" borderId="0" xfId="7" applyAlignment="1">
      <alignment horizontal="centerContinuous" wrapText="1"/>
    </xf>
    <xf numFmtId="41" fontId="23" fillId="35" borderId="10" xfId="8" applyFill="1">
      <alignment horizontal="left"/>
      <protection locked="0"/>
    </xf>
    <xf numFmtId="41" fontId="23" fillId="34" borderId="10" xfId="8" applyFont="1" applyFill="1">
      <alignment horizontal="left"/>
      <protection locked="0"/>
    </xf>
    <xf numFmtId="10" fontId="20" fillId="0" borderId="10" xfId="3"/>
    <xf numFmtId="41" fontId="20" fillId="33" borderId="0" xfId="5"/>
    <xf numFmtId="41" fontId="0" fillId="33" borderId="0" xfId="0" quotePrefix="1" applyNumberFormat="1" applyFill="1" applyAlignment="1">
      <alignment horizontal="left"/>
    </xf>
    <xf numFmtId="41" fontId="23" fillId="34" borderId="10" xfId="9" applyFont="1" applyFill="1">
      <alignment horizontal="left"/>
      <protection locked="0"/>
    </xf>
    <xf numFmtId="41" fontId="23" fillId="34" borderId="10" xfId="8" applyFont="1">
      <alignment horizontal="left"/>
      <protection locked="0"/>
    </xf>
    <xf numFmtId="41" fontId="23" fillId="35" borderId="10" xfId="8" applyFont="1" applyFill="1">
      <alignment horizontal="left"/>
      <protection locked="0"/>
    </xf>
    <xf numFmtId="41" fontId="25" fillId="34" borderId="10" xfId="9" applyFont="1" applyFill="1">
      <alignment horizontal="left"/>
      <protection locked="0"/>
    </xf>
    <xf numFmtId="41" fontId="23" fillId="34" borderId="10" xfId="9" applyFont="1">
      <alignment horizontal="left"/>
      <protection locked="0"/>
    </xf>
    <xf numFmtId="41" fontId="20" fillId="0" borderId="0" xfId="5" applyFill="1"/>
    <xf numFmtId="41" fontId="0" fillId="33" borderId="0" xfId="0" applyNumberFormat="1" applyFill="1" applyAlignment="1"/>
    <xf numFmtId="41" fontId="23" fillId="34" borderId="10" xfId="8">
      <alignment horizontal="left"/>
      <protection locked="0"/>
    </xf>
    <xf numFmtId="41" fontId="23" fillId="34" borderId="10" xfId="9" applyNumberFormat="1" applyFont="1" applyFill="1">
      <alignment horizontal="left"/>
      <protection locked="0"/>
    </xf>
    <xf numFmtId="41" fontId="23" fillId="34" borderId="10" xfId="8" applyFill="1">
      <alignment horizontal="left"/>
      <protection locked="0"/>
    </xf>
    <xf numFmtId="41" fontId="25" fillId="34" borderId="10" xfId="8" applyFont="1">
      <alignment horizontal="left"/>
      <protection locked="0"/>
    </xf>
    <xf numFmtId="41" fontId="0" fillId="0" borderId="0" xfId="0" applyNumberFormat="1" applyFill="1" applyAlignment="1"/>
    <xf numFmtId="41" fontId="20" fillId="0" borderId="0" xfId="5" applyFont="1" applyFill="1"/>
    <xf numFmtId="41" fontId="23" fillId="0" borderId="10" xfId="8" applyFont="1" applyFill="1">
      <alignment horizontal="left"/>
      <protection locked="0"/>
    </xf>
    <xf numFmtId="41" fontId="23" fillId="0" borderId="10" xfId="8" applyFill="1">
      <alignment horizontal="left"/>
      <protection locked="0"/>
    </xf>
    <xf numFmtId="0" fontId="23" fillId="33" borderId="0" xfId="0" applyNumberFormat="1" applyFont="1" applyFill="1" applyAlignment="1"/>
    <xf numFmtId="5" fontId="26" fillId="0" borderId="0" xfId="4" applyNumberFormat="1" applyFill="1" applyAlignment="1">
      <alignment horizontal="centerContinuous"/>
    </xf>
    <xf numFmtId="0" fontId="0" fillId="0" borderId="0" xfId="0" applyNumberFormat="1" applyFill="1" applyAlignment="1">
      <alignment horizontal="centerContinuous"/>
    </xf>
    <xf numFmtId="0" fontId="0" fillId="33" borderId="0" xfId="0" applyNumberFormat="1" applyFill="1" applyAlignment="1">
      <alignment horizontal="centerContinuous"/>
    </xf>
    <xf numFmtId="10" fontId="0" fillId="33" borderId="0" xfId="0" applyNumberFormat="1" applyFill="1" applyAlignment="1"/>
    <xf numFmtId="41" fontId="27" fillId="34" borderId="10" xfId="8" applyFont="1">
      <alignment horizontal="left"/>
      <protection locked="0"/>
    </xf>
    <xf numFmtId="41" fontId="23" fillId="34" borderId="10" xfId="8" quotePrefix="1" applyFont="1" applyFill="1" applyAlignment="1">
      <alignment horizontal="left"/>
      <protection locked="0"/>
    </xf>
    <xf numFmtId="41" fontId="28" fillId="34" borderId="10" xfId="9" applyFont="1">
      <alignment horizontal="left"/>
      <protection locked="0"/>
    </xf>
    <xf numFmtId="166" fontId="20" fillId="33" borderId="0" xfId="5" applyNumberFormat="1"/>
    <xf numFmtId="166" fontId="23" fillId="34" borderId="10" xfId="9" applyNumberFormat="1" applyFont="1" applyFill="1">
      <alignment horizontal="left"/>
      <protection locked="0"/>
    </xf>
    <xf numFmtId="41" fontId="25" fillId="34" borderId="10" xfId="9" applyFont="1">
      <alignment horizontal="left"/>
      <protection locked="0"/>
    </xf>
    <xf numFmtId="166" fontId="23" fillId="34" borderId="10" xfId="8" applyNumberFormat="1" applyFill="1">
      <alignment horizontal="left"/>
      <protection locked="0"/>
    </xf>
    <xf numFmtId="167" fontId="23" fillId="35" borderId="10" xfId="1" applyNumberFormat="1" applyFont="1" applyFill="1" applyBorder="1" applyAlignment="1" applyProtection="1">
      <alignment horizontal="left"/>
      <protection locked="0"/>
    </xf>
    <xf numFmtId="0" fontId="21" fillId="0" borderId="0" xfId="7" applyFont="1" applyFill="1" applyAlignment="1">
      <alignment horizontal="centerContinuous"/>
    </xf>
    <xf numFmtId="5" fontId="26" fillId="33" borderId="0" xfId="4" applyNumberFormat="1" applyFill="1" applyAlignment="1">
      <alignment horizontal="centerContinuous"/>
    </xf>
    <xf numFmtId="41" fontId="20" fillId="33" borderId="0" xfId="5" applyNumberFormat="1"/>
    <xf numFmtId="167" fontId="23" fillId="34" borderId="10" xfId="1" applyNumberFormat="1" applyFont="1" applyFill="1" applyBorder="1" applyAlignment="1" applyProtection="1">
      <alignment horizontal="left"/>
      <protection locked="0"/>
    </xf>
    <xf numFmtId="166" fontId="23" fillId="34" borderId="10" xfId="9" applyNumberFormat="1" applyFont="1">
      <alignment horizontal="left"/>
      <protection locked="0"/>
    </xf>
    <xf numFmtId="43" fontId="0" fillId="33" borderId="0" xfId="0" applyNumberFormat="1" applyFill="1" applyAlignment="1"/>
    <xf numFmtId="166" fontId="25" fillId="34" borderId="10" xfId="9" applyNumberFormat="1" applyFont="1" applyFill="1">
      <alignment horizontal="left"/>
      <protection locked="0"/>
    </xf>
    <xf numFmtId="166" fontId="25" fillId="34" borderId="10" xfId="9" applyNumberFormat="1" applyFont="1">
      <alignment horizontal="left"/>
      <protection locked="0"/>
    </xf>
    <xf numFmtId="0" fontId="21" fillId="0" borderId="0" xfId="636" applyFont="1"/>
    <xf numFmtId="3" fontId="70" fillId="0" borderId="0" xfId="636" applyNumberFormat="1" applyFont="1"/>
    <xf numFmtId="0" fontId="70" fillId="0" borderId="0" xfId="636" applyFont="1"/>
    <xf numFmtId="0" fontId="25" fillId="0" borderId="0" xfId="440"/>
    <xf numFmtId="167" fontId="0" fillId="0" borderId="0" xfId="283" applyNumberFormat="1" applyFont="1"/>
    <xf numFmtId="167" fontId="25" fillId="0" borderId="0" xfId="283" applyNumberFormat="1"/>
    <xf numFmtId="164" fontId="25" fillId="0" borderId="0" xfId="0" applyFont="1" applyAlignment="1"/>
    <xf numFmtId="164" fontId="0" fillId="0" borderId="0" xfId="0" applyAlignment="1"/>
    <xf numFmtId="164" fontId="25" fillId="0" borderId="25" xfId="0" applyFont="1" applyBorder="1" applyAlignment="1">
      <alignment horizontal="center"/>
    </xf>
    <xf numFmtId="164" fontId="25" fillId="0" borderId="13" xfId="0" applyFont="1" applyBorder="1" applyAlignment="1">
      <alignment horizontal="center"/>
    </xf>
    <xf numFmtId="164" fontId="25" fillId="0" borderId="13" xfId="0" applyFont="1" applyBorder="1" applyAlignment="1">
      <alignment horizontal="center" wrapText="1"/>
    </xf>
    <xf numFmtId="164" fontId="25" fillId="0" borderId="32" xfId="0" applyFont="1" applyBorder="1" applyAlignment="1">
      <alignment horizontal="center"/>
    </xf>
    <xf numFmtId="164" fontId="25" fillId="0" borderId="33" xfId="0" applyFont="1" applyBorder="1" applyAlignment="1">
      <alignment horizontal="center"/>
    </xf>
    <xf numFmtId="164" fontId="26" fillId="0" borderId="0" xfId="0" applyFont="1" applyAlignment="1"/>
    <xf numFmtId="184" fontId="0" fillId="0" borderId="0" xfId="338" applyNumberFormat="1" applyFont="1"/>
    <xf numFmtId="185" fontId="0" fillId="0" borderId="0" xfId="489" applyNumberFormat="1" applyFont="1"/>
    <xf numFmtId="185" fontId="0" fillId="0" borderId="0" xfId="489" applyNumberFormat="1" applyFont="1" applyBorder="1"/>
    <xf numFmtId="184" fontId="0" fillId="0" borderId="25" xfId="338" applyNumberFormat="1" applyFont="1" applyBorder="1"/>
    <xf numFmtId="185" fontId="0" fillId="0" borderId="25" xfId="489" applyNumberFormat="1" applyFont="1" applyBorder="1"/>
    <xf numFmtId="9" fontId="0" fillId="0" borderId="0" xfId="489" applyFont="1"/>
    <xf numFmtId="164" fontId="25" fillId="0" borderId="0" xfId="0" applyFont="1" applyFill="1" applyAlignment="1"/>
    <xf numFmtId="164" fontId="0" fillId="0" borderId="25" xfId="0" applyBorder="1" applyAlignment="1"/>
    <xf numFmtId="184" fontId="0" fillId="0" borderId="0" xfId="0" applyNumberFormat="1" applyAlignment="1"/>
    <xf numFmtId="184" fontId="0" fillId="0" borderId="26" xfId="0" applyNumberFormat="1" applyBorder="1" applyAlignment="1"/>
    <xf numFmtId="164" fontId="0" fillId="0" borderId="0" xfId="0" applyAlignment="1">
      <alignment horizontal="left" vertical="top"/>
    </xf>
    <xf numFmtId="186" fontId="0" fillId="0" borderId="0" xfId="0" applyNumberFormat="1" applyBorder="1" applyAlignment="1">
      <alignment horizontal="right" vertical="top"/>
    </xf>
    <xf numFmtId="187" fontId="0" fillId="0" borderId="0" xfId="0" applyNumberFormat="1" applyAlignment="1"/>
    <xf numFmtId="4" fontId="0" fillId="0" borderId="0" xfId="0" applyNumberFormat="1" applyAlignment="1"/>
    <xf numFmtId="44" fontId="0" fillId="0" borderId="0" xfId="0" applyNumberFormat="1" applyAlignment="1"/>
    <xf numFmtId="164" fontId="25" fillId="0" borderId="0" xfId="0" applyFont="1" applyFill="1" applyAlignment="1">
      <alignment horizontal="left"/>
    </xf>
    <xf numFmtId="44" fontId="0" fillId="0" borderId="0" xfId="2" applyFont="1"/>
    <xf numFmtId="10" fontId="0" fillId="0" borderId="10" xfId="3" applyFont="1"/>
    <xf numFmtId="164" fontId="25" fillId="0" borderId="0" xfId="0" applyFont="1" applyFill="1" applyBorder="1" applyAlignment="1">
      <alignment horizontal="left"/>
    </xf>
    <xf numFmtId="164" fontId="25" fillId="0" borderId="0" xfId="0" applyFont="1" applyAlignment="1">
      <alignment horizontal="left"/>
    </xf>
    <xf numFmtId="164" fontId="0" fillId="0" borderId="0" xfId="0" applyAlignment="1">
      <alignment horizontal="left"/>
    </xf>
    <xf numFmtId="10" fontId="0" fillId="0" borderId="10" xfId="3" applyNumberFormat="1" applyFont="1"/>
    <xf numFmtId="164" fontId="0" fillId="0" borderId="0" xfId="0" pivotButton="1" applyAlignment="1"/>
    <xf numFmtId="164" fontId="0" fillId="0" borderId="0" xfId="0" applyBorder="1" applyAlignment="1">
      <alignment horizontal="left"/>
    </xf>
    <xf numFmtId="164" fontId="0" fillId="0" borderId="0" xfId="0" applyFill="1" applyAlignment="1"/>
    <xf numFmtId="42" fontId="0" fillId="0" borderId="0" xfId="0" applyNumberFormat="1" applyAlignment="1"/>
    <xf numFmtId="164" fontId="0" fillId="0" borderId="0" xfId="0" applyBorder="1" applyAlignment="1">
      <alignment horizontal="center"/>
    </xf>
    <xf numFmtId="164" fontId="0" fillId="0" borderId="0" xfId="0" applyBorder="1" applyAlignment="1"/>
    <xf numFmtId="164" fontId="25" fillId="0" borderId="0" xfId="0" applyFont="1" applyBorder="1" applyAlignment="1">
      <alignment horizontal="center"/>
    </xf>
    <xf numFmtId="164" fontId="0" fillId="0" borderId="25" xfId="0" applyBorder="1" applyAlignment="1">
      <alignment horizontal="center"/>
    </xf>
    <xf numFmtId="164" fontId="0" fillId="0" borderId="0" xfId="0" applyBorder="1" applyAlignment="1">
      <alignment horizontal="right"/>
    </xf>
    <xf numFmtId="164" fontId="0" fillId="0" borderId="0" xfId="0" applyFill="1" applyBorder="1" applyAlignment="1">
      <alignment horizontal="left"/>
    </xf>
    <xf numFmtId="164" fontId="0" fillId="0" borderId="38" xfId="0" applyBorder="1" applyAlignment="1"/>
    <xf numFmtId="0" fontId="25" fillId="0" borderId="0" xfId="440" applyAlignment="1">
      <alignment horizontal="center"/>
    </xf>
    <xf numFmtId="184" fontId="25" fillId="0" borderId="0" xfId="440" applyNumberFormat="1"/>
    <xf numFmtId="184" fontId="71" fillId="0" borderId="0" xfId="338" applyNumberFormat="1" applyFont="1"/>
    <xf numFmtId="184" fontId="0" fillId="0" borderId="34" xfId="338" applyNumberFormat="1" applyFont="1" applyFill="1" applyBorder="1"/>
    <xf numFmtId="184" fontId="0" fillId="0" borderId="34" xfId="338" applyNumberFormat="1" applyFont="1" applyBorder="1"/>
    <xf numFmtId="0" fontId="25" fillId="0" borderId="25" xfId="440" applyFont="1" applyBorder="1" applyAlignment="1">
      <alignment horizontal="center"/>
    </xf>
    <xf numFmtId="167" fontId="23" fillId="0" borderId="0" xfId="283" applyNumberFormat="1" applyFont="1" applyBorder="1"/>
    <xf numFmtId="44" fontId="0" fillId="0" borderId="0" xfId="338" applyFont="1"/>
    <xf numFmtId="2" fontId="25" fillId="0" borderId="0" xfId="440" applyNumberFormat="1"/>
    <xf numFmtId="167" fontId="25" fillId="0" borderId="0" xfId="440" applyNumberFormat="1"/>
    <xf numFmtId="167" fontId="23" fillId="0" borderId="0" xfId="283" applyNumberFormat="1" applyFont="1"/>
    <xf numFmtId="3" fontId="0" fillId="0" borderId="25" xfId="0" quotePrefix="1" applyNumberFormat="1" applyBorder="1" applyAlignment="1">
      <alignment horizontal="center" wrapText="1"/>
    </xf>
    <xf numFmtId="188" fontId="0" fillId="0" borderId="25" xfId="0" applyNumberFormat="1" applyBorder="1" applyAlignment="1">
      <alignment horizontal="center" wrapText="1"/>
    </xf>
    <xf numFmtId="3" fontId="21" fillId="0" borderId="0" xfId="0" applyNumberFormat="1" applyFont="1" applyFill="1" applyBorder="1" applyAlignment="1">
      <alignment horizontal="left" wrapText="1"/>
    </xf>
    <xf numFmtId="3" fontId="0" fillId="0" borderId="0" xfId="0" quotePrefix="1" applyNumberFormat="1" applyBorder="1" applyAlignment="1">
      <alignment horizontal="center" wrapText="1"/>
    </xf>
    <xf numFmtId="3" fontId="71" fillId="0" borderId="0" xfId="0" applyNumberFormat="1" applyFont="1" applyBorder="1" applyAlignment="1">
      <alignment horizontal="right" wrapText="1"/>
    </xf>
    <xf numFmtId="3" fontId="0" fillId="0" borderId="0" xfId="0" applyNumberFormat="1" applyBorder="1" applyAlignment="1"/>
    <xf numFmtId="188" fontId="0" fillId="0" borderId="0" xfId="0" applyNumberFormat="1" applyBorder="1" applyAlignment="1">
      <alignment wrapText="1"/>
    </xf>
    <xf numFmtId="189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188" fontId="21" fillId="0" borderId="0" xfId="0" applyNumberFormat="1" applyFont="1" applyFill="1" applyBorder="1" applyAlignment="1">
      <alignment horizontal="left" wrapText="1"/>
    </xf>
    <xf numFmtId="164" fontId="0" fillId="0" borderId="0" xfId="0" applyNumberFormat="1" applyBorder="1" applyAlignment="1"/>
    <xf numFmtId="188" fontId="0" fillId="0" borderId="0" xfId="0" applyNumberFormat="1" applyBorder="1" applyAlignment="1"/>
    <xf numFmtId="190" fontId="0" fillId="0" borderId="0" xfId="0" applyNumberFormat="1" applyBorder="1" applyAlignment="1"/>
    <xf numFmtId="188" fontId="0" fillId="0" borderId="0" xfId="0" applyNumberFormat="1" applyFill="1" applyBorder="1" applyAlignment="1">
      <alignment wrapText="1"/>
    </xf>
    <xf numFmtId="164" fontId="60" fillId="0" borderId="0" xfId="0" applyFont="1" applyFill="1" applyBorder="1" applyAlignment="1">
      <alignment horizontal="left" wrapText="1"/>
    </xf>
    <xf numFmtId="164" fontId="59" fillId="0" borderId="0" xfId="0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/>
    </xf>
    <xf numFmtId="164" fontId="60" fillId="0" borderId="0" xfId="0" applyFont="1" applyFill="1" applyBorder="1" applyAlignment="1">
      <alignment horizontal="left" wrapText="1" shrinkToFit="1"/>
    </xf>
    <xf numFmtId="164" fontId="59" fillId="0" borderId="0" xfId="0" applyFont="1" applyFill="1" applyBorder="1" applyAlignment="1">
      <alignment horizontal="center" wrapText="1" shrinkToFit="1"/>
    </xf>
    <xf numFmtId="164" fontId="0" fillId="0" borderId="0" xfId="0" applyFill="1" applyBorder="1" applyAlignment="1">
      <alignment wrapText="1"/>
    </xf>
    <xf numFmtId="164" fontId="0" fillId="0" borderId="0" xfId="0" applyFill="1" applyBorder="1" applyAlignment="1">
      <alignment horizontal="right" wrapText="1"/>
    </xf>
    <xf numFmtId="164" fontId="0" fillId="0" borderId="0" xfId="0" applyBorder="1" applyAlignment="1">
      <alignment horizontal="right" wrapText="1"/>
    </xf>
    <xf numFmtId="164" fontId="60" fillId="0" borderId="0" xfId="0" applyFont="1" applyFill="1" applyBorder="1" applyAlignment="1">
      <alignment horizontal="left"/>
    </xf>
    <xf numFmtId="164" fontId="59" fillId="0" borderId="0" xfId="0" applyFont="1" applyBorder="1" applyAlignment="1">
      <alignment horizontal="center" wrapText="1" shrinkToFit="1"/>
    </xf>
    <xf numFmtId="164" fontId="21" fillId="0" borderId="0" xfId="0" applyFont="1" applyFill="1" applyBorder="1" applyAlignment="1">
      <alignment horizontal="left" wrapText="1"/>
    </xf>
    <xf numFmtId="164" fontId="25" fillId="0" borderId="0" xfId="0" applyFont="1" applyFill="1" applyBorder="1" applyAlignment="1"/>
    <xf numFmtId="164" fontId="23" fillId="0" borderId="0" xfId="0" applyFont="1" applyFill="1" applyBorder="1" applyAlignment="1"/>
    <xf numFmtId="164" fontId="21" fillId="0" borderId="0" xfId="0" applyFont="1" applyAlignment="1"/>
    <xf numFmtId="164" fontId="21" fillId="0" borderId="33" xfId="0" applyFont="1" applyBorder="1" applyAlignment="1"/>
    <xf numFmtId="164" fontId="21" fillId="0" borderId="13" xfId="0" applyFont="1" applyBorder="1" applyAlignment="1">
      <alignment horizontal="center"/>
    </xf>
    <xf numFmtId="164" fontId="21" fillId="0" borderId="40" xfId="0" applyFont="1" applyBorder="1" applyAlignment="1">
      <alignment horizontal="center"/>
    </xf>
    <xf numFmtId="164" fontId="21" fillId="0" borderId="35" xfId="0" applyFont="1" applyBorder="1" applyAlignment="1"/>
    <xf numFmtId="3" fontId="71" fillId="0" borderId="26" xfId="0" applyNumberFormat="1" applyFont="1" applyBorder="1" applyAlignment="1">
      <alignment horizontal="right"/>
    </xf>
    <xf numFmtId="164" fontId="0" fillId="0" borderId="37" xfId="0" applyBorder="1" applyAlignment="1">
      <alignment horizontal="right"/>
    </xf>
    <xf numFmtId="164" fontId="0" fillId="0" borderId="32" xfId="0" applyBorder="1" applyAlignment="1">
      <alignment horizontal="right"/>
    </xf>
    <xf numFmtId="9" fontId="0" fillId="0" borderId="25" xfId="489" applyNumberFormat="1" applyFont="1" applyBorder="1" applyAlignment="1">
      <alignment horizontal="right"/>
    </xf>
    <xf numFmtId="9" fontId="0" fillId="0" borderId="25" xfId="0" applyNumberFormat="1" applyBorder="1" applyAlignment="1">
      <alignment horizontal="right"/>
    </xf>
    <xf numFmtId="9" fontId="0" fillId="0" borderId="39" xfId="0" applyNumberFormat="1" applyBorder="1" applyAlignment="1">
      <alignment horizontal="right"/>
    </xf>
    <xf numFmtId="165" fontId="0" fillId="0" borderId="0" xfId="489" applyNumberFormat="1" applyFon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4" fontId="0" fillId="0" borderId="0" xfId="0" applyAlignment="1">
      <alignment horizontal="right"/>
    </xf>
    <xf numFmtId="165" fontId="0" fillId="0" borderId="0" xfId="489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3" fontId="0" fillId="0" borderId="36" xfId="0" applyNumberFormat="1" applyBorder="1" applyAlignment="1">
      <alignment horizontal="right"/>
    </xf>
    <xf numFmtId="164" fontId="0" fillId="0" borderId="0" xfId="0" applyBorder="1" applyAlignment="1">
      <alignment horizontal="center" wrapText="1"/>
    </xf>
    <xf numFmtId="167" fontId="0" fillId="0" borderId="0" xfId="0" applyNumberFormat="1" applyAlignment="1"/>
    <xf numFmtId="10" fontId="25" fillId="0" borderId="0" xfId="489" applyNumberFormat="1"/>
    <xf numFmtId="167" fontId="23" fillId="0" borderId="0" xfId="9" applyNumberFormat="1" applyFont="1" applyFill="1" applyBorder="1">
      <alignment horizontal="left"/>
      <protection locked="0"/>
    </xf>
    <xf numFmtId="41" fontId="23" fillId="0" borderId="0" xfId="9" applyFont="1" applyFill="1" applyBorder="1">
      <alignment horizontal="left"/>
      <protection locked="0"/>
    </xf>
    <xf numFmtId="167" fontId="25" fillId="0" borderId="0" xfId="283" applyNumberFormat="1" applyBorder="1"/>
    <xf numFmtId="167" fontId="25" fillId="0" borderId="0" xfId="283" applyNumberFormat="1" applyFont="1" applyBorder="1"/>
    <xf numFmtId="15" fontId="0" fillId="0" borderId="0" xfId="0" applyNumberFormat="1" applyBorder="1" applyAlignment="1"/>
    <xf numFmtId="167" fontId="0" fillId="0" borderId="0" xfId="0" applyNumberFormat="1" applyBorder="1" applyAlignment="1"/>
    <xf numFmtId="0" fontId="25" fillId="0" borderId="0" xfId="283" applyNumberFormat="1" applyBorder="1" applyAlignment="1">
      <alignment horizontal="left"/>
    </xf>
    <xf numFmtId="164" fontId="0" fillId="0" borderId="0" xfId="0" applyAlignment="1" applyProtection="1"/>
    <xf numFmtId="164" fontId="0" fillId="0" borderId="0" xfId="0" applyFill="1" applyAlignment="1" applyProtection="1"/>
    <xf numFmtId="164" fontId="0" fillId="0" borderId="0" xfId="0" applyFill="1" applyBorder="1" applyAlignment="1"/>
    <xf numFmtId="184" fontId="0" fillId="0" borderId="0" xfId="657" applyNumberFormat="1" applyFont="1" applyFill="1"/>
    <xf numFmtId="184" fontId="71" fillId="0" borderId="0" xfId="657" applyNumberFormat="1" applyFont="1"/>
    <xf numFmtId="184" fontId="0" fillId="0" borderId="0" xfId="657" applyNumberFormat="1" applyFont="1"/>
    <xf numFmtId="167" fontId="0" fillId="0" borderId="0" xfId="283" applyNumberFormat="1" applyFont="1" applyBorder="1"/>
    <xf numFmtId="167" fontId="0" fillId="0" borderId="41" xfId="283" applyNumberFormat="1" applyFont="1" applyBorder="1"/>
    <xf numFmtId="184" fontId="0" fillId="0" borderId="41" xfId="338" applyNumberFormat="1" applyFont="1" applyBorder="1"/>
    <xf numFmtId="9" fontId="0" fillId="0" borderId="41" xfId="489" applyFont="1" applyBorder="1"/>
    <xf numFmtId="164" fontId="0" fillId="0" borderId="0" xfId="0" applyFill="1" applyBorder="1">
      <alignment horizontal="left" wrapText="1"/>
    </xf>
    <xf numFmtId="164" fontId="20" fillId="0" borderId="0" xfId="0" applyFont="1" applyFill="1" applyAlignment="1"/>
    <xf numFmtId="17" fontId="70" fillId="0" borderId="25" xfId="0" applyNumberFormat="1" applyFont="1" applyFill="1" applyBorder="1" applyAlignment="1">
      <alignment horizontal="center"/>
    </xf>
    <xf numFmtId="164" fontId="20" fillId="0" borderId="25" xfId="0" applyFont="1" applyFill="1" applyBorder="1" applyAlignment="1">
      <alignment horizontal="center"/>
    </xf>
    <xf numFmtId="3" fontId="20" fillId="0" borderId="41" xfId="0" applyNumberFormat="1" applyFont="1" applyFill="1" applyBorder="1" applyAlignment="1"/>
    <xf numFmtId="3" fontId="20" fillId="0" borderId="0" xfId="0" applyNumberFormat="1" applyFont="1" applyFill="1" applyAlignment="1"/>
    <xf numFmtId="44" fontId="25" fillId="0" borderId="0" xfId="2" applyFont="1" applyFill="1" applyBorder="1" applyAlignment="1"/>
    <xf numFmtId="164" fontId="0" fillId="0" borderId="13" xfId="0" applyBorder="1" applyAlignment="1">
      <alignment horizontal="center"/>
    </xf>
    <xf numFmtId="164" fontId="0" fillId="0" borderId="13" xfId="0" applyFill="1" applyBorder="1" applyAlignment="1">
      <alignment horizontal="center"/>
    </xf>
    <xf numFmtId="0" fontId="75" fillId="0" borderId="0" xfId="636" applyFont="1"/>
    <xf numFmtId="164" fontId="74" fillId="0" borderId="0" xfId="0" applyFont="1" applyFill="1" applyAlignment="1"/>
    <xf numFmtId="0" fontId="20" fillId="0" borderId="0" xfId="440" applyFont="1" applyFill="1" applyBorder="1" applyAlignment="1">
      <alignment horizontal="left"/>
    </xf>
    <xf numFmtId="187" fontId="0" fillId="0" borderId="41" xfId="0" applyNumberFormat="1" applyBorder="1" applyAlignment="1"/>
    <xf numFmtId="4" fontId="0" fillId="0" borderId="41" xfId="0" applyNumberFormat="1" applyBorder="1" applyAlignment="1"/>
    <xf numFmtId="164" fontId="76" fillId="0" borderId="0" xfId="0" applyFont="1" applyBorder="1" applyAlignment="1"/>
    <xf numFmtId="3" fontId="0" fillId="0" borderId="45" xfId="0" applyNumberFormat="1" applyBorder="1" applyAlignment="1">
      <alignment horizontal="center"/>
    </xf>
    <xf numFmtId="164" fontId="0" fillId="0" borderId="45" xfId="0" applyBorder="1" applyAlignment="1">
      <alignment horizontal="center"/>
    </xf>
    <xf numFmtId="10" fontId="0" fillId="0" borderId="0" xfId="0" applyNumberFormat="1" applyFont="1" applyBorder="1" applyAlignment="1">
      <alignment horizontal="right" wrapText="1"/>
    </xf>
    <xf numFmtId="0" fontId="20" fillId="0" borderId="0" xfId="656" applyAlignment="1">
      <alignment horizontal="centerContinuous"/>
    </xf>
    <xf numFmtId="0" fontId="20" fillId="0" borderId="0" xfId="656" applyBorder="1" applyAlignment="1">
      <alignment horizontal="left"/>
    </xf>
    <xf numFmtId="0" fontId="20" fillId="0" borderId="0" xfId="656" applyBorder="1" applyAlignment="1">
      <alignment horizontal="centerContinuous"/>
    </xf>
    <xf numFmtId="0" fontId="20" fillId="0" borderId="0" xfId="656"/>
    <xf numFmtId="0" fontId="20" fillId="0" borderId="0" xfId="656" applyFont="1"/>
    <xf numFmtId="0" fontId="21" fillId="0" borderId="0" xfId="656" applyFont="1" applyBorder="1" applyAlignment="1">
      <alignment horizontal="left"/>
    </xf>
    <xf numFmtId="0" fontId="21" fillId="0" borderId="0" xfId="656" applyFont="1" applyAlignment="1"/>
    <xf numFmtId="0" fontId="20" fillId="0" borderId="0" xfId="656" applyBorder="1"/>
    <xf numFmtId="0" fontId="20" fillId="0" borderId="0" xfId="656" applyFill="1"/>
    <xf numFmtId="0" fontId="20" fillId="0" borderId="0" xfId="656" applyFill="1" applyBorder="1" applyAlignment="1">
      <alignment horizontal="center"/>
    </xf>
    <xf numFmtId="0" fontId="20" fillId="0" borderId="0" xfId="656" applyFill="1" applyAlignment="1">
      <alignment horizontal="center"/>
    </xf>
    <xf numFmtId="0" fontId="20" fillId="0" borderId="0" xfId="656" applyBorder="1" applyAlignment="1">
      <alignment horizontal="center"/>
    </xf>
    <xf numFmtId="0" fontId="20" fillId="0" borderId="0" xfId="656" applyFont="1" applyBorder="1"/>
    <xf numFmtId="0" fontId="20" fillId="0" borderId="0" xfId="656" applyFont="1" applyBorder="1" applyAlignment="1">
      <alignment horizontal="center"/>
    </xf>
    <xf numFmtId="0" fontId="20" fillId="0" borderId="0" xfId="656" applyBorder="1" applyAlignment="1"/>
    <xf numFmtId="0" fontId="20" fillId="0" borderId="25" xfId="656" applyBorder="1" applyAlignment="1">
      <alignment horizontal="center"/>
    </xf>
    <xf numFmtId="0" fontId="20" fillId="0" borderId="25" xfId="656" applyFill="1" applyBorder="1" applyAlignment="1">
      <alignment horizontal="center"/>
    </xf>
    <xf numFmtId="0" fontId="20" fillId="0" borderId="0" xfId="656" applyFont="1" applyFill="1" applyAlignment="1">
      <alignment horizontal="left"/>
    </xf>
    <xf numFmtId="42" fontId="73" fillId="0" borderId="0" xfId="656" applyNumberFormat="1" applyFont="1" applyFill="1" applyAlignment="1">
      <alignment horizontal="left"/>
    </xf>
    <xf numFmtId="42" fontId="20" fillId="0" borderId="0" xfId="656" applyNumberFormat="1" applyFont="1" applyFill="1" applyAlignment="1">
      <alignment horizontal="left"/>
    </xf>
    <xf numFmtId="42" fontId="71" fillId="0" borderId="0" xfId="656" applyNumberFormat="1" applyFont="1" applyBorder="1" applyAlignment="1">
      <alignment horizontal="center"/>
    </xf>
    <xf numFmtId="37" fontId="20" fillId="0" borderId="0" xfId="656" applyNumberFormat="1" applyBorder="1"/>
    <xf numFmtId="0" fontId="20" fillId="0" borderId="0" xfId="656" applyAlignment="1">
      <alignment horizontal="center"/>
    </xf>
    <xf numFmtId="0" fontId="20" fillId="0" borderId="0" xfId="656" applyFont="1" applyFill="1" applyBorder="1" applyAlignment="1">
      <alignment horizontal="left"/>
    </xf>
    <xf numFmtId="41" fontId="71" fillId="0" borderId="0" xfId="656" applyNumberFormat="1" applyFont="1" applyBorder="1" applyAlignment="1">
      <alignment horizontal="center"/>
    </xf>
    <xf numFmtId="0" fontId="20" fillId="0" borderId="0" xfId="656" applyAlignment="1">
      <alignment horizontal="left"/>
    </xf>
    <xf numFmtId="0" fontId="20" fillId="0" borderId="0" xfId="656" applyFont="1" applyAlignment="1">
      <alignment horizontal="left"/>
    </xf>
    <xf numFmtId="42" fontId="20" fillId="0" borderId="0" xfId="656" applyNumberFormat="1" applyBorder="1"/>
    <xf numFmtId="0" fontId="20" fillId="0" borderId="0" xfId="656" applyFill="1" applyBorder="1"/>
    <xf numFmtId="42" fontId="20" fillId="0" borderId="0" xfId="656" applyNumberFormat="1"/>
    <xf numFmtId="42" fontId="20" fillId="0" borderId="0" xfId="656" applyNumberFormat="1" applyFill="1"/>
    <xf numFmtId="41" fontId="20" fillId="0" borderId="0" xfId="656" applyNumberFormat="1"/>
    <xf numFmtId="41" fontId="20" fillId="0" borderId="0" xfId="656" applyNumberFormat="1" applyBorder="1"/>
    <xf numFmtId="37" fontId="20" fillId="0" borderId="0" xfId="656" applyNumberFormat="1"/>
    <xf numFmtId="0" fontId="20" fillId="0" borderId="0" xfId="656" applyFont="1" applyBorder="1" applyAlignment="1">
      <alignment horizontal="left"/>
    </xf>
    <xf numFmtId="0" fontId="20" fillId="0" borderId="0" xfId="656" applyFill="1" applyBorder="1" applyAlignment="1">
      <alignment vertical="top"/>
    </xf>
    <xf numFmtId="0" fontId="20" fillId="0" borderId="0" xfId="656" applyFill="1" applyBorder="1" applyAlignment="1">
      <alignment vertical="top" wrapText="1"/>
    </xf>
    <xf numFmtId="42" fontId="27" fillId="0" borderId="0" xfId="656" applyNumberFormat="1" applyFont="1" applyFill="1" applyAlignment="1">
      <alignment horizontal="left"/>
    </xf>
    <xf numFmtId="42" fontId="20" fillId="0" borderId="41" xfId="656" applyNumberFormat="1" applyBorder="1" applyAlignment="1">
      <alignment horizontal="left"/>
    </xf>
    <xf numFmtId="164" fontId="20" fillId="0" borderId="0" xfId="0" applyFont="1" applyFill="1" applyAlignment="1">
      <alignment horizontal="center"/>
    </xf>
    <xf numFmtId="164" fontId="25" fillId="0" borderId="25" xfId="0" applyFont="1" applyBorder="1" applyAlignment="1">
      <alignment horizontal="center"/>
    </xf>
    <xf numFmtId="164" fontId="25" fillId="0" borderId="32" xfId="0" applyFont="1" applyBorder="1" applyAlignment="1">
      <alignment horizontal="center"/>
    </xf>
    <xf numFmtId="164" fontId="0" fillId="0" borderId="0" xfId="0" applyAlignment="1">
      <alignment horizontal="center"/>
    </xf>
    <xf numFmtId="164" fontId="0" fillId="0" borderId="0" xfId="0" applyBorder="1" applyAlignment="1">
      <alignment horizontal="center"/>
    </xf>
    <xf numFmtId="0" fontId="25" fillId="0" borderId="0" xfId="440" applyAlignment="1">
      <alignment horizontal="center"/>
    </xf>
    <xf numFmtId="0" fontId="25" fillId="0" borderId="0" xfId="440" applyFont="1" applyAlignment="1">
      <alignment horizontal="center"/>
    </xf>
    <xf numFmtId="0" fontId="75" fillId="0" borderId="0" xfId="656" applyFont="1" applyAlignment="1">
      <alignment horizontal="center"/>
    </xf>
    <xf numFmtId="164" fontId="20" fillId="0" borderId="0" xfId="0" applyFont="1" applyAlignment="1">
      <alignment horizontal="center"/>
    </xf>
    <xf numFmtId="191" fontId="20" fillId="0" borderId="10" xfId="3" applyNumberFormat="1"/>
    <xf numFmtId="164" fontId="20" fillId="0" borderId="0" xfId="0" applyFont="1" applyAlignment="1"/>
    <xf numFmtId="164" fontId="0" fillId="0" borderId="0" xfId="0" applyAlignment="1">
      <alignment horizontal="left" wrapText="1"/>
    </xf>
    <xf numFmtId="0" fontId="20" fillId="0" borderId="25" xfId="656" applyBorder="1" applyAlignment="1">
      <alignment horizontal="left"/>
    </xf>
    <xf numFmtId="0" fontId="20" fillId="0" borderId="0" xfId="656" quotePrefix="1" applyBorder="1" applyAlignment="1">
      <alignment horizontal="left" vertical="top"/>
    </xf>
    <xf numFmtId="3" fontId="20" fillId="0" borderId="25" xfId="0" applyNumberFormat="1" applyFont="1" applyBorder="1" applyAlignment="1">
      <alignment horizontal="center"/>
    </xf>
    <xf numFmtId="3" fontId="20" fillId="0" borderId="25" xfId="0" applyNumberFormat="1" applyFont="1" applyFill="1" applyBorder="1" applyAlignment="1">
      <alignment horizontal="center" wrapText="1"/>
    </xf>
    <xf numFmtId="188" fontId="20" fillId="0" borderId="25" xfId="0" applyNumberFormat="1" applyFont="1" applyBorder="1" applyAlignment="1">
      <alignment horizontal="center" wrapText="1"/>
    </xf>
    <xf numFmtId="164" fontId="20" fillId="0" borderId="25" xfId="0" applyFont="1" applyBorder="1" applyAlignment="1">
      <alignment horizontal="center" wrapText="1"/>
    </xf>
    <xf numFmtId="164" fontId="0" fillId="0" borderId="0" xfId="0" applyBorder="1" applyAlignment="1">
      <alignment wrapText="1"/>
    </xf>
    <xf numFmtId="3" fontId="20" fillId="0" borderId="0" xfId="0" applyNumberFormat="1" applyFont="1" applyBorder="1" applyAlignment="1">
      <alignment horizontal="center"/>
    </xf>
    <xf numFmtId="3" fontId="20" fillId="0" borderId="0" xfId="0" applyNumberFormat="1" applyFont="1" applyFill="1" applyBorder="1" applyAlignment="1">
      <alignment horizontal="center" wrapText="1"/>
    </xf>
    <xf numFmtId="3" fontId="20" fillId="0" borderId="0" xfId="0" applyNumberFormat="1" applyFont="1" applyFill="1" applyBorder="1" applyAlignment="1">
      <alignment horizontal="left"/>
    </xf>
    <xf numFmtId="10" fontId="0" fillId="0" borderId="0" xfId="0" applyNumberFormat="1" applyFont="1" applyBorder="1" applyAlignment="1"/>
    <xf numFmtId="188" fontId="20" fillId="0" borderId="0" xfId="0" applyNumberFormat="1" applyFont="1" applyFill="1" applyBorder="1" applyAlignment="1">
      <alignment horizontal="left" wrapText="1"/>
    </xf>
    <xf numFmtId="188" fontId="20" fillId="0" borderId="0" xfId="0" applyNumberFormat="1" applyFont="1" applyBorder="1" applyAlignment="1"/>
    <xf numFmtId="164" fontId="20" fillId="0" borderId="0" xfId="0" applyFont="1" applyFill="1" applyBorder="1" applyAlignment="1">
      <alignment horizontal="left" wrapText="1"/>
    </xf>
    <xf numFmtId="164" fontId="20" fillId="0" borderId="0" xfId="0" applyFont="1" applyBorder="1" applyAlignment="1"/>
    <xf numFmtId="3" fontId="27" fillId="0" borderId="0" xfId="0" applyNumberFormat="1" applyFont="1" applyBorder="1" applyAlignment="1"/>
    <xf numFmtId="3" fontId="20" fillId="0" borderId="0" xfId="0" applyNumberFormat="1" applyFont="1" applyBorder="1" applyAlignment="1"/>
    <xf numFmtId="164" fontId="27" fillId="0" borderId="0" xfId="0" applyFont="1" applyBorder="1" applyAlignment="1"/>
    <xf numFmtId="10" fontId="20" fillId="0" borderId="0" xfId="0" applyNumberFormat="1" applyFont="1" applyBorder="1" applyAlignment="1"/>
    <xf numFmtId="3" fontId="0" fillId="0" borderId="0" xfId="0" applyNumberFormat="1" applyFont="1" applyBorder="1" applyAlignment="1"/>
    <xf numFmtId="3" fontId="20" fillId="0" borderId="42" xfId="0" applyNumberFormat="1" applyFont="1" applyBorder="1" applyAlignment="1">
      <alignment horizontal="center"/>
    </xf>
    <xf numFmtId="164" fontId="21" fillId="0" borderId="43" xfId="0" applyFont="1" applyFill="1" applyBorder="1" applyAlignment="1">
      <alignment horizontal="left" wrapText="1"/>
    </xf>
    <xf numFmtId="164" fontId="20" fillId="0" borderId="43" xfId="0" applyFont="1" applyBorder="1" applyAlignment="1"/>
    <xf numFmtId="10" fontId="20" fillId="0" borderId="43" xfId="0" applyNumberFormat="1" applyFont="1" applyBorder="1" applyAlignment="1"/>
    <xf numFmtId="3" fontId="20" fillId="0" borderId="44" xfId="0" applyNumberFormat="1" applyFont="1" applyBorder="1" applyAlignment="1"/>
    <xf numFmtId="10" fontId="0" fillId="0" borderId="46" xfId="0" applyNumberFormat="1" applyFont="1" applyBorder="1" applyAlignment="1">
      <alignment horizontal="right" wrapText="1"/>
    </xf>
    <xf numFmtId="185" fontId="27" fillId="0" borderId="0" xfId="0" applyNumberFormat="1" applyFont="1" applyFill="1" applyBorder="1" applyAlignment="1"/>
    <xf numFmtId="164" fontId="20" fillId="0" borderId="0" xfId="0" applyFont="1" applyFill="1" applyBorder="1" applyAlignment="1"/>
    <xf numFmtId="3" fontId="20" fillId="0" borderId="46" xfId="0" applyNumberFormat="1" applyFont="1" applyBorder="1" applyAlignment="1"/>
    <xf numFmtId="3" fontId="20" fillId="0" borderId="45" xfId="0" applyNumberFormat="1" applyFont="1" applyBorder="1" applyAlignment="1">
      <alignment horizontal="center"/>
    </xf>
    <xf numFmtId="185" fontId="23" fillId="0" borderId="0" xfId="0" applyNumberFormat="1" applyFont="1" applyFill="1" applyBorder="1" applyAlignment="1"/>
    <xf numFmtId="164" fontId="20" fillId="0" borderId="0" xfId="0" applyFont="1" applyFill="1" applyBorder="1" applyAlignment="1">
      <alignment wrapText="1"/>
    </xf>
    <xf numFmtId="3" fontId="20" fillId="0" borderId="47" xfId="0" applyNumberFormat="1" applyFont="1" applyBorder="1" applyAlignment="1">
      <alignment horizontal="center"/>
    </xf>
    <xf numFmtId="164" fontId="20" fillId="0" borderId="48" xfId="0" applyFont="1" applyFill="1" applyBorder="1" applyAlignment="1">
      <alignment horizontal="left" wrapText="1"/>
    </xf>
    <xf numFmtId="164" fontId="20" fillId="0" borderId="48" xfId="0" applyFont="1" applyBorder="1" applyAlignment="1"/>
    <xf numFmtId="10" fontId="20" fillId="0" borderId="48" xfId="0" applyNumberFormat="1" applyFont="1" applyBorder="1" applyAlignment="1"/>
    <xf numFmtId="10" fontId="0" fillId="0" borderId="49" xfId="0" applyNumberFormat="1" applyFont="1" applyBorder="1" applyAlignment="1">
      <alignment horizontal="right" wrapText="1"/>
    </xf>
    <xf numFmtId="0" fontId="77" fillId="0" borderId="0" xfId="660"/>
    <xf numFmtId="167" fontId="77" fillId="0" borderId="0" xfId="660" applyNumberFormat="1"/>
    <xf numFmtId="44" fontId="77" fillId="0" borderId="0" xfId="660" applyNumberFormat="1"/>
    <xf numFmtId="42" fontId="77" fillId="0" borderId="0" xfId="660" applyNumberFormat="1"/>
    <xf numFmtId="167" fontId="0" fillId="0" borderId="25" xfId="662" applyNumberFormat="1" applyFont="1" applyBorder="1"/>
    <xf numFmtId="42" fontId="0" fillId="0" borderId="25" xfId="663" applyNumberFormat="1" applyFont="1" applyBorder="1"/>
    <xf numFmtId="0" fontId="77" fillId="0" borderId="0" xfId="660" quotePrefix="1" applyFill="1" applyBorder="1"/>
    <xf numFmtId="0" fontId="77" fillId="0" borderId="0" xfId="660" applyBorder="1"/>
    <xf numFmtId="167" fontId="0" fillId="0" borderId="0" xfId="662" applyNumberFormat="1" applyFont="1"/>
    <xf numFmtId="42" fontId="0" fillId="0" borderId="0" xfId="663" applyNumberFormat="1" applyFont="1"/>
    <xf numFmtId="16" fontId="77" fillId="0" borderId="0" xfId="660" quotePrefix="1" applyNumberFormat="1" applyBorder="1"/>
    <xf numFmtId="0" fontId="77" fillId="0" borderId="0" xfId="660" applyBorder="1" applyAlignment="1">
      <alignment horizontal="left"/>
    </xf>
    <xf numFmtId="0" fontId="77" fillId="0" borderId="0" xfId="660" applyFill="1" applyBorder="1"/>
    <xf numFmtId="0" fontId="77" fillId="0" borderId="25" xfId="660" applyBorder="1" applyAlignment="1">
      <alignment horizontal="center"/>
    </xf>
    <xf numFmtId="0" fontId="77" fillId="0" borderId="0" xfId="660" applyBorder="1" applyAlignment="1">
      <alignment horizontal="center"/>
    </xf>
    <xf numFmtId="43" fontId="0" fillId="0" borderId="0" xfId="662" applyFont="1"/>
    <xf numFmtId="0" fontId="77" fillId="0" borderId="0" xfId="660" applyFill="1"/>
    <xf numFmtId="167" fontId="0" fillId="0" borderId="0" xfId="662" applyNumberFormat="1" applyFont="1" applyBorder="1"/>
    <xf numFmtId="42" fontId="77" fillId="0" borderId="0" xfId="660" applyNumberFormat="1" applyBorder="1"/>
    <xf numFmtId="42" fontId="77" fillId="0" borderId="25" xfId="660" applyNumberFormat="1" applyBorder="1"/>
    <xf numFmtId="0" fontId="21" fillId="0" borderId="0" xfId="660" applyFont="1" applyBorder="1" applyAlignment="1">
      <alignment horizontal="center"/>
    </xf>
    <xf numFmtId="0" fontId="20" fillId="0" borderId="25" xfId="660" applyFont="1" applyBorder="1" applyAlignment="1">
      <alignment horizontal="center"/>
    </xf>
    <xf numFmtId="0" fontId="20" fillId="0" borderId="0" xfId="660" applyFont="1" applyAlignment="1">
      <alignment horizontal="center"/>
    </xf>
    <xf numFmtId="14" fontId="20" fillId="0" borderId="0" xfId="660" applyNumberFormat="1" applyFont="1" applyAlignment="1">
      <alignment horizontal="center"/>
    </xf>
    <xf numFmtId="0" fontId="21" fillId="0" borderId="0" xfId="660" applyFont="1" applyAlignment="1">
      <alignment horizontal="center"/>
    </xf>
    <xf numFmtId="14" fontId="21" fillId="0" borderId="0" xfId="660" applyNumberFormat="1" applyFont="1" applyAlignment="1">
      <alignment horizontal="center"/>
    </xf>
    <xf numFmtId="0" fontId="77" fillId="0" borderId="0" xfId="660" applyAlignment="1">
      <alignment horizontal="centerContinuous"/>
    </xf>
    <xf numFmtId="0" fontId="77" fillId="0" borderId="0" xfId="660" applyFill="1" applyAlignment="1">
      <alignment horizontal="centerContinuous"/>
    </xf>
    <xf numFmtId="167" fontId="77" fillId="0" borderId="0" xfId="662" applyNumberFormat="1"/>
    <xf numFmtId="167" fontId="77" fillId="0" borderId="0" xfId="662" applyNumberFormat="1" applyBorder="1"/>
    <xf numFmtId="3" fontId="77" fillId="0" borderId="0" xfId="660" applyNumberFormat="1" applyBorder="1"/>
    <xf numFmtId="185" fontId="77" fillId="0" borderId="0" xfId="661" applyNumberFormat="1"/>
    <xf numFmtId="0" fontId="77" fillId="0" borderId="0" xfId="660" applyAlignment="1">
      <alignment horizontal="center"/>
    </xf>
    <xf numFmtId="43" fontId="77" fillId="0" borderId="0" xfId="662"/>
    <xf numFmtId="10" fontId="77" fillId="0" borderId="0" xfId="661" applyNumberFormat="1"/>
    <xf numFmtId="10" fontId="77" fillId="0" borderId="0" xfId="660" applyNumberFormat="1"/>
    <xf numFmtId="167" fontId="78" fillId="0" borderId="0" xfId="662" applyNumberFormat="1" applyFont="1"/>
    <xf numFmtId="167" fontId="77" fillId="0" borderId="0" xfId="662" applyNumberFormat="1" applyFont="1"/>
    <xf numFmtId="10" fontId="77" fillId="0" borderId="0" xfId="661" applyNumberFormat="1" applyFill="1"/>
    <xf numFmtId="167" fontId="78" fillId="0" borderId="0" xfId="662" applyNumberFormat="1" applyFont="1" applyFill="1"/>
    <xf numFmtId="0" fontId="74" fillId="0" borderId="0" xfId="660" applyFont="1"/>
    <xf numFmtId="184" fontId="78" fillId="0" borderId="0" xfId="663" applyNumberFormat="1" applyFont="1" applyFill="1"/>
    <xf numFmtId="42" fontId="77" fillId="0" borderId="0" xfId="662" applyNumberFormat="1"/>
    <xf numFmtId="185" fontId="77" fillId="0" borderId="0" xfId="660" applyNumberFormat="1"/>
    <xf numFmtId="185" fontId="27" fillId="0" borderId="0" xfId="660" applyNumberFormat="1" applyFont="1" applyFill="1"/>
    <xf numFmtId="185" fontId="77" fillId="0" borderId="0" xfId="661" applyNumberFormat="1" applyFont="1"/>
    <xf numFmtId="0" fontId="77" fillId="0" borderId="25" xfId="660" applyBorder="1" applyAlignment="1">
      <alignment horizontal="center" wrapText="1"/>
    </xf>
    <xf numFmtId="0" fontId="77" fillId="0" borderId="0" xfId="660" applyFont="1" applyAlignment="1">
      <alignment horizontal="centerContinuous"/>
    </xf>
    <xf numFmtId="0" fontId="20" fillId="0" borderId="0" xfId="660" applyFont="1"/>
    <xf numFmtId="0" fontId="20" fillId="0" borderId="0" xfId="660" quotePrefix="1" applyFont="1" applyFill="1" applyBorder="1"/>
    <xf numFmtId="10" fontId="0" fillId="0" borderId="0" xfId="661" applyNumberFormat="1" applyFont="1"/>
    <xf numFmtId="191" fontId="0" fillId="0" borderId="25" xfId="661" applyNumberFormat="1" applyFont="1" applyBorder="1"/>
    <xf numFmtId="184" fontId="77" fillId="0" borderId="0" xfId="662" applyNumberFormat="1"/>
    <xf numFmtId="185" fontId="20" fillId="0" borderId="0" xfId="660" applyNumberFormat="1" applyFont="1"/>
    <xf numFmtId="42" fontId="77" fillId="0" borderId="0" xfId="662" applyNumberFormat="1" applyBorder="1"/>
    <xf numFmtId="184" fontId="77" fillId="0" borderId="25" xfId="662" applyNumberFormat="1" applyBorder="1"/>
    <xf numFmtId="0" fontId="20" fillId="0" borderId="0" xfId="660" applyFont="1" applyBorder="1"/>
    <xf numFmtId="42" fontId="77" fillId="0" borderId="41" xfId="662" applyNumberFormat="1" applyBorder="1"/>
    <xf numFmtId="42" fontId="77" fillId="0" borderId="41" xfId="660" applyNumberFormat="1" applyBorder="1"/>
    <xf numFmtId="191" fontId="77" fillId="0" borderId="0" xfId="661" applyNumberFormat="1"/>
    <xf numFmtId="0" fontId="0" fillId="0" borderId="0" xfId="660" applyFont="1"/>
    <xf numFmtId="164" fontId="21" fillId="0" borderId="0" xfId="0" applyFont="1" applyFill="1" applyBorder="1" applyAlignment="1">
      <alignment horizontal="center" wrapText="1"/>
    </xf>
    <xf numFmtId="167" fontId="25" fillId="0" borderId="0" xfId="283" applyNumberFormat="1" applyFont="1" applyFill="1" applyBorder="1"/>
    <xf numFmtId="167" fontId="0" fillId="0" borderId="0" xfId="0" applyNumberFormat="1" applyFill="1" applyBorder="1" applyAlignment="1"/>
    <xf numFmtId="164" fontId="72" fillId="0" borderId="0" xfId="0" applyFont="1" applyFill="1" applyBorder="1" applyAlignment="1"/>
    <xf numFmtId="185" fontId="72" fillId="0" borderId="0" xfId="489" applyNumberFormat="1" applyFont="1" applyFill="1" applyBorder="1"/>
    <xf numFmtId="9" fontId="0" fillId="0" borderId="0" xfId="489" applyFont="1" applyFill="1" applyBorder="1"/>
    <xf numFmtId="14" fontId="0" fillId="0" borderId="0" xfId="0" applyNumberFormat="1" applyFill="1" applyBorder="1" applyAlignment="1"/>
    <xf numFmtId="167" fontId="0" fillId="0" borderId="0" xfId="1" applyNumberFormat="1" applyFont="1" applyFill="1" applyBorder="1" applyAlignment="1"/>
    <xf numFmtId="10" fontId="20" fillId="0" borderId="0" xfId="3" applyFont="1" applyFill="1" applyBorder="1"/>
    <xf numFmtId="167" fontId="20" fillId="0" borderId="0" xfId="1" applyNumberFormat="1" applyFont="1" applyFill="1" applyBorder="1" applyAlignment="1">
      <alignment wrapText="1"/>
    </xf>
    <xf numFmtId="167" fontId="20" fillId="0" borderId="0" xfId="1" applyNumberFormat="1" applyFont="1" applyFill="1" applyBorder="1" applyAlignment="1"/>
    <xf numFmtId="164" fontId="25" fillId="0" borderId="0" xfId="0" applyFont="1" applyAlignment="1">
      <alignment horizontal="center"/>
    </xf>
    <xf numFmtId="1" fontId="0" fillId="0" borderId="0" xfId="0" applyNumberFormat="1" applyAlignment="1">
      <alignment horizontal="left"/>
    </xf>
    <xf numFmtId="1" fontId="0" fillId="0" borderId="25" xfId="0" applyNumberFormat="1" applyBorder="1" applyAlignment="1">
      <alignment horizontal="left"/>
    </xf>
    <xf numFmtId="0" fontId="25" fillId="0" borderId="0" xfId="440" applyAlignment="1">
      <alignment horizontal="left"/>
    </xf>
    <xf numFmtId="0" fontId="20" fillId="0" borderId="0" xfId="440" applyFont="1" applyAlignment="1">
      <alignment horizontal="left"/>
    </xf>
    <xf numFmtId="3" fontId="0" fillId="0" borderId="0" xfId="0" applyNumberFormat="1" applyAlignment="1"/>
    <xf numFmtId="44" fontId="0" fillId="0" borderId="25" xfId="0" applyNumberFormat="1" applyBorder="1" applyAlignment="1"/>
    <xf numFmtId="10" fontId="0" fillId="0" borderId="50" xfId="3" applyFont="1" applyBorder="1"/>
    <xf numFmtId="44" fontId="0" fillId="0" borderId="25" xfId="2" applyFont="1" applyBorder="1"/>
    <xf numFmtId="10" fontId="0" fillId="0" borderId="51" xfId="3" applyFont="1" applyBorder="1"/>
    <xf numFmtId="184" fontId="0" fillId="0" borderId="25" xfId="0" applyNumberFormat="1" applyBorder="1" applyAlignment="1"/>
    <xf numFmtId="184" fontId="0" fillId="0" borderId="0" xfId="0" applyNumberFormat="1">
      <alignment horizontal="left" wrapText="1"/>
    </xf>
    <xf numFmtId="10" fontId="0" fillId="0" borderId="25" xfId="489" applyNumberFormat="1" applyFont="1" applyBorder="1" applyAlignment="1">
      <alignment horizontal="right"/>
    </xf>
    <xf numFmtId="10" fontId="0" fillId="0" borderId="25" xfId="0" applyNumberFormat="1" applyBorder="1" applyAlignment="1">
      <alignment horizontal="right"/>
    </xf>
    <xf numFmtId="41" fontId="23" fillId="34" borderId="10" xfId="664" applyFont="1" applyFill="1">
      <alignment horizontal="left"/>
      <protection locked="0"/>
    </xf>
    <xf numFmtId="10" fontId="20" fillId="0" borderId="10" xfId="3" applyNumberFormat="1"/>
    <xf numFmtId="164" fontId="79" fillId="0" borderId="0" xfId="0" applyFont="1" applyAlignment="1">
      <alignment horizontal="left" vertical="top"/>
    </xf>
    <xf numFmtId="164" fontId="20" fillId="0" borderId="0" xfId="0" applyFont="1" applyAlignment="1">
      <alignment horizontal="left"/>
    </xf>
    <xf numFmtId="0" fontId="70" fillId="0" borderId="0" xfId="656" applyFont="1" applyAlignment="1">
      <alignment horizontal="left"/>
    </xf>
    <xf numFmtId="164" fontId="20" fillId="0" borderId="0" xfId="0" applyFont="1" applyFill="1" applyAlignment="1">
      <alignment horizontal="left"/>
    </xf>
    <xf numFmtId="0" fontId="77" fillId="0" borderId="0" xfId="660" applyAlignment="1">
      <alignment horizontal="left"/>
    </xf>
    <xf numFmtId="0" fontId="20" fillId="0" borderId="0" xfId="660" applyFont="1" applyAlignment="1">
      <alignment horizontal="centerContinuous"/>
    </xf>
    <xf numFmtId="0" fontId="77" fillId="0" borderId="0" xfId="660" applyBorder="1" applyAlignment="1">
      <alignment horizontal="center" wrapText="1"/>
    </xf>
    <xf numFmtId="0" fontId="77" fillId="0" borderId="0" xfId="660" applyFill="1" applyBorder="1" applyAlignment="1">
      <alignment horizontal="center" wrapText="1"/>
    </xf>
    <xf numFmtId="185" fontId="20" fillId="0" borderId="0" xfId="658" applyNumberFormat="1" applyFont="1"/>
    <xf numFmtId="42" fontId="20" fillId="0" borderId="0" xfId="1" applyNumberFormat="1"/>
    <xf numFmtId="192" fontId="77" fillId="0" borderId="0" xfId="660" applyNumberFormat="1"/>
    <xf numFmtId="185" fontId="23" fillId="0" borderId="0" xfId="660" applyNumberFormat="1" applyFont="1" applyFill="1"/>
    <xf numFmtId="185" fontId="23" fillId="0" borderId="0" xfId="658" applyNumberFormat="1" applyFont="1" applyFill="1"/>
    <xf numFmtId="42" fontId="71" fillId="0" borderId="25" xfId="1" applyNumberFormat="1" applyFont="1" applyFill="1" applyBorder="1"/>
    <xf numFmtId="42" fontId="20" fillId="0" borderId="25" xfId="1" applyNumberFormat="1" applyBorder="1"/>
    <xf numFmtId="184" fontId="23" fillId="0" borderId="0" xfId="657" applyNumberFormat="1" applyFont="1" applyFill="1"/>
    <xf numFmtId="10" fontId="20" fillId="0" borderId="0" xfId="658" applyNumberFormat="1"/>
    <xf numFmtId="167" fontId="23" fillId="0" borderId="0" xfId="1" applyNumberFormat="1" applyFont="1" applyFill="1"/>
    <xf numFmtId="167" fontId="23" fillId="0" borderId="0" xfId="1" applyNumberFormat="1" applyFont="1"/>
    <xf numFmtId="10" fontId="20" fillId="0" borderId="0" xfId="658" applyNumberFormat="1" applyFill="1"/>
    <xf numFmtId="167" fontId="20" fillId="0" borderId="0" xfId="1" applyNumberFormat="1" applyFont="1"/>
    <xf numFmtId="167" fontId="20" fillId="0" borderId="0" xfId="1" applyNumberFormat="1"/>
    <xf numFmtId="43" fontId="20" fillId="0" borderId="0" xfId="1"/>
    <xf numFmtId="185" fontId="20" fillId="0" borderId="0" xfId="658" applyNumberFormat="1"/>
    <xf numFmtId="167" fontId="20" fillId="0" borderId="0" xfId="1" applyNumberFormat="1" applyBorder="1"/>
    <xf numFmtId="167" fontId="20" fillId="0" borderId="0" xfId="1" applyNumberFormat="1" applyFont="1" applyBorder="1"/>
    <xf numFmtId="0" fontId="77" fillId="0" borderId="0" xfId="660" applyFill="1" applyBorder="1" applyAlignment="1">
      <alignment horizontal="left"/>
    </xf>
    <xf numFmtId="15" fontId="77" fillId="0" borderId="0" xfId="660" applyNumberFormat="1" applyBorder="1"/>
    <xf numFmtId="167" fontId="77" fillId="0" borderId="0" xfId="660" applyNumberFormat="1" applyBorder="1"/>
    <xf numFmtId="0" fontId="20" fillId="0" borderId="0" xfId="1" applyNumberFormat="1" applyBorder="1" applyAlignment="1">
      <alignment horizontal="left"/>
    </xf>
    <xf numFmtId="184" fontId="71" fillId="0" borderId="0" xfId="1" applyNumberFormat="1" applyFont="1" applyFill="1" applyBorder="1"/>
    <xf numFmtId="164" fontId="20" fillId="0" borderId="0" xfId="0" applyFont="1" applyFill="1" applyBorder="1" applyAlignment="1">
      <alignment horizontal="center"/>
    </xf>
    <xf numFmtId="164" fontId="20" fillId="0" borderId="0" xfId="0" applyFont="1" applyBorder="1" applyAlignment="1">
      <alignment horizontal="center"/>
    </xf>
    <xf numFmtId="164" fontId="0" fillId="0" borderId="0" xfId="0" applyBorder="1" applyAlignment="1">
      <alignment horizontal="center"/>
    </xf>
    <xf numFmtId="0" fontId="0" fillId="0" borderId="0" xfId="660" applyFont="1" applyAlignment="1">
      <alignment horizontal="centerContinuous"/>
    </xf>
  </cellXfs>
  <cellStyles count="665">
    <cellStyle name="_x0013_" xfId="10"/>
    <cellStyle name="_09GRC Gas Transport For Review" xfId="11"/>
    <cellStyle name="_4.06E Pass Throughs" xfId="12"/>
    <cellStyle name="_4.06E Pass Throughs 2" xfId="13"/>
    <cellStyle name="_4.06E Pass Throughs 3" xfId="14"/>
    <cellStyle name="_4.06E Pass Throughs_04 07E Wild Horse Wind Expansion (C) (2)" xfId="15"/>
    <cellStyle name="_4.06E Pass Throughs_4 31 Regulatory Assets and Liabilities  7 06- Exhibit D" xfId="16"/>
    <cellStyle name="_4.06E Pass Throughs_4 32 Regulatory Assets and Liabilities  7 06- Exhibit D" xfId="17"/>
    <cellStyle name="_4.06E Pass Throughs_Book9" xfId="18"/>
    <cellStyle name="_4.13E Montana Energy Tax" xfId="19"/>
    <cellStyle name="_4.13E Montana Energy Tax 2" xfId="20"/>
    <cellStyle name="_4.13E Montana Energy Tax 3" xfId="21"/>
    <cellStyle name="_4.13E Montana Energy Tax_04 07E Wild Horse Wind Expansion (C) (2)" xfId="22"/>
    <cellStyle name="_4.13E Montana Energy Tax_4 31 Regulatory Assets and Liabilities  7 06- Exhibit D" xfId="23"/>
    <cellStyle name="_4.13E Montana Energy Tax_4 32 Regulatory Assets and Liabilities  7 06- Exhibit D" xfId="24"/>
    <cellStyle name="_4.13E Montana Energy Tax_Book9" xfId="25"/>
    <cellStyle name="_AURORA WIP" xfId="26"/>
    <cellStyle name="_Book1" xfId="27"/>
    <cellStyle name="_Book1 (2)" xfId="28"/>
    <cellStyle name="_Book1 (2) 2" xfId="29"/>
    <cellStyle name="_Book1 (2) 3" xfId="30"/>
    <cellStyle name="_Book1 (2)_04 07E Wild Horse Wind Expansion (C) (2)" xfId="31"/>
    <cellStyle name="_Book1 (2)_4 31 Regulatory Assets and Liabilities  7 06- Exhibit D" xfId="32"/>
    <cellStyle name="_Book1 (2)_4 32 Regulatory Assets and Liabilities  7 06- Exhibit D" xfId="33"/>
    <cellStyle name="_Book1 (2)_ACCOUNTS" xfId="34"/>
    <cellStyle name="_Book1 (2)_Book9" xfId="35"/>
    <cellStyle name="_Book1 (2)_Gas Rev Req Model (2010 GRC)" xfId="36"/>
    <cellStyle name="_Book1 2" xfId="37"/>
    <cellStyle name="_Book1 3" xfId="38"/>
    <cellStyle name="_Book1_4 31 Regulatory Assets and Liabilities  7 06- Exhibit D" xfId="39"/>
    <cellStyle name="_Book1_4 32 Regulatory Assets and Liabilities  7 06- Exhibit D" xfId="40"/>
    <cellStyle name="_Book1_Book9" xfId="41"/>
    <cellStyle name="_Book2" xfId="42"/>
    <cellStyle name="_Book2 2" xfId="43"/>
    <cellStyle name="_Book2 3" xfId="44"/>
    <cellStyle name="_Book2_04 07E Wild Horse Wind Expansion (C) (2)" xfId="45"/>
    <cellStyle name="_Book2_4 31 Regulatory Assets and Liabilities  7 06- Exhibit D" xfId="46"/>
    <cellStyle name="_Book2_4 32 Regulatory Assets and Liabilities  7 06- Exhibit D" xfId="47"/>
    <cellStyle name="_Book2_ACCOUNTS" xfId="48"/>
    <cellStyle name="_Book2_Book9" xfId="49"/>
    <cellStyle name="_Book2_Gas Rev Req Model (2010 GRC)" xfId="50"/>
    <cellStyle name="_Book3" xfId="51"/>
    <cellStyle name="_Book5" xfId="52"/>
    <cellStyle name="_Chelan Debt Forecast 12.19.05" xfId="53"/>
    <cellStyle name="_Chelan Debt Forecast 12.19.05 2" xfId="54"/>
    <cellStyle name="_Chelan Debt Forecast 12.19.05 3" xfId="55"/>
    <cellStyle name="_Chelan Debt Forecast 12.19.05_4 31 Regulatory Assets and Liabilities  7 06- Exhibit D" xfId="56"/>
    <cellStyle name="_Chelan Debt Forecast 12.19.05_4 32 Regulatory Assets and Liabilities  7 06- Exhibit D" xfId="57"/>
    <cellStyle name="_Chelan Debt Forecast 12.19.05_ACCOUNTS" xfId="58"/>
    <cellStyle name="_Chelan Debt Forecast 12.19.05_Book9" xfId="59"/>
    <cellStyle name="_Chelan Debt Forecast 12.19.05_Gas Rev Req Model (2010 GRC)" xfId="60"/>
    <cellStyle name="_Copy 11-9 Sumas Proforma - Current" xfId="61"/>
    <cellStyle name="_Costs not in AURORA 06GRC" xfId="62"/>
    <cellStyle name="_Costs not in AURORA 06GRC 2" xfId="63"/>
    <cellStyle name="_Costs not in AURORA 06GRC 3" xfId="64"/>
    <cellStyle name="_Costs not in AURORA 06GRC_04 07E Wild Horse Wind Expansion (C) (2)" xfId="65"/>
    <cellStyle name="_Costs not in AURORA 06GRC_4 31 Regulatory Assets and Liabilities  7 06- Exhibit D" xfId="66"/>
    <cellStyle name="_Costs not in AURORA 06GRC_4 32 Regulatory Assets and Liabilities  7 06- Exhibit D" xfId="67"/>
    <cellStyle name="_Costs not in AURORA 06GRC_ACCOUNTS" xfId="68"/>
    <cellStyle name="_Costs not in AURORA 06GRC_Book9" xfId="69"/>
    <cellStyle name="_Costs not in AURORA 06GRC_Gas Rev Req Model (2010 GRC)" xfId="70"/>
    <cellStyle name="_Costs not in AURORA 2006GRC 6.15.06" xfId="71"/>
    <cellStyle name="_Costs not in AURORA 2006GRC 6.15.06 2" xfId="72"/>
    <cellStyle name="_Costs not in AURORA 2006GRC 6.15.06 3" xfId="73"/>
    <cellStyle name="_Costs not in AURORA 2006GRC 6.15.06_04 07E Wild Horse Wind Expansion (C) (2)" xfId="74"/>
    <cellStyle name="_Costs not in AURORA 2006GRC 6.15.06_4 31 Regulatory Assets and Liabilities  7 06- Exhibit D" xfId="75"/>
    <cellStyle name="_Costs not in AURORA 2006GRC 6.15.06_4 32 Regulatory Assets and Liabilities  7 06- Exhibit D" xfId="76"/>
    <cellStyle name="_Costs not in AURORA 2006GRC 6.15.06_ACCOUNTS" xfId="77"/>
    <cellStyle name="_Costs not in AURORA 2006GRC 6.15.06_Book9" xfId="78"/>
    <cellStyle name="_Costs not in AURORA 2006GRC 6.15.06_Gas Rev Req Model (2010 GRC)" xfId="79"/>
    <cellStyle name="_Costs not in AURORA 2006GRC w gas price updated" xfId="80"/>
    <cellStyle name="_Costs not in AURORA 2007 Rate Case" xfId="81"/>
    <cellStyle name="_Costs not in AURORA 2007 Rate Case 2" xfId="82"/>
    <cellStyle name="_Costs not in AURORA 2007 Rate Case 3" xfId="83"/>
    <cellStyle name="_Costs not in AURORA 2007 Rate Case_4 31 Regulatory Assets and Liabilities  7 06- Exhibit D" xfId="84"/>
    <cellStyle name="_Costs not in AURORA 2007 Rate Case_4 32 Regulatory Assets and Liabilities  7 06- Exhibit D" xfId="85"/>
    <cellStyle name="_Costs not in AURORA 2007 Rate Case_Book9" xfId="86"/>
    <cellStyle name="_Costs not in KWI3000 '06Budget" xfId="87"/>
    <cellStyle name="_Costs not in KWI3000 '06Budget 2" xfId="88"/>
    <cellStyle name="_Costs not in KWI3000 '06Budget 3" xfId="89"/>
    <cellStyle name="_Costs not in KWI3000 '06Budget_4 31 Regulatory Assets and Liabilities  7 06- Exhibit D" xfId="90"/>
    <cellStyle name="_Costs not in KWI3000 '06Budget_4 32 Regulatory Assets and Liabilities  7 06- Exhibit D" xfId="91"/>
    <cellStyle name="_Costs not in KWI3000 '06Budget_ACCOUNTS" xfId="92"/>
    <cellStyle name="_Costs not in KWI3000 '06Budget_Book9" xfId="93"/>
    <cellStyle name="_Costs not in KWI3000 '06Budget_Gas Rev Req Model (2010 GRC)" xfId="94"/>
    <cellStyle name="_DEM-WP (C) Power Cost 2006GRC Order" xfId="95"/>
    <cellStyle name="_DEM-WP (C) Power Cost 2006GRC Order 2" xfId="96"/>
    <cellStyle name="_DEM-WP (C) Power Cost 2006GRC Order 3" xfId="97"/>
    <cellStyle name="_DEM-WP (C) Power Cost 2006GRC Order_04 07E Wild Horse Wind Expansion (C) (2)" xfId="98"/>
    <cellStyle name="_DEM-WP (C) Power Cost 2006GRC Order_4 31 Regulatory Assets and Liabilities  7 06- Exhibit D" xfId="99"/>
    <cellStyle name="_DEM-WP (C) Power Cost 2006GRC Order_4 32 Regulatory Assets and Liabilities  7 06- Exhibit D" xfId="100"/>
    <cellStyle name="_DEM-WP (C) Power Cost 2006GRC Order_Book9" xfId="101"/>
    <cellStyle name="_DEM-WP Revised (HC) Wild Horse 2006GRC" xfId="102"/>
    <cellStyle name="_DEM-WP Revised (HC) Wild Horse 2006GRC_Electric Rev Req Model (2009 GRC) Rebuttal" xfId="103"/>
    <cellStyle name="_DEM-WP(C) Colstrip FOR" xfId="104"/>
    <cellStyle name="_DEM-WP(C) Costs not in AURORA 2006GRC" xfId="105"/>
    <cellStyle name="_DEM-WP(C) Costs not in AURORA 2006GRC 2" xfId="106"/>
    <cellStyle name="_DEM-WP(C) Costs not in AURORA 2006GRC 3" xfId="107"/>
    <cellStyle name="_DEM-WP(C) Costs not in AURORA 2006GRC_4 31 Regulatory Assets and Liabilities  7 06- Exhibit D" xfId="108"/>
    <cellStyle name="_DEM-WP(C) Costs not in AURORA 2006GRC_4 32 Regulatory Assets and Liabilities  7 06- Exhibit D" xfId="109"/>
    <cellStyle name="_DEM-WP(C) Costs not in AURORA 2006GRC_Book9" xfId="110"/>
    <cellStyle name="_DEM-WP(C) Costs not in AURORA 2007GRC" xfId="111"/>
    <cellStyle name="_DEM-WP(C) Costs not in AURORA 2007GRC_Electric Rev Req Model (2009 GRC) Rebuttal" xfId="112"/>
    <cellStyle name="_DEM-WP(C) Costs not in AURORA 2007PCORC-5.07Update" xfId="113"/>
    <cellStyle name="_DEM-WP(C) Costs not in AURORA 2007PCORC-5.07Update_DEM-WP(C) Production O&amp;M 2009GRC Rebuttal" xfId="114"/>
    <cellStyle name="_DEM-WP(C) Costs not in AURORA 2007PCORC-5.07Update_Electric Rev Req Model (2009 GRC) Rebuttal" xfId="115"/>
    <cellStyle name="_DEM-WP(C) Prod O&amp;M 2007GRC" xfId="116"/>
    <cellStyle name="_DEM-WP(C) Rate Year Sumas by Month Update Corrected" xfId="117"/>
    <cellStyle name="_DEM-WP(C) Sumas Proforma 11.5.07" xfId="118"/>
    <cellStyle name="_DEM-WP(C) Westside Hydro Data_051007" xfId="119"/>
    <cellStyle name="_DEM-WP(C) Westside Hydro Data_051007_Electric Rev Req Model (2009 GRC) Rebuttal" xfId="120"/>
    <cellStyle name="_Fixed Gas Transport 1 19 09" xfId="121"/>
    <cellStyle name="_Fuel Prices 4-14" xfId="122"/>
    <cellStyle name="_Fuel Prices 4-14 2" xfId="123"/>
    <cellStyle name="_Fuel Prices 4-14 3" xfId="124"/>
    <cellStyle name="_Fuel Prices 4-14_04 07E Wild Horse Wind Expansion (C) (2)" xfId="125"/>
    <cellStyle name="_Fuel Prices 4-14_4 31 Regulatory Assets and Liabilities  7 06- Exhibit D" xfId="126"/>
    <cellStyle name="_Fuel Prices 4-14_4 32 Regulatory Assets and Liabilities  7 06- Exhibit D" xfId="127"/>
    <cellStyle name="_Fuel Prices 4-14_Book9" xfId="128"/>
    <cellStyle name="_Gas Transportation Charges_2009GRC_120308" xfId="129"/>
    <cellStyle name="_NIM 06 Base Case Current Trends" xfId="130"/>
    <cellStyle name="_Portfolio SPlan Base Case.xls Chart 1" xfId="131"/>
    <cellStyle name="_Portfolio SPlan Base Case.xls Chart 2" xfId="132"/>
    <cellStyle name="_Portfolio SPlan Base Case.xls Chart 3" xfId="133"/>
    <cellStyle name="_Power Cost Value Copy 11.30.05 gas 1.09.06 AURORA at 1.10.06" xfId="134"/>
    <cellStyle name="_Power Cost Value Copy 11.30.05 gas 1.09.06 AURORA at 1.10.06 2" xfId="135"/>
    <cellStyle name="_Power Cost Value Copy 11.30.05 gas 1.09.06 AURORA at 1.10.06 3" xfId="136"/>
    <cellStyle name="_Power Cost Value Copy 11.30.05 gas 1.09.06 AURORA at 1.10.06_04 07E Wild Horse Wind Expansion (C) (2)" xfId="137"/>
    <cellStyle name="_Power Cost Value Copy 11.30.05 gas 1.09.06 AURORA at 1.10.06_4 31 Regulatory Assets and Liabilities  7 06- Exhibit D" xfId="138"/>
    <cellStyle name="_Power Cost Value Copy 11.30.05 gas 1.09.06 AURORA at 1.10.06_4 32 Regulatory Assets and Liabilities  7 06- Exhibit D" xfId="139"/>
    <cellStyle name="_Power Cost Value Copy 11.30.05 gas 1.09.06 AURORA at 1.10.06_ACCOUNTS" xfId="140"/>
    <cellStyle name="_Power Cost Value Copy 11.30.05 gas 1.09.06 AURORA at 1.10.06_Book9" xfId="141"/>
    <cellStyle name="_Power Cost Value Copy 11.30.05 gas 1.09.06 AURORA at 1.10.06_Gas Rev Req Model (2010 GRC)" xfId="142"/>
    <cellStyle name="_Pro Forma Rev 07 GRC" xfId="143"/>
    <cellStyle name="_Recon to Darrin's 5.11.05 proforma" xfId="144"/>
    <cellStyle name="_Recon to Darrin's 5.11.05 proforma 2" xfId="145"/>
    <cellStyle name="_Recon to Darrin's 5.11.05 proforma 3" xfId="146"/>
    <cellStyle name="_Recon to Darrin's 5.11.05 proforma_4 31 Regulatory Assets and Liabilities  7 06- Exhibit D" xfId="147"/>
    <cellStyle name="_Recon to Darrin's 5.11.05 proforma_4 32 Regulatory Assets and Liabilities  7 06- Exhibit D" xfId="148"/>
    <cellStyle name="_Recon to Darrin's 5.11.05 proforma_ACCOUNTS" xfId="149"/>
    <cellStyle name="_Recon to Darrin's 5.11.05 proforma_Book9" xfId="150"/>
    <cellStyle name="_Recon to Darrin's 5.11.05 proforma_Gas Rev Req Model (2010 GRC)" xfId="151"/>
    <cellStyle name="_Revenue" xfId="152"/>
    <cellStyle name="_Revenue_Data" xfId="153"/>
    <cellStyle name="_Revenue_Data_1" xfId="154"/>
    <cellStyle name="_Revenue_Data_Pro Forma Rev 09 GRC" xfId="155"/>
    <cellStyle name="_Revenue_Data_Pro Forma Rev 2010 GRC" xfId="637"/>
    <cellStyle name="_Revenue_Data_Pro Forma Rev 2010 GRC_Preliminary" xfId="638"/>
    <cellStyle name="_Revenue_Data_Revenue (Feb 09 - Jan 10)" xfId="639"/>
    <cellStyle name="_Revenue_Data_Revenue (Jan 09 - Dec 09)" xfId="640"/>
    <cellStyle name="_Revenue_Data_Revenue (Mar 09 - Feb 10)" xfId="641"/>
    <cellStyle name="_Revenue_Data_Volume Exhibit (Jan09 - Dec09)" xfId="642"/>
    <cellStyle name="_Revenue_Mins" xfId="156"/>
    <cellStyle name="_Revenue_Pro Forma Rev 07 GRC" xfId="157"/>
    <cellStyle name="_Revenue_Pro Forma Rev 08 GRC" xfId="158"/>
    <cellStyle name="_Revenue_Pro Forma Rev 09 GRC" xfId="159"/>
    <cellStyle name="_Revenue_Pro Forma Rev 2010 GRC" xfId="643"/>
    <cellStyle name="_Revenue_Pro Forma Rev 2010 GRC_Preliminary" xfId="644"/>
    <cellStyle name="_Revenue_Revenue (Feb 09 - Jan 10)" xfId="645"/>
    <cellStyle name="_Revenue_Revenue (Jan 09 - Dec 09)" xfId="646"/>
    <cellStyle name="_Revenue_Revenue (Mar 09 - Feb 10)" xfId="647"/>
    <cellStyle name="_Revenue_Sheet2" xfId="160"/>
    <cellStyle name="_Revenue_Therms Data" xfId="161"/>
    <cellStyle name="_Revenue_Therms Data Rerun" xfId="162"/>
    <cellStyle name="_Revenue_Volume Exhibit (Jan09 - Dec09)" xfId="648"/>
    <cellStyle name="_Sumas Proforma - 11-09-07" xfId="163"/>
    <cellStyle name="_Sumas Property Taxes v1" xfId="164"/>
    <cellStyle name="_Tenaska Comparison" xfId="165"/>
    <cellStyle name="_Tenaska Comparison 2" xfId="166"/>
    <cellStyle name="_Tenaska Comparison 3" xfId="167"/>
    <cellStyle name="_Tenaska Comparison_4 31 Regulatory Assets and Liabilities  7 06- Exhibit D" xfId="168"/>
    <cellStyle name="_Tenaska Comparison_4 32 Regulatory Assets and Liabilities  7 06- Exhibit D" xfId="169"/>
    <cellStyle name="_Tenaska Comparison_Book9" xfId="170"/>
    <cellStyle name="_Therms Data" xfId="171"/>
    <cellStyle name="_Therms Data_Pro Forma Rev 09 GRC" xfId="172"/>
    <cellStyle name="_Therms Data_Pro Forma Rev 2010 GRC" xfId="649"/>
    <cellStyle name="_Therms Data_Pro Forma Rev 2010 GRC_Preliminary" xfId="650"/>
    <cellStyle name="_Therms Data_Revenue (Feb 09 - Jan 10)" xfId="651"/>
    <cellStyle name="_Therms Data_Revenue (Jan 09 - Dec 09)" xfId="652"/>
    <cellStyle name="_Therms Data_Revenue (Mar 09 - Feb 10)" xfId="653"/>
    <cellStyle name="_Therms Data_Volume Exhibit (Jan09 - Dec09)" xfId="654"/>
    <cellStyle name="_Value Copy 11 30 05 gas 12 09 05 AURORA at 12 14 05" xfId="173"/>
    <cellStyle name="_Value Copy 11 30 05 gas 12 09 05 AURORA at 12 14 05 2" xfId="174"/>
    <cellStyle name="_Value Copy 11 30 05 gas 12 09 05 AURORA at 12 14 05 3" xfId="175"/>
    <cellStyle name="_Value Copy 11 30 05 gas 12 09 05 AURORA at 12 14 05_04 07E Wild Horse Wind Expansion (C) (2)" xfId="176"/>
    <cellStyle name="_Value Copy 11 30 05 gas 12 09 05 AURORA at 12 14 05_4 31 Regulatory Assets and Liabilities  7 06- Exhibit D" xfId="177"/>
    <cellStyle name="_Value Copy 11 30 05 gas 12 09 05 AURORA at 12 14 05_4 32 Regulatory Assets and Liabilities  7 06- Exhibit D" xfId="178"/>
    <cellStyle name="_Value Copy 11 30 05 gas 12 09 05 AURORA at 12 14 05_ACCOUNTS" xfId="179"/>
    <cellStyle name="_Value Copy 11 30 05 gas 12 09 05 AURORA at 12 14 05_Book9" xfId="180"/>
    <cellStyle name="_Value Copy 11 30 05 gas 12 09 05 AURORA at 12 14 05_Gas Rev Req Model (2010 GRC)" xfId="181"/>
    <cellStyle name="_VC 6.15.06 update on 06GRC power costs.xls Chart 1" xfId="182"/>
    <cellStyle name="_VC 6.15.06 update on 06GRC power costs.xls Chart 1 2" xfId="183"/>
    <cellStyle name="_VC 6.15.06 update on 06GRC power costs.xls Chart 1 3" xfId="184"/>
    <cellStyle name="_VC 6.15.06 update on 06GRC power costs.xls Chart 1_04 07E Wild Horse Wind Expansion (C) (2)" xfId="185"/>
    <cellStyle name="_VC 6.15.06 update on 06GRC power costs.xls Chart 1_4 31 Regulatory Assets and Liabilities  7 06- Exhibit D" xfId="186"/>
    <cellStyle name="_VC 6.15.06 update on 06GRC power costs.xls Chart 1_4 32 Regulatory Assets and Liabilities  7 06- Exhibit D" xfId="187"/>
    <cellStyle name="_VC 6.15.06 update on 06GRC power costs.xls Chart 1_ACCOUNTS" xfId="188"/>
    <cellStyle name="_VC 6.15.06 update on 06GRC power costs.xls Chart 1_Book9" xfId="189"/>
    <cellStyle name="_VC 6.15.06 update on 06GRC power costs.xls Chart 1_Gas Rev Req Model (2010 GRC)" xfId="190"/>
    <cellStyle name="_VC 6.15.06 update on 06GRC power costs.xls Chart 2" xfId="191"/>
    <cellStyle name="_VC 6.15.06 update on 06GRC power costs.xls Chart 2 2" xfId="192"/>
    <cellStyle name="_VC 6.15.06 update on 06GRC power costs.xls Chart 2 3" xfId="193"/>
    <cellStyle name="_VC 6.15.06 update on 06GRC power costs.xls Chart 2_04 07E Wild Horse Wind Expansion (C) (2)" xfId="194"/>
    <cellStyle name="_VC 6.15.06 update on 06GRC power costs.xls Chart 2_4 31 Regulatory Assets and Liabilities  7 06- Exhibit D" xfId="195"/>
    <cellStyle name="_VC 6.15.06 update on 06GRC power costs.xls Chart 2_4 32 Regulatory Assets and Liabilities  7 06- Exhibit D" xfId="196"/>
    <cellStyle name="_VC 6.15.06 update on 06GRC power costs.xls Chart 2_ACCOUNTS" xfId="197"/>
    <cellStyle name="_VC 6.15.06 update on 06GRC power costs.xls Chart 2_Book9" xfId="198"/>
    <cellStyle name="_VC 6.15.06 update on 06GRC power costs.xls Chart 2_Gas Rev Req Model (2010 GRC)" xfId="199"/>
    <cellStyle name="_VC 6.15.06 update on 06GRC power costs.xls Chart 3" xfId="200"/>
    <cellStyle name="_VC 6.15.06 update on 06GRC power costs.xls Chart 3 2" xfId="201"/>
    <cellStyle name="_VC 6.15.06 update on 06GRC power costs.xls Chart 3 3" xfId="202"/>
    <cellStyle name="_VC 6.15.06 update on 06GRC power costs.xls Chart 3_04 07E Wild Horse Wind Expansion (C) (2)" xfId="203"/>
    <cellStyle name="_VC 6.15.06 update on 06GRC power costs.xls Chart 3_4 31 Regulatory Assets and Liabilities  7 06- Exhibit D" xfId="204"/>
    <cellStyle name="_VC 6.15.06 update on 06GRC power costs.xls Chart 3_4 32 Regulatory Assets and Liabilities  7 06- Exhibit D" xfId="205"/>
    <cellStyle name="_VC 6.15.06 update on 06GRC power costs.xls Chart 3_ACCOUNTS" xfId="206"/>
    <cellStyle name="_VC 6.15.06 update on 06GRC power costs.xls Chart 3_Book9" xfId="207"/>
    <cellStyle name="_VC 6.15.06 update on 06GRC power costs.xls Chart 3_Gas Rev Req Model (2010 GRC)" xfId="208"/>
    <cellStyle name="0,0_x000d__x000a_NA_x000d__x000a_" xfId="209"/>
    <cellStyle name="20% - Accent1 2" xfId="210"/>
    <cellStyle name="20% - Accent1 2 2" xfId="211"/>
    <cellStyle name="20% - Accent1 3" xfId="212"/>
    <cellStyle name="20% - Accent1 4" xfId="213"/>
    <cellStyle name="20% - Accent2 2" xfId="214"/>
    <cellStyle name="20% - Accent2 2 2" xfId="215"/>
    <cellStyle name="20% - Accent2 3" xfId="216"/>
    <cellStyle name="20% - Accent2 4" xfId="217"/>
    <cellStyle name="20% - Accent3 2" xfId="218"/>
    <cellStyle name="20% - Accent3 2 2" xfId="219"/>
    <cellStyle name="20% - Accent3 3" xfId="220"/>
    <cellStyle name="20% - Accent3 4" xfId="221"/>
    <cellStyle name="20% - Accent4 2" xfId="222"/>
    <cellStyle name="20% - Accent4 2 2" xfId="223"/>
    <cellStyle name="20% - Accent4 3" xfId="224"/>
    <cellStyle name="20% - Accent4 4" xfId="225"/>
    <cellStyle name="20% - Accent5 2" xfId="226"/>
    <cellStyle name="20% - Accent5 2 2" xfId="227"/>
    <cellStyle name="20% - Accent5 3" xfId="228"/>
    <cellStyle name="20% - Accent5 4" xfId="229"/>
    <cellStyle name="20% - Accent6 2" xfId="230"/>
    <cellStyle name="20% - Accent6 2 2" xfId="231"/>
    <cellStyle name="20% - Accent6 3" xfId="232"/>
    <cellStyle name="20% - Accent6 4" xfId="233"/>
    <cellStyle name="40% - Accent1 2" xfId="234"/>
    <cellStyle name="40% - Accent1 2 2" xfId="235"/>
    <cellStyle name="40% - Accent1 3" xfId="236"/>
    <cellStyle name="40% - Accent1 4" xfId="237"/>
    <cellStyle name="40% - Accent2 2" xfId="238"/>
    <cellStyle name="40% - Accent2 2 2" xfId="239"/>
    <cellStyle name="40% - Accent2 3" xfId="240"/>
    <cellStyle name="40% - Accent2 4" xfId="241"/>
    <cellStyle name="40% - Accent3 2" xfId="242"/>
    <cellStyle name="40% - Accent3 2 2" xfId="243"/>
    <cellStyle name="40% - Accent3 3" xfId="244"/>
    <cellStyle name="40% - Accent3 4" xfId="245"/>
    <cellStyle name="40% - Accent4 2" xfId="246"/>
    <cellStyle name="40% - Accent4 2 2" xfId="247"/>
    <cellStyle name="40% - Accent4 3" xfId="248"/>
    <cellStyle name="40% - Accent4 4" xfId="249"/>
    <cellStyle name="40% - Accent5 2" xfId="250"/>
    <cellStyle name="40% - Accent5 2 2" xfId="251"/>
    <cellStyle name="40% - Accent5 3" xfId="252"/>
    <cellStyle name="40% - Accent5 4" xfId="253"/>
    <cellStyle name="40% - Accent6 2" xfId="254"/>
    <cellStyle name="40% - Accent6 2 2" xfId="255"/>
    <cellStyle name="40% - Accent6 3" xfId="256"/>
    <cellStyle name="40% - Accent6 4" xfId="257"/>
    <cellStyle name="60% - Accent1 2" xfId="258"/>
    <cellStyle name="60% - Accent2 2" xfId="259"/>
    <cellStyle name="60% - Accent3 2" xfId="260"/>
    <cellStyle name="60% - Accent3 2 2" xfId="261"/>
    <cellStyle name="60% - Accent4 2" xfId="262"/>
    <cellStyle name="60% - Accent4 2 2" xfId="263"/>
    <cellStyle name="60% - Accent5 2" xfId="264"/>
    <cellStyle name="60% - Accent6 2" xfId="265"/>
    <cellStyle name="60% - Accent6 2 2" xfId="266"/>
    <cellStyle name="Accent1 2" xfId="267"/>
    <cellStyle name="Accent2 2" xfId="268"/>
    <cellStyle name="Accent3 2" xfId="269"/>
    <cellStyle name="Accent4 2" xfId="270"/>
    <cellStyle name="Accent5 2" xfId="271"/>
    <cellStyle name="Accent6 2" xfId="272"/>
    <cellStyle name="Bad 2" xfId="273"/>
    <cellStyle name="Calc Currency (0)" xfId="274"/>
    <cellStyle name="Calc Currency (0) 2" xfId="275"/>
    <cellStyle name="Calc Currency (0) 3" xfId="276"/>
    <cellStyle name="Calculation" xfId="5" builtinId="22"/>
    <cellStyle name="Calculation 2" xfId="277"/>
    <cellStyle name="Calculation 3" xfId="278"/>
    <cellStyle name="Check Cell 2" xfId="279"/>
    <cellStyle name="CheckCell" xfId="280"/>
    <cellStyle name="CheckCell 2" xfId="281"/>
    <cellStyle name="CheckCell_Electric Rev Req Model (2009 GRC) Rebuttal" xfId="282"/>
    <cellStyle name="Comma" xfId="1" builtinId="3"/>
    <cellStyle name="Comma 10" xfId="283"/>
    <cellStyle name="Comma 11" xfId="284"/>
    <cellStyle name="Comma 12" xfId="285"/>
    <cellStyle name="Comma 13" xfId="286"/>
    <cellStyle name="Comma 14" xfId="662"/>
    <cellStyle name="Comma 2" xfId="287"/>
    <cellStyle name="Comma 2 2" xfId="288"/>
    <cellStyle name="Comma 2 3" xfId="289"/>
    <cellStyle name="Comma 2 4" xfId="290"/>
    <cellStyle name="Comma 3" xfId="291"/>
    <cellStyle name="Comma 3 2" xfId="292"/>
    <cellStyle name="Comma 4" xfId="293"/>
    <cellStyle name="Comma 4 2" xfId="294"/>
    <cellStyle name="Comma 5" xfId="295"/>
    <cellStyle name="Comma 6" xfId="296"/>
    <cellStyle name="Comma 7" xfId="297"/>
    <cellStyle name="Comma 8" xfId="298"/>
    <cellStyle name="Comma 8 2" xfId="299"/>
    <cellStyle name="Comma 9" xfId="300"/>
    <cellStyle name="Comma0" xfId="301"/>
    <cellStyle name="Comma0 - Style2" xfId="302"/>
    <cellStyle name="Comma0 - Style4" xfId="303"/>
    <cellStyle name="Comma0 - Style4 2" xfId="304"/>
    <cellStyle name="Comma0 - Style4 3" xfId="305"/>
    <cellStyle name="Comma0 - Style5" xfId="306"/>
    <cellStyle name="Comma0 - Style5 2" xfId="307"/>
    <cellStyle name="Comma0 - Style5_ACCOUNTS" xfId="308"/>
    <cellStyle name="Comma0 2" xfId="309"/>
    <cellStyle name="Comma0 3" xfId="310"/>
    <cellStyle name="Comma0 4" xfId="311"/>
    <cellStyle name="Comma0 5" xfId="312"/>
    <cellStyle name="Comma0 6" xfId="313"/>
    <cellStyle name="Comma0 7" xfId="314"/>
    <cellStyle name="Comma0 8" xfId="315"/>
    <cellStyle name="Comma0_00COS Ind Allocators" xfId="316"/>
    <cellStyle name="Comma1 - Style1" xfId="317"/>
    <cellStyle name="Comma1 - Style1 2" xfId="318"/>
    <cellStyle name="Comma1 - Style1 3" xfId="319"/>
    <cellStyle name="Comma1 - Style1 4" xfId="320"/>
    <cellStyle name="Comma1 - Style1_ACCOUNTS" xfId="321"/>
    <cellStyle name="Copied" xfId="322"/>
    <cellStyle name="Copied 2" xfId="323"/>
    <cellStyle name="Copied 3" xfId="324"/>
    <cellStyle name="COST1" xfId="325"/>
    <cellStyle name="COST1 2" xfId="326"/>
    <cellStyle name="COST1 3" xfId="327"/>
    <cellStyle name="Curren - Style1" xfId="328"/>
    <cellStyle name="Curren - Style2" xfId="329"/>
    <cellStyle name="Curren - Style2 2" xfId="330"/>
    <cellStyle name="Curren - Style2 3" xfId="331"/>
    <cellStyle name="Curren - Style2 4" xfId="332"/>
    <cellStyle name="Curren - Style2_ACCOUNTS" xfId="333"/>
    <cellStyle name="Curren - Style5" xfId="334"/>
    <cellStyle name="Curren - Style6" xfId="335"/>
    <cellStyle name="Curren - Style6 2" xfId="336"/>
    <cellStyle name="Curren - Style6_ACCOUNTS" xfId="337"/>
    <cellStyle name="Currency" xfId="2" builtinId="4"/>
    <cellStyle name="Currency 10" xfId="338"/>
    <cellStyle name="Currency 11" xfId="339"/>
    <cellStyle name="Currency 12" xfId="657"/>
    <cellStyle name="Currency 13" xfId="663"/>
    <cellStyle name="Currency 2" xfId="340"/>
    <cellStyle name="Currency 2 2" xfId="341"/>
    <cellStyle name="Currency 2 3" xfId="342"/>
    <cellStyle name="Currency 2 4" xfId="343"/>
    <cellStyle name="Currency 3" xfId="344"/>
    <cellStyle name="Currency 3 2" xfId="345"/>
    <cellStyle name="Currency 4" xfId="346"/>
    <cellStyle name="Currency 5" xfId="347"/>
    <cellStyle name="Currency 6" xfId="348"/>
    <cellStyle name="Currency 7" xfId="349"/>
    <cellStyle name="Currency 8" xfId="350"/>
    <cellStyle name="Currency 9" xfId="351"/>
    <cellStyle name="Currency0" xfId="352"/>
    <cellStyle name="Currency0 2" xfId="353"/>
    <cellStyle name="Currency0 3" xfId="354"/>
    <cellStyle name="Currency0 4" xfId="355"/>
    <cellStyle name="Currency0 5" xfId="356"/>
    <cellStyle name="Currency0 6" xfId="357"/>
    <cellStyle name="Currency0_ACCOUNTS" xfId="358"/>
    <cellStyle name="Date" xfId="359"/>
    <cellStyle name="Date 2" xfId="360"/>
    <cellStyle name="Date 3" xfId="361"/>
    <cellStyle name="Date 4" xfId="362"/>
    <cellStyle name="Date 5" xfId="363"/>
    <cellStyle name="Date 6" xfId="364"/>
    <cellStyle name="Date 7" xfId="365"/>
    <cellStyle name="Date_ACCOUNTS" xfId="366"/>
    <cellStyle name="Entered" xfId="367"/>
    <cellStyle name="Entered 2" xfId="368"/>
    <cellStyle name="Entered 3" xfId="369"/>
    <cellStyle name="Entered 4" xfId="370"/>
    <cellStyle name="Euro" xfId="371"/>
    <cellStyle name="Explanatory Text 2" xfId="372"/>
    <cellStyle name="Fixed" xfId="373"/>
    <cellStyle name="Fixed 2" xfId="374"/>
    <cellStyle name="Fixed 3" xfId="375"/>
    <cellStyle name="Fixed 4" xfId="376"/>
    <cellStyle name="Fixed 5" xfId="377"/>
    <cellStyle name="Fixed 6" xfId="378"/>
    <cellStyle name="Fixed_ACCOUNTS" xfId="379"/>
    <cellStyle name="Fixed3 - Style3" xfId="380"/>
    <cellStyle name="Good 2" xfId="381"/>
    <cellStyle name="Grey" xfId="382"/>
    <cellStyle name="Grey 2" xfId="383"/>
    <cellStyle name="Grey 3" xfId="384"/>
    <cellStyle name="Grey 4" xfId="385"/>
    <cellStyle name="Grey_Gas Rev Req Model (2010 GRC)" xfId="386"/>
    <cellStyle name="Header1" xfId="387"/>
    <cellStyle name="Header1 2" xfId="388"/>
    <cellStyle name="Header1 3" xfId="389"/>
    <cellStyle name="Header2" xfId="390"/>
    <cellStyle name="Header2 2" xfId="391"/>
    <cellStyle name="Header2 3" xfId="392"/>
    <cellStyle name="Heading 1 2" xfId="393"/>
    <cellStyle name="Heading 1 3" xfId="394"/>
    <cellStyle name="Heading 2" xfId="4" builtinId="17"/>
    <cellStyle name="Heading 2 2" xfId="395"/>
    <cellStyle name="Heading 2 3" xfId="396"/>
    <cellStyle name="Heading 3 2 2" xfId="397"/>
    <cellStyle name="Heading 4 2 2" xfId="398"/>
    <cellStyle name="Heading1" xfId="399"/>
    <cellStyle name="Heading1 2" xfId="400"/>
    <cellStyle name="Heading1 3" xfId="401"/>
    <cellStyle name="Heading2" xfId="402"/>
    <cellStyle name="Heading2 2" xfId="403"/>
    <cellStyle name="Heading2 3" xfId="404"/>
    <cellStyle name="Input [yellow]" xfId="405"/>
    <cellStyle name="Input [yellow] 2" xfId="406"/>
    <cellStyle name="Input [yellow] 3" xfId="407"/>
    <cellStyle name="Input [yellow] 4" xfId="408"/>
    <cellStyle name="Input [yellow]_Gas Rev Req Model (2010 GRC)" xfId="409"/>
    <cellStyle name="Input 2" xfId="410"/>
    <cellStyle name="Input 3" xfId="411"/>
    <cellStyle name="Input Cells" xfId="8"/>
    <cellStyle name="Input Cells Percent" xfId="412"/>
    <cellStyle name="Input Cells_ACCOUNTALLOC" xfId="413"/>
    <cellStyle name="Input Cells_ACCOUNTS" xfId="664"/>
    <cellStyle name="Input Cells_EXTERNAL" xfId="9"/>
    <cellStyle name="Lines" xfId="414"/>
    <cellStyle name="Lines 2" xfId="415"/>
    <cellStyle name="Lines_Electric Rev Req Model (2009 GRC) Rebuttal" xfId="416"/>
    <cellStyle name="LINKED" xfId="417"/>
    <cellStyle name="Linked Cell 2" xfId="418"/>
    <cellStyle name="modified border" xfId="419"/>
    <cellStyle name="modified border 2" xfId="420"/>
    <cellStyle name="modified border 3" xfId="421"/>
    <cellStyle name="modified border 4" xfId="422"/>
    <cellStyle name="modified border1" xfId="423"/>
    <cellStyle name="modified border1 2" xfId="424"/>
    <cellStyle name="modified border1 3" xfId="425"/>
    <cellStyle name="modified border1 4" xfId="426"/>
    <cellStyle name="Neutral 2" xfId="427"/>
    <cellStyle name="no dec" xfId="428"/>
    <cellStyle name="no dec 2" xfId="429"/>
    <cellStyle name="no dec 3" xfId="430"/>
    <cellStyle name="Normal" xfId="0" builtinId="0"/>
    <cellStyle name="Normal - Style1" xfId="431"/>
    <cellStyle name="Normal - Style1 2" xfId="432"/>
    <cellStyle name="Normal - Style1 3" xfId="433"/>
    <cellStyle name="Normal - Style1 4" xfId="434"/>
    <cellStyle name="Normal - Style1 5" xfId="435"/>
    <cellStyle name="Normal - Style1 6" xfId="436"/>
    <cellStyle name="Normal - Style1 7" xfId="437"/>
    <cellStyle name="Normal - Style1 8" xfId="438"/>
    <cellStyle name="Normal - Style1_Book2" xfId="439"/>
    <cellStyle name="Normal 10" xfId="440"/>
    <cellStyle name="Normal 10 2" xfId="441"/>
    <cellStyle name="Normal 105" xfId="659"/>
    <cellStyle name="Normal 107" xfId="655"/>
    <cellStyle name="Normal 11" xfId="442"/>
    <cellStyle name="Normal 12" xfId="443"/>
    <cellStyle name="Normal 13" xfId="444"/>
    <cellStyle name="Normal 14" xfId="445"/>
    <cellStyle name="Normal 15" xfId="656"/>
    <cellStyle name="Normal 16" xfId="660"/>
    <cellStyle name="Normal 2" xfId="446"/>
    <cellStyle name="Normal 2 2" xfId="447"/>
    <cellStyle name="Normal 2 2 2" xfId="448"/>
    <cellStyle name="Normal 2 2 3" xfId="449"/>
    <cellStyle name="Normal 2 2_ACCOUNTS" xfId="450"/>
    <cellStyle name="Normal 2 3" xfId="451"/>
    <cellStyle name="Normal 2 4" xfId="452"/>
    <cellStyle name="Normal 2 5" xfId="453"/>
    <cellStyle name="Normal 2 6" xfId="454"/>
    <cellStyle name="Normal 2 7" xfId="636"/>
    <cellStyle name="Normal 2_ACCOUNTS" xfId="455"/>
    <cellStyle name="Normal 3" xfId="456"/>
    <cellStyle name="Normal 3 2" xfId="457"/>
    <cellStyle name="Normal 3 3" xfId="458"/>
    <cellStyle name="Normal 3_Electric Rev Req Model (2009 GRC) Rebuttal" xfId="459"/>
    <cellStyle name="Normal 4" xfId="460"/>
    <cellStyle name="Normal 4 2" xfId="461"/>
    <cellStyle name="Normal 4_ACCOUNTS" xfId="462"/>
    <cellStyle name="Normal 5" xfId="463"/>
    <cellStyle name="Normal 6" xfId="464"/>
    <cellStyle name="Normal 7" xfId="465"/>
    <cellStyle name="Normal 8" xfId="466"/>
    <cellStyle name="Normal 9" xfId="467"/>
    <cellStyle name="Note 2" xfId="468"/>
    <cellStyle name="Note 2 2" xfId="469"/>
    <cellStyle name="Note 3" xfId="470"/>
    <cellStyle name="Note 4" xfId="471"/>
    <cellStyle name="Note 8" xfId="472"/>
    <cellStyle name="Note 9" xfId="473"/>
    <cellStyle name="Output 2" xfId="474"/>
    <cellStyle name="Percen - Style1" xfId="475"/>
    <cellStyle name="Percen - Style2" xfId="476"/>
    <cellStyle name="Percen - Style2 2" xfId="477"/>
    <cellStyle name="Percen - Style2 3" xfId="478"/>
    <cellStyle name="Percen - Style3" xfId="479"/>
    <cellStyle name="Percen - Style3 2" xfId="480"/>
    <cellStyle name="Percen - Style3 3" xfId="481"/>
    <cellStyle name="Percen - Style3 4" xfId="482"/>
    <cellStyle name="Percen - Style3_ACCOUNTS" xfId="483"/>
    <cellStyle name="Percent" xfId="3" builtinId="5"/>
    <cellStyle name="Percent [2]" xfId="484"/>
    <cellStyle name="Percent [2] 2" xfId="485"/>
    <cellStyle name="Percent [2] 3" xfId="486"/>
    <cellStyle name="Percent [2] 4" xfId="487"/>
    <cellStyle name="Percent 2" xfId="488"/>
    <cellStyle name="Percent 2 2" xfId="489"/>
    <cellStyle name="Percent 2 3" xfId="490"/>
    <cellStyle name="Percent 2 4" xfId="491"/>
    <cellStyle name="Percent 3" xfId="492"/>
    <cellStyle name="Percent 4" xfId="493"/>
    <cellStyle name="Percent 4 2" xfId="494"/>
    <cellStyle name="Percent 5" xfId="495"/>
    <cellStyle name="Percent 6" xfId="496"/>
    <cellStyle name="Percent 7" xfId="658"/>
    <cellStyle name="Percent 8" xfId="661"/>
    <cellStyle name="Processing" xfId="497"/>
    <cellStyle name="Processing 2" xfId="498"/>
    <cellStyle name="Processing_Electric Rev Req Model (2009 GRC) Rebuttal" xfId="499"/>
    <cellStyle name="PSChar" xfId="500"/>
    <cellStyle name="PSChar 2" xfId="501"/>
    <cellStyle name="PSChar 3" xfId="502"/>
    <cellStyle name="PSDate" xfId="503"/>
    <cellStyle name="PSDate 2" xfId="504"/>
    <cellStyle name="PSDate 3" xfId="505"/>
    <cellStyle name="PSDec" xfId="506"/>
    <cellStyle name="PSDec 2" xfId="507"/>
    <cellStyle name="PSDec 3" xfId="508"/>
    <cellStyle name="PSHeading" xfId="509"/>
    <cellStyle name="PSHeading 2" xfId="510"/>
    <cellStyle name="PSHeading 3" xfId="511"/>
    <cellStyle name="PSInt" xfId="512"/>
    <cellStyle name="PSInt 2" xfId="513"/>
    <cellStyle name="PSInt 3" xfId="514"/>
    <cellStyle name="PSSpacer" xfId="515"/>
    <cellStyle name="PSSpacer 2" xfId="516"/>
    <cellStyle name="PSSpacer 3" xfId="517"/>
    <cellStyle name="purple - Style8" xfId="518"/>
    <cellStyle name="purple - Style8 2" xfId="519"/>
    <cellStyle name="purple - Style8_ACCOUNTS" xfId="520"/>
    <cellStyle name="RED" xfId="521"/>
    <cellStyle name="Red - Style7" xfId="522"/>
    <cellStyle name="Red - Style7 2" xfId="523"/>
    <cellStyle name="Red - Style7_ACCOUNTS" xfId="524"/>
    <cellStyle name="RED_04 07E Wild Horse Wind Expansion (C) (2)" xfId="525"/>
    <cellStyle name="Report" xfId="526"/>
    <cellStyle name="Report - Style5" xfId="527"/>
    <cellStyle name="Report - Style6" xfId="528"/>
    <cellStyle name="Report - Style7" xfId="529"/>
    <cellStyle name="Report - Style8" xfId="530"/>
    <cellStyle name="Report 2" xfId="531"/>
    <cellStyle name="Report Bar" xfId="532"/>
    <cellStyle name="Report Bar 2" xfId="533"/>
    <cellStyle name="Report Bar 3" xfId="534"/>
    <cellStyle name="Report Bar 4" xfId="535"/>
    <cellStyle name="Report Bar_Electric Rev Req Model (2009 GRC) Rebuttal" xfId="536"/>
    <cellStyle name="Report Heading" xfId="537"/>
    <cellStyle name="Report Heading 2" xfId="538"/>
    <cellStyle name="Report Heading_Electric Rev Req Model (2009 GRC) Rebuttal" xfId="539"/>
    <cellStyle name="Report Percent" xfId="540"/>
    <cellStyle name="Report Percent 2" xfId="541"/>
    <cellStyle name="Report Percent_ACCOUNTS" xfId="542"/>
    <cellStyle name="Report Unit Cost" xfId="543"/>
    <cellStyle name="Report Unit Cost 2" xfId="544"/>
    <cellStyle name="Report Unit Cost 3" xfId="545"/>
    <cellStyle name="Report Unit Cost 4" xfId="546"/>
    <cellStyle name="Report Unit Cost_ACCOUNTS" xfId="547"/>
    <cellStyle name="Report_Electric Rev Req Model (2009 GRC) Rebuttal" xfId="548"/>
    <cellStyle name="Reports" xfId="549"/>
    <cellStyle name="Reports Total" xfId="550"/>
    <cellStyle name="Reports Total 2" xfId="551"/>
    <cellStyle name="Reports Total 3" xfId="552"/>
    <cellStyle name="Reports Total 4" xfId="553"/>
    <cellStyle name="Reports Total_Electric Rev Req Model (2009 GRC) Rebuttal" xfId="554"/>
    <cellStyle name="Reports Unit Cost Total" xfId="555"/>
    <cellStyle name="Reports_Book9" xfId="556"/>
    <cellStyle name="RevList" xfId="557"/>
    <cellStyle name="round100" xfId="558"/>
    <cellStyle name="round100 2" xfId="559"/>
    <cellStyle name="round100 3" xfId="560"/>
    <cellStyle name="SAPBEXaggData" xfId="561"/>
    <cellStyle name="SAPBEXaggDataEmph" xfId="562"/>
    <cellStyle name="SAPBEXaggItem" xfId="563"/>
    <cellStyle name="SAPBEXaggItemX" xfId="564"/>
    <cellStyle name="SAPBEXchaText" xfId="565"/>
    <cellStyle name="SAPBEXexcBad7" xfId="566"/>
    <cellStyle name="SAPBEXexcBad8" xfId="567"/>
    <cellStyle name="SAPBEXexcBad9" xfId="568"/>
    <cellStyle name="SAPBEXexcCritical4" xfId="569"/>
    <cellStyle name="SAPBEXexcCritical5" xfId="570"/>
    <cellStyle name="SAPBEXexcCritical6" xfId="571"/>
    <cellStyle name="SAPBEXexcGood1" xfId="572"/>
    <cellStyle name="SAPBEXexcGood2" xfId="573"/>
    <cellStyle name="SAPBEXexcGood3" xfId="574"/>
    <cellStyle name="SAPBEXfilterDrill" xfId="575"/>
    <cellStyle name="SAPBEXfilterItem" xfId="576"/>
    <cellStyle name="SAPBEXfilterText" xfId="577"/>
    <cellStyle name="SAPBEXformats" xfId="578"/>
    <cellStyle name="SAPBEXheaderItem" xfId="579"/>
    <cellStyle name="SAPBEXheaderText" xfId="580"/>
    <cellStyle name="SAPBEXHLevel0" xfId="581"/>
    <cellStyle name="SAPBEXHLevel0X" xfId="582"/>
    <cellStyle name="SAPBEXHLevel1" xfId="583"/>
    <cellStyle name="SAPBEXHLevel1X" xfId="584"/>
    <cellStyle name="SAPBEXHLevel2" xfId="585"/>
    <cellStyle name="SAPBEXHLevel2X" xfId="586"/>
    <cellStyle name="SAPBEXHLevel3" xfId="587"/>
    <cellStyle name="SAPBEXHLevel3X" xfId="588"/>
    <cellStyle name="SAPBEXresData" xfId="589"/>
    <cellStyle name="SAPBEXresDataEmph" xfId="590"/>
    <cellStyle name="SAPBEXresItem" xfId="591"/>
    <cellStyle name="SAPBEXresItemX" xfId="592"/>
    <cellStyle name="SAPBEXstdData" xfId="593"/>
    <cellStyle name="SAPBEXstdDataEmph" xfId="594"/>
    <cellStyle name="SAPBEXstdItem" xfId="595"/>
    <cellStyle name="SAPBEXstdItemX" xfId="596"/>
    <cellStyle name="SAPBEXtitle" xfId="597"/>
    <cellStyle name="SAPBEXundefined" xfId="598"/>
    <cellStyle name="shade" xfId="599"/>
    <cellStyle name="shade 2" xfId="600"/>
    <cellStyle name="shade 3" xfId="601"/>
    <cellStyle name="shade_ACCOUNTS" xfId="602"/>
    <cellStyle name="StmtTtl1" xfId="603"/>
    <cellStyle name="StmtTtl1 2" xfId="604"/>
    <cellStyle name="StmtTtl1 3" xfId="605"/>
    <cellStyle name="StmtTtl1 4" xfId="606"/>
    <cellStyle name="StmtTtl1_Gas Rev Req Model (2010 GRC)" xfId="607"/>
    <cellStyle name="StmtTtl2" xfId="608"/>
    <cellStyle name="StmtTtl2 2" xfId="609"/>
    <cellStyle name="StmtTtl2 3" xfId="610"/>
    <cellStyle name="STYL1 - Style1" xfId="611"/>
    <cellStyle name="Style 1" xfId="612"/>
    <cellStyle name="Style 1 2" xfId="613"/>
    <cellStyle name="Style 1 3" xfId="614"/>
    <cellStyle name="Style 1 4" xfId="615"/>
    <cellStyle name="Style 1 5" xfId="616"/>
    <cellStyle name="Style 1 6" xfId="617"/>
    <cellStyle name="Style 1_4 31 Regulatory Assets and Liabilities  7 06- Exhibit D" xfId="618"/>
    <cellStyle name="Subtotal" xfId="619"/>
    <cellStyle name="Sub-total" xfId="620"/>
    <cellStyle name="Test" xfId="621"/>
    <cellStyle name="Title 2 2" xfId="622"/>
    <cellStyle name="Title: - Style3" xfId="623"/>
    <cellStyle name="Title: - Style4" xfId="624"/>
    <cellStyle name="Title: Major" xfId="625"/>
    <cellStyle name="Title: Major 2" xfId="626"/>
    <cellStyle name="Title: Major 3" xfId="627"/>
    <cellStyle name="Title: Minor" xfId="7"/>
    <cellStyle name="Title: Minor 2" xfId="628"/>
    <cellStyle name="Title: Minor_Electric Rev Req Model (2009 GRC) Rebuttal" xfId="629"/>
    <cellStyle name="Title: Worksheet" xfId="6"/>
    <cellStyle name="Total 2" xfId="630"/>
    <cellStyle name="Total 3" xfId="631"/>
    <cellStyle name="Total4 - Style4" xfId="632"/>
    <cellStyle name="Total4 - Style4 2" xfId="633"/>
    <cellStyle name="Total4 - Style4_ACCOUNTS" xfId="634"/>
    <cellStyle name="Warning Text 2" xfId="6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d.projectcentral.bv.com@SSL\DavWWWRoot\sites\401715\Shared%20Documents\Data%20from%20Client\Customer%20Counts\Gas%20Customer%20Counts%20Allocators_Jan18-Dec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d.projectcentral.bv.com@SSL\DavWWWRoot\sites\401715\Shared%20Documents\COSA%20Model\Special%20Studies\Mains\Gas%20Mains%20FERC%20376_12-31-18%20BV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sites/401715/Shared%20Documents/COSA%20Model/Special%20Studies/Mains/Boeing%20Analysis/Gas%20Mains_Sch99_Flow%20Study_12-31-18%20BV%20Edi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COS%20Meter%20Allocators_Compliance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d.projectcentral.bv.com@SSL\DavWWWRoot\sites\401715\Shared%20Documents\COSA%20Model\Special%20Studies\Services\(C)%20Services%202019%20GR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8G-Gas-RBxFERC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7G-Gas-ISxFERC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4-GAS-NORMALIZED-REVENUE-19GRC-06-2019(C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d.projectcentral.bv.com@SSL\DavWWWRoot\sites\401715\Shared%20Documents\Data%20from%20Client\Other%20Allocators\Gas%20Peak%20Day%20and%20Volume%20Allocators_Jan18-Dec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y78085/AppData/Local/Microsoft/Windows/INetCache/Content.Outlook/N0QUMP31/Gas%20Peak%20Day%20and%20Volume%20Allocators_Jan18-Dec18_DRAFT%205-25-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cd.projectcentral.bv.com/sites/401715/Shared%20Documents/COSA%20Model/Special%20Studies/Account%20Inputs/2019%20Gas%20COSS%20Ac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er Summary"/>
      <sheetName val="BOBJ Data--&gt;"/>
      <sheetName val="Customer Counts"/>
    </sheetNames>
    <sheetDataSet>
      <sheetData sheetId="0">
        <row r="57">
          <cell r="B57">
            <v>768045</v>
          </cell>
          <cell r="C57">
            <v>769188</v>
          </cell>
          <cell r="D57">
            <v>769910</v>
          </cell>
          <cell r="E57">
            <v>770300</v>
          </cell>
          <cell r="F57">
            <v>770946</v>
          </cell>
          <cell r="G57">
            <v>771263</v>
          </cell>
          <cell r="H57">
            <v>771479</v>
          </cell>
          <cell r="I57">
            <v>772033</v>
          </cell>
          <cell r="J57">
            <v>772621</v>
          </cell>
          <cell r="K57">
            <v>774710</v>
          </cell>
          <cell r="L57">
            <v>776870</v>
          </cell>
          <cell r="M57">
            <v>778198</v>
          </cell>
          <cell r="N57">
            <v>9265563</v>
          </cell>
          <cell r="O57">
            <v>772130.25</v>
          </cell>
        </row>
        <row r="58">
          <cell r="B58">
            <v>56661</v>
          </cell>
          <cell r="C58">
            <v>56664</v>
          </cell>
          <cell r="D58">
            <v>56741</v>
          </cell>
          <cell r="E58">
            <v>56703</v>
          </cell>
          <cell r="F58">
            <v>56687</v>
          </cell>
          <cell r="G58">
            <v>56612</v>
          </cell>
          <cell r="H58">
            <v>56584</v>
          </cell>
          <cell r="I58">
            <v>56567</v>
          </cell>
          <cell r="J58">
            <v>56551</v>
          </cell>
          <cell r="K58">
            <v>56701</v>
          </cell>
          <cell r="L58">
            <v>56844</v>
          </cell>
          <cell r="M58">
            <v>56978</v>
          </cell>
          <cell r="N58">
            <v>680293</v>
          </cell>
          <cell r="O58">
            <v>56691.083333333336</v>
          </cell>
        </row>
        <row r="59">
          <cell r="B59">
            <v>1465</v>
          </cell>
          <cell r="C59">
            <v>1462</v>
          </cell>
          <cell r="D59">
            <v>1465</v>
          </cell>
          <cell r="E59">
            <v>1468</v>
          </cell>
          <cell r="F59">
            <v>1466</v>
          </cell>
          <cell r="G59">
            <v>1461</v>
          </cell>
          <cell r="H59">
            <v>1424</v>
          </cell>
          <cell r="I59">
            <v>1411</v>
          </cell>
          <cell r="J59">
            <v>1410</v>
          </cell>
          <cell r="K59">
            <v>1417</v>
          </cell>
          <cell r="L59">
            <v>1424</v>
          </cell>
          <cell r="M59">
            <v>1425</v>
          </cell>
          <cell r="N59">
            <v>17298</v>
          </cell>
          <cell r="O59">
            <v>1441.5</v>
          </cell>
        </row>
        <row r="60">
          <cell r="B60">
            <v>130</v>
          </cell>
          <cell r="C60">
            <v>130</v>
          </cell>
          <cell r="D60">
            <v>130</v>
          </cell>
          <cell r="E60">
            <v>130</v>
          </cell>
          <cell r="F60">
            <v>131</v>
          </cell>
          <cell r="G60">
            <v>131</v>
          </cell>
          <cell r="H60">
            <v>131</v>
          </cell>
          <cell r="I60">
            <v>131</v>
          </cell>
          <cell r="J60">
            <v>131</v>
          </cell>
          <cell r="K60">
            <v>131</v>
          </cell>
          <cell r="L60">
            <v>131</v>
          </cell>
          <cell r="M60">
            <v>131</v>
          </cell>
          <cell r="N60">
            <v>1568</v>
          </cell>
          <cell r="O60">
            <v>130.66666666666666</v>
          </cell>
        </row>
        <row r="61">
          <cell r="B61">
            <v>230</v>
          </cell>
          <cell r="C61">
            <v>230</v>
          </cell>
          <cell r="D61">
            <v>230</v>
          </cell>
          <cell r="E61">
            <v>230</v>
          </cell>
          <cell r="F61">
            <v>229</v>
          </cell>
          <cell r="G61">
            <v>229</v>
          </cell>
          <cell r="H61">
            <v>228</v>
          </cell>
          <cell r="I61">
            <v>228</v>
          </cell>
          <cell r="J61">
            <v>228</v>
          </cell>
          <cell r="K61">
            <v>228</v>
          </cell>
          <cell r="L61">
            <v>225</v>
          </cell>
          <cell r="M61">
            <v>222</v>
          </cell>
          <cell r="N61">
            <v>2737</v>
          </cell>
          <cell r="O61">
            <v>228.08333333333334</v>
          </cell>
        </row>
        <row r="62">
          <cell r="B62">
            <v>15</v>
          </cell>
          <cell r="C62">
            <v>15</v>
          </cell>
          <cell r="D62">
            <v>15</v>
          </cell>
          <cell r="E62">
            <v>15</v>
          </cell>
          <cell r="F62">
            <v>15</v>
          </cell>
          <cell r="G62">
            <v>15</v>
          </cell>
          <cell r="H62">
            <v>15</v>
          </cell>
          <cell r="I62">
            <v>15</v>
          </cell>
          <cell r="J62">
            <v>15</v>
          </cell>
          <cell r="K62">
            <v>15</v>
          </cell>
          <cell r="L62">
            <v>15</v>
          </cell>
          <cell r="M62">
            <v>15</v>
          </cell>
          <cell r="N62">
            <v>180</v>
          </cell>
          <cell r="O62">
            <v>15</v>
          </cell>
        </row>
        <row r="63">
          <cell r="B63">
            <v>10</v>
          </cell>
          <cell r="C63">
            <v>10</v>
          </cell>
          <cell r="D63">
            <v>10</v>
          </cell>
          <cell r="E63">
            <v>10</v>
          </cell>
          <cell r="F63">
            <v>10</v>
          </cell>
          <cell r="G63">
            <v>10</v>
          </cell>
          <cell r="H63">
            <v>10</v>
          </cell>
          <cell r="I63">
            <v>10</v>
          </cell>
          <cell r="J63">
            <v>10</v>
          </cell>
          <cell r="K63">
            <v>10</v>
          </cell>
          <cell r="L63">
            <v>10</v>
          </cell>
          <cell r="M63">
            <v>10</v>
          </cell>
          <cell r="N63">
            <v>120</v>
          </cell>
          <cell r="O63">
            <v>10</v>
          </cell>
        </row>
        <row r="69">
          <cell r="B69">
            <v>768045</v>
          </cell>
          <cell r="C69">
            <v>769188</v>
          </cell>
          <cell r="D69">
            <v>769910</v>
          </cell>
          <cell r="E69">
            <v>770300</v>
          </cell>
          <cell r="F69">
            <v>770946</v>
          </cell>
          <cell r="G69">
            <v>771263</v>
          </cell>
          <cell r="H69">
            <v>771479</v>
          </cell>
          <cell r="I69">
            <v>772033</v>
          </cell>
          <cell r="J69">
            <v>772621</v>
          </cell>
          <cell r="K69">
            <v>774710</v>
          </cell>
          <cell r="L69">
            <v>776870</v>
          </cell>
          <cell r="M69">
            <v>778198</v>
          </cell>
          <cell r="N69">
            <v>9265563</v>
          </cell>
          <cell r="O69">
            <v>772130.25</v>
          </cell>
        </row>
        <row r="70">
          <cell r="B70">
            <v>56658</v>
          </cell>
          <cell r="C70">
            <v>56661</v>
          </cell>
          <cell r="D70">
            <v>56738</v>
          </cell>
          <cell r="E70">
            <v>56700</v>
          </cell>
          <cell r="F70">
            <v>56684</v>
          </cell>
          <cell r="G70">
            <v>56609</v>
          </cell>
          <cell r="H70">
            <v>56581</v>
          </cell>
          <cell r="I70">
            <v>56565</v>
          </cell>
          <cell r="J70">
            <v>56549</v>
          </cell>
          <cell r="K70">
            <v>56699</v>
          </cell>
          <cell r="L70">
            <v>56842</v>
          </cell>
          <cell r="M70">
            <v>56976</v>
          </cell>
          <cell r="N70">
            <v>680262</v>
          </cell>
          <cell r="O70">
            <v>56688.5</v>
          </cell>
        </row>
        <row r="71">
          <cell r="B71">
            <v>1362</v>
          </cell>
          <cell r="C71">
            <v>1357</v>
          </cell>
          <cell r="D71">
            <v>1360</v>
          </cell>
          <cell r="E71">
            <v>1363</v>
          </cell>
          <cell r="F71">
            <v>1361</v>
          </cell>
          <cell r="G71">
            <v>1352</v>
          </cell>
          <cell r="H71">
            <v>1315</v>
          </cell>
          <cell r="I71">
            <v>1302</v>
          </cell>
          <cell r="J71">
            <v>1301</v>
          </cell>
          <cell r="K71">
            <v>1308</v>
          </cell>
          <cell r="L71">
            <v>1318</v>
          </cell>
          <cell r="M71">
            <v>1319</v>
          </cell>
          <cell r="N71">
            <v>16018</v>
          </cell>
          <cell r="O71">
            <v>1334.8333333333333</v>
          </cell>
        </row>
        <row r="72">
          <cell r="B72">
            <v>29</v>
          </cell>
          <cell r="C72">
            <v>29</v>
          </cell>
          <cell r="D72">
            <v>29</v>
          </cell>
          <cell r="E72">
            <v>29</v>
          </cell>
          <cell r="F72">
            <v>29</v>
          </cell>
          <cell r="G72">
            <v>28</v>
          </cell>
          <cell r="H72">
            <v>28</v>
          </cell>
          <cell r="I72">
            <v>28</v>
          </cell>
          <cell r="J72">
            <v>28</v>
          </cell>
          <cell r="K72">
            <v>28</v>
          </cell>
          <cell r="L72">
            <v>28</v>
          </cell>
          <cell r="M72">
            <v>28</v>
          </cell>
          <cell r="N72">
            <v>341</v>
          </cell>
          <cell r="O72">
            <v>28.416666666666668</v>
          </cell>
        </row>
        <row r="73">
          <cell r="B73">
            <v>228</v>
          </cell>
          <cell r="C73">
            <v>228</v>
          </cell>
          <cell r="D73">
            <v>228</v>
          </cell>
          <cell r="E73">
            <v>228</v>
          </cell>
          <cell r="F73">
            <v>227</v>
          </cell>
          <cell r="G73">
            <v>227</v>
          </cell>
          <cell r="H73">
            <v>226</v>
          </cell>
          <cell r="I73">
            <v>226</v>
          </cell>
          <cell r="J73">
            <v>226</v>
          </cell>
          <cell r="K73">
            <v>226</v>
          </cell>
          <cell r="L73">
            <v>223</v>
          </cell>
          <cell r="M73">
            <v>219</v>
          </cell>
          <cell r="N73">
            <v>2712</v>
          </cell>
          <cell r="O73">
            <v>226</v>
          </cell>
        </row>
        <row r="74">
          <cell r="B74">
            <v>5</v>
          </cell>
          <cell r="C74">
            <v>5</v>
          </cell>
          <cell r="D74">
            <v>5</v>
          </cell>
          <cell r="E74">
            <v>5</v>
          </cell>
          <cell r="F74">
            <v>5</v>
          </cell>
          <cell r="G74">
            <v>5</v>
          </cell>
          <cell r="H74">
            <v>5</v>
          </cell>
          <cell r="I74">
            <v>5</v>
          </cell>
          <cell r="J74">
            <v>5</v>
          </cell>
          <cell r="K74">
            <v>5</v>
          </cell>
          <cell r="L74">
            <v>5</v>
          </cell>
          <cell r="M74">
            <v>5</v>
          </cell>
          <cell r="N74">
            <v>60</v>
          </cell>
          <cell r="O74">
            <v>5</v>
          </cell>
        </row>
        <row r="79">
          <cell r="B79">
            <v>3</v>
          </cell>
          <cell r="C79">
            <v>3</v>
          </cell>
          <cell r="D79">
            <v>3</v>
          </cell>
          <cell r="E79">
            <v>3</v>
          </cell>
          <cell r="F79">
            <v>3</v>
          </cell>
          <cell r="G79">
            <v>3</v>
          </cell>
          <cell r="H79">
            <v>3</v>
          </cell>
          <cell r="I79">
            <v>2</v>
          </cell>
          <cell r="J79">
            <v>2</v>
          </cell>
          <cell r="K79">
            <v>2</v>
          </cell>
          <cell r="L79">
            <v>2</v>
          </cell>
          <cell r="M79">
            <v>2</v>
          </cell>
          <cell r="N79">
            <v>31</v>
          </cell>
          <cell r="O79">
            <v>2.5833333333333335</v>
          </cell>
        </row>
        <row r="80">
          <cell r="B80">
            <v>103</v>
          </cell>
          <cell r="C80">
            <v>105</v>
          </cell>
          <cell r="D80">
            <v>105</v>
          </cell>
          <cell r="E80">
            <v>105</v>
          </cell>
          <cell r="F80">
            <v>105</v>
          </cell>
          <cell r="G80">
            <v>109</v>
          </cell>
          <cell r="H80">
            <v>109</v>
          </cell>
          <cell r="I80">
            <v>109</v>
          </cell>
          <cell r="J80">
            <v>109</v>
          </cell>
          <cell r="K80">
            <v>109</v>
          </cell>
          <cell r="L80">
            <v>106</v>
          </cell>
          <cell r="M80">
            <v>106</v>
          </cell>
          <cell r="N80">
            <v>1280</v>
          </cell>
          <cell r="O80">
            <v>106.66666666666667</v>
          </cell>
        </row>
        <row r="81">
          <cell r="B81">
            <v>101</v>
          </cell>
          <cell r="C81">
            <v>101</v>
          </cell>
          <cell r="D81">
            <v>101</v>
          </cell>
          <cell r="E81">
            <v>101</v>
          </cell>
          <cell r="F81">
            <v>102</v>
          </cell>
          <cell r="G81">
            <v>103</v>
          </cell>
          <cell r="H81">
            <v>103</v>
          </cell>
          <cell r="I81">
            <v>103</v>
          </cell>
          <cell r="J81">
            <v>103</v>
          </cell>
          <cell r="K81">
            <v>103</v>
          </cell>
          <cell r="L81">
            <v>103</v>
          </cell>
          <cell r="M81">
            <v>103</v>
          </cell>
          <cell r="N81">
            <v>1227</v>
          </cell>
          <cell r="O81">
            <v>102.25</v>
          </cell>
        </row>
        <row r="82">
          <cell r="B82">
            <v>2</v>
          </cell>
          <cell r="C82">
            <v>2</v>
          </cell>
          <cell r="D82">
            <v>2</v>
          </cell>
          <cell r="E82">
            <v>2</v>
          </cell>
          <cell r="F82">
            <v>2</v>
          </cell>
          <cell r="G82">
            <v>2</v>
          </cell>
          <cell r="H82">
            <v>2</v>
          </cell>
          <cell r="I82">
            <v>2</v>
          </cell>
          <cell r="J82">
            <v>2</v>
          </cell>
          <cell r="K82">
            <v>2</v>
          </cell>
          <cell r="L82">
            <v>2</v>
          </cell>
          <cell r="M82">
            <v>3</v>
          </cell>
          <cell r="N82">
            <v>25</v>
          </cell>
          <cell r="O82">
            <v>2.0833333333333335</v>
          </cell>
        </row>
        <row r="83">
          <cell r="B83">
            <v>10</v>
          </cell>
          <cell r="C83">
            <v>10</v>
          </cell>
          <cell r="D83">
            <v>10</v>
          </cell>
          <cell r="E83">
            <v>10</v>
          </cell>
          <cell r="F83">
            <v>10</v>
          </cell>
          <cell r="G83">
            <v>10</v>
          </cell>
          <cell r="H83">
            <v>10</v>
          </cell>
          <cell r="I83">
            <v>10</v>
          </cell>
          <cell r="J83">
            <v>10</v>
          </cell>
          <cell r="K83">
            <v>10</v>
          </cell>
          <cell r="L83">
            <v>10</v>
          </cell>
          <cell r="M83">
            <v>10</v>
          </cell>
          <cell r="N83">
            <v>120</v>
          </cell>
          <cell r="O83">
            <v>10</v>
          </cell>
        </row>
        <row r="84">
          <cell r="B84">
            <v>10</v>
          </cell>
          <cell r="C84">
            <v>10</v>
          </cell>
          <cell r="D84">
            <v>10</v>
          </cell>
          <cell r="E84">
            <v>10</v>
          </cell>
          <cell r="F84">
            <v>10</v>
          </cell>
          <cell r="G84">
            <v>10</v>
          </cell>
          <cell r="H84">
            <v>10</v>
          </cell>
          <cell r="I84">
            <v>10</v>
          </cell>
          <cell r="J84">
            <v>10</v>
          </cell>
          <cell r="K84">
            <v>10</v>
          </cell>
          <cell r="L84">
            <v>10</v>
          </cell>
          <cell r="M84">
            <v>10</v>
          </cell>
          <cell r="N84">
            <v>120</v>
          </cell>
          <cell r="O84">
            <v>10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--&gt;"/>
      <sheetName val="Unit Cost"/>
      <sheetName val="Pivot"/>
      <sheetName val="Gas Mains G376"/>
      <sheetName val="LNG--&gt;"/>
      <sheetName val="LNG Gas Main"/>
      <sheetName val="Accounting Data--&gt;"/>
      <sheetName val="G376"/>
      <sheetName val="Pivot G 376"/>
      <sheetName val="Filtered"/>
      <sheetName val="Raw Data"/>
      <sheetName val="How The Data Was Obtained"/>
    </sheetNames>
    <sheetDataSet>
      <sheetData sheetId="0"/>
      <sheetData sheetId="1">
        <row r="5">
          <cell r="C5">
            <v>79907</v>
          </cell>
          <cell r="E5">
            <v>2850509.3567231884</v>
          </cell>
        </row>
        <row r="6">
          <cell r="C6">
            <v>11137919</v>
          </cell>
          <cell r="E6">
            <v>229102384.21776438</v>
          </cell>
        </row>
        <row r="7">
          <cell r="C7">
            <v>27407322</v>
          </cell>
          <cell r="E7">
            <v>879841154.6646111</v>
          </cell>
        </row>
        <row r="8">
          <cell r="C8">
            <v>62856</v>
          </cell>
          <cell r="E8">
            <v>3476910.233445222</v>
          </cell>
        </row>
        <row r="9">
          <cell r="C9">
            <v>5948402</v>
          </cell>
          <cell r="E9">
            <v>321308350.52471042</v>
          </cell>
        </row>
        <row r="10">
          <cell r="C10">
            <v>2730414</v>
          </cell>
          <cell r="E10">
            <v>289024229.87471855</v>
          </cell>
        </row>
        <row r="11">
          <cell r="C11">
            <v>860539</v>
          </cell>
          <cell r="E11">
            <v>135390567.39881361</v>
          </cell>
        </row>
        <row r="15">
          <cell r="C15">
            <v>6352</v>
          </cell>
          <cell r="E15">
            <v>1502260.5</v>
          </cell>
        </row>
        <row r="16">
          <cell r="C16">
            <v>13071713</v>
          </cell>
          <cell r="E16">
            <v>364813105.01034576</v>
          </cell>
        </row>
        <row r="17">
          <cell r="C17">
            <v>3580857</v>
          </cell>
          <cell r="E17">
            <v>153531208.35360432</v>
          </cell>
        </row>
        <row r="18">
          <cell r="C18">
            <v>12171</v>
          </cell>
          <cell r="E18">
            <v>823259.19060804264</v>
          </cell>
        </row>
        <row r="19">
          <cell r="C19">
            <v>2804539</v>
          </cell>
          <cell r="E19">
            <v>203845369.38986957</v>
          </cell>
        </row>
        <row r="20">
          <cell r="C20">
            <v>1891811</v>
          </cell>
          <cell r="E20">
            <v>224691998.43380311</v>
          </cell>
        </row>
        <row r="21">
          <cell r="C21">
            <v>797344</v>
          </cell>
          <cell r="E21">
            <v>191200665.90098363</v>
          </cell>
        </row>
        <row r="22">
          <cell r="C22">
            <v>743536</v>
          </cell>
          <cell r="E22">
            <v>281860317.7941134</v>
          </cell>
        </row>
        <row r="23">
          <cell r="C23">
            <v>822896</v>
          </cell>
          <cell r="E23">
            <v>421173344.48558247</v>
          </cell>
        </row>
        <row r="24">
          <cell r="C24">
            <v>39242</v>
          </cell>
          <cell r="E24">
            <v>16876569.769158334</v>
          </cell>
        </row>
        <row r="25">
          <cell r="C25">
            <v>41</v>
          </cell>
          <cell r="E25">
            <v>13243.900000000001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Summary"/>
      <sheetName val="Boeing Location Data"/>
      <sheetName val="Boeing Contract Demand"/>
      <sheetName val="8701 E Marginal Way S, Tukwila"/>
      <sheetName val="6 Logan Ave N Renton"/>
      <sheetName val="20403 68th Ave S, Kent"/>
      <sheetName val="3303 W Casino Rd, Everett "/>
      <sheetName val="700 15th St SW, Auburn"/>
      <sheetName val="9725 E Marginal Way S, Tukwila"/>
      <sheetName val="1300 SW 16TH ST, RENTON"/>
      <sheetName val="2201 S 142ND ST, SEATAC"/>
      <sheetName val="7755 E MARGINAL WAY S, TUKWILA"/>
      <sheetName val="Unit Cost Lookup"/>
    </sheetNames>
    <sheetDataSet>
      <sheetData sheetId="0">
        <row r="11">
          <cell r="F11">
            <v>4893489.6999993157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Gas meter"/>
      <sheetName val="Gas Install"/>
      <sheetName val="Unit Costs"/>
      <sheetName val="Total Costs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B8">
            <v>754496</v>
          </cell>
          <cell r="C8">
            <v>63994</v>
          </cell>
          <cell r="E8">
            <v>154698829.74599999</v>
          </cell>
          <cell r="G8">
            <v>36849172.416000001</v>
          </cell>
          <cell r="I8">
            <v>168220.24000000002</v>
          </cell>
        </row>
        <row r="9">
          <cell r="B9">
            <v>0</v>
          </cell>
          <cell r="C9">
            <v>1</v>
          </cell>
          <cell r="E9">
            <v>87.355999999999995</v>
          </cell>
          <cell r="G9">
            <v>45.024000000000008</v>
          </cell>
          <cell r="I9">
            <v>0</v>
          </cell>
        </row>
        <row r="10">
          <cell r="B10">
            <v>63035</v>
          </cell>
          <cell r="C10">
            <v>6009</v>
          </cell>
          <cell r="E10">
            <v>39869458.998000003</v>
          </cell>
          <cell r="G10">
            <v>2834485.9200000004</v>
          </cell>
          <cell r="I10">
            <v>19681849.309999999</v>
          </cell>
        </row>
        <row r="11">
          <cell r="B11">
            <v>2</v>
          </cell>
          <cell r="C11">
            <v>1</v>
          </cell>
          <cell r="E11">
            <v>0</v>
          </cell>
          <cell r="G11">
            <v>0</v>
          </cell>
          <cell r="I11">
            <v>9699.08</v>
          </cell>
        </row>
        <row r="12">
          <cell r="B12">
            <v>1720</v>
          </cell>
          <cell r="C12">
            <v>513</v>
          </cell>
          <cell r="E12">
            <v>782866.52799999993</v>
          </cell>
          <cell r="G12">
            <v>24673.152000000006</v>
          </cell>
          <cell r="I12">
            <v>9655113.3899999987</v>
          </cell>
        </row>
        <row r="13">
          <cell r="B13">
            <v>50</v>
          </cell>
          <cell r="C13">
            <v>107</v>
          </cell>
          <cell r="E13">
            <v>7476.23</v>
          </cell>
          <cell r="G13">
            <v>225.12000000000003</v>
          </cell>
          <cell r="I13">
            <v>1008271.6900000001</v>
          </cell>
        </row>
        <row r="14">
          <cell r="B14">
            <v>2</v>
          </cell>
          <cell r="C14">
            <v>51</v>
          </cell>
          <cell r="E14">
            <v>0</v>
          </cell>
          <cell r="G14">
            <v>0</v>
          </cell>
          <cell r="I14">
            <v>780041.33000000007</v>
          </cell>
        </row>
        <row r="15">
          <cell r="B15">
            <v>97</v>
          </cell>
          <cell r="C15">
            <v>116</v>
          </cell>
          <cell r="E15">
            <v>4485.7379999999994</v>
          </cell>
          <cell r="G15">
            <v>135.07200000000003</v>
          </cell>
          <cell r="I15">
            <v>3473148.6900000004</v>
          </cell>
        </row>
        <row r="16">
          <cell r="B16">
            <v>53</v>
          </cell>
          <cell r="C16">
            <v>217</v>
          </cell>
          <cell r="E16">
            <v>2610.768</v>
          </cell>
          <cell r="G16">
            <v>135.07200000000003</v>
          </cell>
          <cell r="I16">
            <v>928869.83000000007</v>
          </cell>
        </row>
        <row r="17">
          <cell r="B17">
            <v>0</v>
          </cell>
          <cell r="C17">
            <v>6</v>
          </cell>
          <cell r="E17">
            <v>0</v>
          </cell>
          <cell r="G17">
            <v>0</v>
          </cell>
          <cell r="I17">
            <v>66248.88</v>
          </cell>
        </row>
        <row r="18">
          <cell r="B18">
            <v>0</v>
          </cell>
          <cell r="C18">
            <v>8</v>
          </cell>
          <cell r="E18">
            <v>0</v>
          </cell>
          <cell r="G18">
            <v>0</v>
          </cell>
          <cell r="I18">
            <v>293341.87000000005</v>
          </cell>
        </row>
        <row r="19">
          <cell r="B19">
            <v>14</v>
          </cell>
          <cell r="C19">
            <v>9</v>
          </cell>
          <cell r="E19">
            <v>0</v>
          </cell>
          <cell r="G19">
            <v>0</v>
          </cell>
          <cell r="I19">
            <v>779883.41</v>
          </cell>
        </row>
        <row r="20">
          <cell r="B20">
            <v>21</v>
          </cell>
          <cell r="C20">
            <v>11</v>
          </cell>
          <cell r="E20">
            <v>1495.2459999999999</v>
          </cell>
          <cell r="G20">
            <v>45.024000000000008</v>
          </cell>
          <cell r="I20">
            <v>710101.35000000009</v>
          </cell>
        </row>
        <row r="27">
          <cell r="B27">
            <v>154698917.102</v>
          </cell>
          <cell r="C27">
            <v>36849217.439999998</v>
          </cell>
          <cell r="D27">
            <v>168220.24000000002</v>
          </cell>
        </row>
        <row r="28">
          <cell r="B28">
            <v>39869458.998000003</v>
          </cell>
          <cell r="C28">
            <v>2834485.9200000004</v>
          </cell>
          <cell r="D28">
            <v>19681849.309999999</v>
          </cell>
        </row>
        <row r="29">
          <cell r="B29">
            <v>790342.75799999991</v>
          </cell>
          <cell r="C29">
            <v>24898.272000000004</v>
          </cell>
          <cell r="D29">
            <v>10663385.079999998</v>
          </cell>
        </row>
        <row r="30">
          <cell r="B30">
            <v>4485.7379999999994</v>
          </cell>
          <cell r="C30">
            <v>135.07200000000003</v>
          </cell>
          <cell r="D30">
            <v>4253190.0200000005</v>
          </cell>
        </row>
        <row r="31">
          <cell r="B31">
            <v>2610.768</v>
          </cell>
          <cell r="C31">
            <v>135.07200000000003</v>
          </cell>
          <cell r="D31">
            <v>995118.71000000008</v>
          </cell>
        </row>
        <row r="32">
          <cell r="B32">
            <v>0</v>
          </cell>
          <cell r="C32">
            <v>0</v>
          </cell>
          <cell r="D32">
            <v>1073225.28</v>
          </cell>
        </row>
        <row r="33">
          <cell r="B33">
            <v>1495.2459999999999</v>
          </cell>
          <cell r="C33">
            <v>45.024000000000008</v>
          </cell>
          <cell r="D33">
            <v>710101.35000000009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Sheet4"/>
      <sheetName val="(C) G380 12312018 (Final)"/>
      <sheetName val="Total Costs"/>
      <sheetName val="Customer List"/>
      <sheetName val="Customer List OLD"/>
      <sheetName val="Direct 380"/>
      <sheetName val="WtCust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C9">
            <v>4400799.1643617945</v>
          </cell>
        </row>
        <row r="10">
          <cell r="C10">
            <v>72246.997858551447</v>
          </cell>
        </row>
        <row r="11">
          <cell r="C11">
            <v>3519933.1802504067</v>
          </cell>
        </row>
        <row r="12">
          <cell r="C12">
            <v>6160035.3202083549</v>
          </cell>
        </row>
        <row r="13">
          <cell r="C13">
            <v>314119.03339226858</v>
          </cell>
        </row>
        <row r="14">
          <cell r="C14">
            <v>0</v>
          </cell>
        </row>
        <row r="15">
          <cell r="C15">
            <v>340654.39488483238</v>
          </cell>
        </row>
        <row r="16">
          <cell r="C16">
            <v>1166645.8710544498</v>
          </cell>
        </row>
        <row r="17">
          <cell r="C17">
            <v>2486820.4779697289</v>
          </cell>
        </row>
        <row r="21">
          <cell r="C21">
            <v>1951341634.5038073</v>
          </cell>
        </row>
      </sheetData>
      <sheetData sheetId="7">
        <row r="10">
          <cell r="C10">
            <v>1115516814.0168519</v>
          </cell>
        </row>
        <row r="12">
          <cell r="C12">
            <v>788330882.97165251</v>
          </cell>
        </row>
        <row r="14">
          <cell r="C14">
            <v>16221074.700218599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Rate Base - Plant Detail"/>
      <sheetName val="Gas Rate Base"/>
      <sheetName val="2017 GRC WC Det Format"/>
      <sheetName val="G Input"/>
      <sheetName val="G Recon PWR Plt"/>
      <sheetName val="Power Plant Info"/>
      <sheetName val="AMA&gt;&gt;"/>
      <sheetName val="Depr 1301FC Comm"/>
      <sheetName val="Depr 1302FC Comm"/>
      <sheetName val="GRB AMA"/>
      <sheetName val="1302FC Accum Depm Dec18"/>
      <sheetName val="1301 Pivot"/>
      <sheetName val="1301FC Plant Bal Dec18"/>
      <sheetName val="1302 Pivot"/>
      <sheetName val="WC "/>
      <sheetName val="EOP&gt;&gt;"/>
      <sheetName val="Lease"/>
      <sheetName val="1301FC Plant Bal Dec18."/>
      <sheetName val="1302FC AccDep Dec18"/>
      <sheetName val="Depr 1301FC Comm."/>
      <sheetName val="Depr 1302FC Comm."/>
      <sheetName val="Depr"/>
      <sheetName val="Depr sup"/>
      <sheetName val="GTZ"/>
    </sheetNames>
    <sheetDataSet>
      <sheetData sheetId="0">
        <row r="24">
          <cell r="W24">
            <v>1176420000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19 Adj Detail"/>
      <sheetName val="6.28"/>
    </sheetNames>
    <sheetDataSet>
      <sheetData sheetId="0">
        <row r="187">
          <cell r="AV187">
            <v>1815730.3499707021</v>
          </cell>
        </row>
        <row r="188">
          <cell r="AV188">
            <v>477915.78105662781</v>
          </cell>
        </row>
        <row r="189">
          <cell r="AV189">
            <v>2973291.5607245159</v>
          </cell>
        </row>
        <row r="190">
          <cell r="AV190">
            <v>3722836.2230376536</v>
          </cell>
        </row>
        <row r="197">
          <cell r="AV197">
            <v>378126.72998735408</v>
          </cell>
        </row>
        <row r="199">
          <cell r="AV199">
            <v>1085653.5718860901</v>
          </cell>
        </row>
        <row r="200">
          <cell r="AV200">
            <v>624180.34385424689</v>
          </cell>
        </row>
        <row r="204">
          <cell r="AV204">
            <v>8267914.3922897577</v>
          </cell>
        </row>
        <row r="205">
          <cell r="AV205">
            <v>17299362.03368751</v>
          </cell>
        </row>
        <row r="210">
          <cell r="AV210">
            <v>580196.50245182961</v>
          </cell>
        </row>
        <row r="228">
          <cell r="AV228">
            <v>15912295.766690886</v>
          </cell>
        </row>
        <row r="266">
          <cell r="AV266">
            <v>36383039.47843679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Revenue Exhibit"/>
      <sheetName val="Margin Exhibit"/>
      <sheetName val="Gas Cost Exhibit"/>
      <sheetName val="Volume Exhibit"/>
      <sheetName val="Work Papers --&gt;"/>
      <sheetName val="Revenue Adj. Detail"/>
      <sheetName val="Rider&amp;Tracker Rev"/>
      <sheetName val="(C) Bills &amp; Demand Data"/>
      <sheetName val="Actual Therms"/>
      <sheetName val="(C) Actual Therms By Block"/>
      <sheetName val="(C) Rev at Actual Rates"/>
      <sheetName val="(C) Rev at 2018TR Rates"/>
      <sheetName val="(C) Rev at 2018PGA Rates"/>
      <sheetName val="(C) Norm Rev at 2018TR Rates"/>
      <sheetName val="Actual Rental Revenue"/>
      <sheetName val="Restated Rental Revenue"/>
      <sheetName val="2017 GRC Rates--&gt;"/>
      <sheetName val="Rate Design Res"/>
      <sheetName val="Rate Design C&amp;I"/>
      <sheetName val="Rate Design Int &amp; Trans"/>
      <sheetName val="Rate Design Rental"/>
      <sheetName val="Tax Reform Rates--&gt;"/>
      <sheetName val="Rate Design Res TR"/>
      <sheetName val="Rate Design C&amp;I_TR"/>
      <sheetName val="Rate Design Int &amp; Trans_TR"/>
      <sheetName val="Rate Design Rental_TR"/>
      <sheetName val="Weather Normalization--&gt;"/>
      <sheetName val="Weather Adj"/>
      <sheetName val="SystemWeatherAdj"/>
      <sheetName val="Exh. XXX-X Page 2"/>
    </sheetNames>
    <sheetDataSet>
      <sheetData sheetId="0"/>
      <sheetData sheetId="1"/>
      <sheetData sheetId="2">
        <row r="12">
          <cell r="D12">
            <v>7819.5396631578933</v>
          </cell>
          <cell r="E12">
            <v>3054.0466231578944</v>
          </cell>
        </row>
        <row r="13">
          <cell r="D13">
            <v>516212984.2704078</v>
          </cell>
          <cell r="E13">
            <v>200452727.95384753</v>
          </cell>
        </row>
        <row r="14">
          <cell r="D14">
            <v>348.6415581600001</v>
          </cell>
          <cell r="E14">
            <v>309.99023582000001</v>
          </cell>
        </row>
        <row r="15">
          <cell r="D15">
            <v>166800125.62280762</v>
          </cell>
          <cell r="E15">
            <v>74023519.895873189</v>
          </cell>
        </row>
        <row r="16">
          <cell r="D16">
            <v>20273.016144500001</v>
          </cell>
          <cell r="E16">
            <v>22.048746999999999</v>
          </cell>
        </row>
        <row r="17">
          <cell r="D17">
            <v>34884521.187725566</v>
          </cell>
          <cell r="E17">
            <v>19564303.5988218</v>
          </cell>
        </row>
        <row r="18">
          <cell r="D18">
            <v>4149017.0405054935</v>
          </cell>
          <cell r="E18">
            <v>14431.910093999999</v>
          </cell>
        </row>
        <row r="19">
          <cell r="D19">
            <v>0</v>
          </cell>
          <cell r="E19">
            <v>0</v>
          </cell>
        </row>
        <row r="20">
          <cell r="D20">
            <v>5909697.0660587074</v>
          </cell>
          <cell r="E20">
            <v>4356650.7616408002</v>
          </cell>
        </row>
        <row r="21">
          <cell r="D21">
            <v>6992209.5125737172</v>
          </cell>
          <cell r="E21">
            <v>52382.510747000008</v>
          </cell>
        </row>
        <row r="22">
          <cell r="D22">
            <v>4329209.7851954335</v>
          </cell>
          <cell r="E22">
            <v>2431877.92950228</v>
          </cell>
        </row>
        <row r="23">
          <cell r="D23">
            <v>71202.333135000008</v>
          </cell>
          <cell r="E23">
            <v>245.90170500000005</v>
          </cell>
        </row>
        <row r="24">
          <cell r="D24">
            <v>7263265.2559702359</v>
          </cell>
          <cell r="E24">
            <v>6188133.3463399597</v>
          </cell>
        </row>
        <row r="25">
          <cell r="D25">
            <v>3598279.4156455589</v>
          </cell>
          <cell r="E25">
            <v>70159.115411000006</v>
          </cell>
        </row>
        <row r="26">
          <cell r="D26">
            <v>1719215.5127806603</v>
          </cell>
          <cell r="E26">
            <v>0</v>
          </cell>
        </row>
      </sheetData>
      <sheetData sheetId="3"/>
      <sheetData sheetId="4"/>
      <sheetData sheetId="5"/>
      <sheetData sheetId="6">
        <row r="29">
          <cell r="X29">
            <v>5310380.6899999985</v>
          </cell>
        </row>
        <row r="34">
          <cell r="X34">
            <v>5039913.28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or Summary"/>
      <sheetName val="System Load Factor"/>
      <sheetName val="Work Papers--&gt;"/>
      <sheetName val="Peak Day Calculation"/>
      <sheetName val="Class Calc"/>
      <sheetName val="Forecast Sys Peak Day"/>
      <sheetName val="Normalized Therms"/>
    </sheetNames>
    <sheetDataSet>
      <sheetData sheetId="0">
        <row r="8">
          <cell r="D8">
            <v>7071035.8389525395</v>
          </cell>
          <cell r="E8">
            <v>2515639.4670474599</v>
          </cell>
          <cell r="F8">
            <v>399512.96499999997</v>
          </cell>
          <cell r="G8">
            <v>63532.24</v>
          </cell>
          <cell r="H8">
            <v>7042.4889999999996</v>
          </cell>
          <cell r="I8">
            <v>23934</v>
          </cell>
          <cell r="J8">
            <v>50383</v>
          </cell>
          <cell r="K8">
            <v>0</v>
          </cell>
        </row>
        <row r="11">
          <cell r="D11">
            <v>7071035.8389525395</v>
          </cell>
          <cell r="E11">
            <v>2515639.4670474599</v>
          </cell>
          <cell r="F11">
            <v>301358.96499999997</v>
          </cell>
          <cell r="G11">
            <v>6781.239999999998</v>
          </cell>
          <cell r="H11">
            <v>6292.4889999999996</v>
          </cell>
          <cell r="I11">
            <v>0</v>
          </cell>
          <cell r="J11">
            <v>0</v>
          </cell>
          <cell r="K11">
            <v>0</v>
          </cell>
        </row>
        <row r="14">
          <cell r="D14">
            <v>613671517.73199999</v>
          </cell>
          <cell r="E14">
            <v>232276721.11300004</v>
          </cell>
          <cell r="F14">
            <v>86114878.978000015</v>
          </cell>
          <cell r="G14">
            <v>90620156.764000013</v>
          </cell>
          <cell r="H14">
            <v>9103924.943</v>
          </cell>
          <cell r="I14">
            <v>123109031.389</v>
          </cell>
          <cell r="J14">
            <v>37090866.75</v>
          </cell>
          <cell r="K14">
            <v>0</v>
          </cell>
        </row>
        <row r="20">
          <cell r="D20">
            <v>613671517.73199999</v>
          </cell>
          <cell r="E20">
            <v>232245222.90300003</v>
          </cell>
          <cell r="F20">
            <v>65497864.558000013</v>
          </cell>
          <cell r="G20">
            <v>15787998.554000001</v>
          </cell>
          <cell r="H20">
            <v>8752636.7929999996</v>
          </cell>
          <cell r="I20">
            <v>22881723.659000002</v>
          </cell>
          <cell r="J20">
            <v>0</v>
          </cell>
          <cell r="K20">
            <v>0</v>
          </cell>
        </row>
        <row r="23">
          <cell r="D23">
            <v>420570399.08700001</v>
          </cell>
          <cell r="E23">
            <v>147684553.76800001</v>
          </cell>
          <cell r="F23">
            <v>37095683.967000008</v>
          </cell>
          <cell r="G23">
            <v>8726045.4800000004</v>
          </cell>
          <cell r="H23">
            <v>5581383.7290000003</v>
          </cell>
          <cell r="I23">
            <v>12205919.989</v>
          </cell>
          <cell r="J23">
            <v>0</v>
          </cell>
          <cell r="K23">
            <v>0</v>
          </cell>
        </row>
        <row r="27">
          <cell r="D27">
            <v>193101118.64499998</v>
          </cell>
          <cell r="E27">
            <v>84560669.13499999</v>
          </cell>
          <cell r="F27">
            <v>28402180.591000002</v>
          </cell>
          <cell r="G27">
            <v>7061953.074000001</v>
          </cell>
          <cell r="H27">
            <v>3171253.0640000002</v>
          </cell>
          <cell r="I27">
            <v>10675803.670000002</v>
          </cell>
          <cell r="J27">
            <v>0</v>
          </cell>
          <cell r="K27">
            <v>0</v>
          </cell>
        </row>
      </sheetData>
      <sheetData sheetId="1">
        <row r="8">
          <cell r="B8">
            <v>1191987097.6690001</v>
          </cell>
          <cell r="C8">
            <v>10131080</v>
          </cell>
        </row>
        <row r="14">
          <cell r="B14">
            <v>958836964.199</v>
          </cell>
          <cell r="C14">
            <v>9901108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or Summary"/>
      <sheetName val="System Load Factor"/>
      <sheetName val="Work Papers--&gt;"/>
      <sheetName val="Peak Day Calculation"/>
      <sheetName val="Class Calc"/>
      <sheetName val="Forecast Sys Peak Day"/>
      <sheetName val="Normalized Therms"/>
    </sheetNames>
    <sheetDataSet>
      <sheetData sheetId="0"/>
      <sheetData sheetId="1">
        <row r="10">
          <cell r="B10">
            <v>0.32234648979234987</v>
          </cell>
          <cell r="C10">
            <v>0.67765351020765019</v>
          </cell>
        </row>
      </sheetData>
      <sheetData sheetId="2"/>
      <sheetData sheetId="3">
        <row r="60">
          <cell r="D60">
            <v>7071035.8389525395</v>
          </cell>
        </row>
      </sheetData>
      <sheetData sheetId="4"/>
      <sheetData sheetId="5"/>
      <sheetData sheetId="6">
        <row r="10">
          <cell r="D10">
            <v>97231969.638999999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S"/>
      <sheetName val="Sheet1"/>
    </sheetNames>
    <sheetDataSet>
      <sheetData sheetId="0">
        <row r="66">
          <cell r="D66">
            <v>650593532.08034873</v>
          </cell>
        </row>
        <row r="67">
          <cell r="D67">
            <v>1367711467.9196515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JPTF@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>
      <selection activeCell="B14" sqref="B14"/>
    </sheetView>
  </sheetViews>
  <sheetFormatPr defaultRowHeight="12.75" x14ac:dyDescent="0.2"/>
  <cols>
    <col min="1" max="1" width="24" customWidth="1"/>
    <col min="2" max="2" width="25.7109375" customWidth="1"/>
  </cols>
  <sheetData>
    <row r="2" spans="1:2" x14ac:dyDescent="0.2">
      <c r="B2" t="s">
        <v>419</v>
      </c>
    </row>
    <row r="3" spans="1:2" x14ac:dyDescent="0.2">
      <c r="A3" t="s">
        <v>416</v>
      </c>
      <c r="B3" t="s">
        <v>418</v>
      </c>
    </row>
    <row r="6" spans="1:2" x14ac:dyDescent="0.2">
      <c r="A6" t="s">
        <v>417</v>
      </c>
    </row>
    <row r="7" spans="1:2" x14ac:dyDescent="0.2">
      <c r="A7" t="s">
        <v>418</v>
      </c>
    </row>
  </sheetData>
  <dataValidations count="1">
    <dataValidation type="list" allowBlank="1" showInputMessage="1" showErrorMessage="1" sqref="B3">
      <formula1>$A$6:$A$7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workbookViewId="0">
      <selection activeCell="F37" sqref="F37"/>
    </sheetView>
  </sheetViews>
  <sheetFormatPr defaultRowHeight="12.75" x14ac:dyDescent="0.2"/>
  <cols>
    <col min="1" max="1" width="26.85546875" customWidth="1"/>
    <col min="2" max="2" width="28.5703125" bestFit="1" customWidth="1"/>
    <col min="3" max="3" width="11.28515625" bestFit="1" customWidth="1"/>
    <col min="4" max="4" width="41.42578125" bestFit="1" customWidth="1"/>
    <col min="5" max="5" width="15.5703125" bestFit="1" customWidth="1"/>
    <col min="6" max="6" width="11.140625" bestFit="1" customWidth="1"/>
    <col min="7" max="7" width="10.42578125" bestFit="1" customWidth="1"/>
    <col min="8" max="8" width="20.28515625" bestFit="1" customWidth="1"/>
    <col min="10" max="10" width="39.28515625" customWidth="1"/>
  </cols>
  <sheetData>
    <row r="1" spans="1:8" x14ac:dyDescent="0.2">
      <c r="A1" s="85" t="s">
        <v>108</v>
      </c>
      <c r="B1" s="233"/>
      <c r="C1" s="233"/>
      <c r="D1" s="233"/>
      <c r="E1" s="233"/>
      <c r="F1" s="233"/>
    </row>
    <row r="2" spans="1:8" x14ac:dyDescent="0.2">
      <c r="A2" s="85" t="s">
        <v>294</v>
      </c>
      <c r="B2" s="233"/>
      <c r="C2" s="233"/>
      <c r="D2" s="233"/>
      <c r="E2" s="233"/>
      <c r="F2" s="233"/>
    </row>
    <row r="3" spans="1:8" x14ac:dyDescent="0.2">
      <c r="A3" s="368" t="s">
        <v>411</v>
      </c>
      <c r="B3" s="233"/>
      <c r="C3" s="233"/>
      <c r="D3" s="233"/>
      <c r="E3" s="233"/>
      <c r="F3" s="233"/>
    </row>
    <row r="6" spans="1:8" x14ac:dyDescent="0.2">
      <c r="A6" s="87" t="s">
        <v>182</v>
      </c>
    </row>
    <row r="7" spans="1:8" x14ac:dyDescent="0.2">
      <c r="A7" s="87" t="s">
        <v>183</v>
      </c>
      <c r="B7" s="58" t="s">
        <v>4</v>
      </c>
      <c r="E7" s="58" t="s">
        <v>184</v>
      </c>
      <c r="F7" s="58" t="s">
        <v>185</v>
      </c>
      <c r="G7" s="58" t="s">
        <v>186</v>
      </c>
      <c r="H7" s="58" t="s">
        <v>187</v>
      </c>
    </row>
    <row r="8" spans="1:8" x14ac:dyDescent="0.2">
      <c r="A8" s="58" t="s">
        <v>188</v>
      </c>
      <c r="B8" s="79">
        <v>1315.3700000000003</v>
      </c>
      <c r="D8" s="80" t="s">
        <v>89</v>
      </c>
      <c r="E8" s="81">
        <f>SUM(B8:B9)</f>
        <v>3380401.4099999978</v>
      </c>
      <c r="F8" s="82">
        <f>E8/$E$21</f>
        <v>0.9544633555457076</v>
      </c>
      <c r="G8" s="73">
        <f>$D$52*F8</f>
        <v>4183.0083638340993</v>
      </c>
      <c r="H8" s="73">
        <f>E8+G8</f>
        <v>3384584.4183638319</v>
      </c>
    </row>
    <row r="9" spans="1:8" x14ac:dyDescent="0.2">
      <c r="A9" s="58" t="s">
        <v>118</v>
      </c>
      <c r="B9" s="79">
        <v>3379086.0399999977</v>
      </c>
      <c r="D9" s="83" t="s">
        <v>189</v>
      </c>
      <c r="E9" s="81">
        <f>SUM(B10:B11)</f>
        <v>134871.6</v>
      </c>
      <c r="F9" s="82">
        <f t="shared" ref="F9:F21" si="0">E9/$E$21</f>
        <v>3.8081276242225487E-2</v>
      </c>
      <c r="G9" s="73">
        <f t="shared" ref="G9:G20" si="1">$D$52*F9</f>
        <v>166.89409404893351</v>
      </c>
      <c r="H9" s="73">
        <f t="shared" ref="H9:H20" si="2">E9+G9</f>
        <v>135038.49409404895</v>
      </c>
    </row>
    <row r="10" spans="1:8" x14ac:dyDescent="0.2">
      <c r="A10" s="58" t="s">
        <v>190</v>
      </c>
      <c r="B10" s="79">
        <v>106928.61</v>
      </c>
      <c r="D10" s="80" t="s">
        <v>191</v>
      </c>
      <c r="E10" s="81">
        <f>SUM(B12:B13)</f>
        <v>838.85999999999922</v>
      </c>
      <c r="F10" s="82">
        <f t="shared" si="0"/>
        <v>2.36853862403599E-4</v>
      </c>
      <c r="G10" s="73">
        <f t="shared" si="1"/>
        <v>1.0380300948004488</v>
      </c>
      <c r="H10" s="73">
        <f t="shared" si="2"/>
        <v>839.89803009479965</v>
      </c>
    </row>
    <row r="11" spans="1:8" x14ac:dyDescent="0.2">
      <c r="A11" s="58" t="s">
        <v>192</v>
      </c>
      <c r="B11" s="79">
        <v>27942.989999999994</v>
      </c>
      <c r="D11" s="84" t="s">
        <v>193</v>
      </c>
      <c r="E11" s="81">
        <f>SUM(B14:B15)</f>
        <v>-13080.25</v>
      </c>
      <c r="F11" s="82">
        <f t="shared" si="0"/>
        <v>-3.6932357410112281E-3</v>
      </c>
      <c r="G11" s="73">
        <f t="shared" si="1"/>
        <v>-16.185886974600749</v>
      </c>
      <c r="H11" s="73">
        <f t="shared" si="2"/>
        <v>-13096.435886974601</v>
      </c>
    </row>
    <row r="12" spans="1:8" x14ac:dyDescent="0.2">
      <c r="A12" s="58" t="s">
        <v>194</v>
      </c>
      <c r="B12" s="79">
        <v>1952.0899999999995</v>
      </c>
      <c r="D12" s="85" t="s">
        <v>195</v>
      </c>
      <c r="E12" s="81">
        <v>0</v>
      </c>
      <c r="F12" s="82">
        <f t="shared" si="0"/>
        <v>0</v>
      </c>
      <c r="G12" s="73">
        <f t="shared" si="1"/>
        <v>0</v>
      </c>
      <c r="H12" s="73">
        <f t="shared" si="2"/>
        <v>0</v>
      </c>
    </row>
    <row r="13" spans="1:8" x14ac:dyDescent="0.2">
      <c r="A13" s="58" t="s">
        <v>196</v>
      </c>
      <c r="B13" s="79">
        <v>-1113.2300000000002</v>
      </c>
      <c r="D13" s="80" t="s">
        <v>99</v>
      </c>
      <c r="E13" s="81">
        <f>SUM(B19:B20)</f>
        <v>10267.379999999999</v>
      </c>
      <c r="F13" s="82">
        <f t="shared" si="0"/>
        <v>2.8990160572270299E-3</v>
      </c>
      <c r="G13" s="73">
        <f t="shared" si="1"/>
        <v>12.70515870914365</v>
      </c>
      <c r="H13" s="73">
        <f t="shared" si="2"/>
        <v>10280.085158709142</v>
      </c>
    </row>
    <row r="14" spans="1:8" x14ac:dyDescent="0.2">
      <c r="A14" s="58" t="s">
        <v>197</v>
      </c>
      <c r="B14" s="79">
        <v>-13218.11</v>
      </c>
      <c r="D14" s="84" t="s">
        <v>198</v>
      </c>
      <c r="E14" s="81">
        <f>SUM(B21:B22)</f>
        <v>-110647.1</v>
      </c>
      <c r="F14" s="82">
        <f t="shared" si="0"/>
        <v>-3.1241438379178033E-2</v>
      </c>
      <c r="G14" s="73">
        <f t="shared" si="1"/>
        <v>-136.91798357579913</v>
      </c>
      <c r="H14" s="73">
        <f t="shared" si="2"/>
        <v>-110784.0179835758</v>
      </c>
    </row>
    <row r="15" spans="1:8" x14ac:dyDescent="0.2">
      <c r="A15" s="58" t="s">
        <v>199</v>
      </c>
      <c r="B15" s="79">
        <v>137.86000000000001</v>
      </c>
      <c r="D15" s="80" t="s">
        <v>200</v>
      </c>
      <c r="E15" s="81">
        <f>SUM(B23:B24)</f>
        <v>-113.06999999999991</v>
      </c>
      <c r="F15" s="82">
        <f t="shared" si="0"/>
        <v>-3.1925549223916912E-5</v>
      </c>
      <c r="G15" s="73">
        <f t="shared" si="1"/>
        <v>-0.13991615146637909</v>
      </c>
      <c r="H15" s="73">
        <f t="shared" si="2"/>
        <v>-113.20991615146629</v>
      </c>
    </row>
    <row r="16" spans="1:8" x14ac:dyDescent="0.2">
      <c r="A16" s="58" t="s">
        <v>201</v>
      </c>
      <c r="B16" s="79">
        <v>57989.839999999989</v>
      </c>
      <c r="D16" s="85" t="s">
        <v>202</v>
      </c>
      <c r="E16" s="81">
        <v>0</v>
      </c>
      <c r="F16" s="82">
        <f t="shared" si="0"/>
        <v>0</v>
      </c>
      <c r="G16" s="73">
        <f t="shared" si="1"/>
        <v>0</v>
      </c>
      <c r="H16" s="73">
        <f t="shared" si="2"/>
        <v>0</v>
      </c>
    </row>
    <row r="17" spans="1:8" x14ac:dyDescent="0.2">
      <c r="A17" s="58" t="s">
        <v>203</v>
      </c>
      <c r="B17" s="79">
        <v>56064.580000000016</v>
      </c>
      <c r="D17" s="80" t="s">
        <v>204</v>
      </c>
      <c r="E17" s="81">
        <v>0</v>
      </c>
      <c r="F17" s="82">
        <f t="shared" si="0"/>
        <v>0</v>
      </c>
      <c r="G17" s="73">
        <f t="shared" si="1"/>
        <v>0</v>
      </c>
      <c r="H17" s="73">
        <f t="shared" si="2"/>
        <v>0</v>
      </c>
    </row>
    <row r="18" spans="1:8" x14ac:dyDescent="0.2">
      <c r="A18" s="58" t="s">
        <v>205</v>
      </c>
      <c r="B18" s="79">
        <v>25084.269999999997</v>
      </c>
      <c r="D18" s="84" t="s">
        <v>206</v>
      </c>
      <c r="E18" s="81">
        <v>0</v>
      </c>
      <c r="F18" s="82">
        <f t="shared" si="0"/>
        <v>0</v>
      </c>
      <c r="G18" s="73">
        <f t="shared" si="1"/>
        <v>0</v>
      </c>
      <c r="H18" s="73">
        <f t="shared" si="2"/>
        <v>0</v>
      </c>
    </row>
    <row r="19" spans="1:8" x14ac:dyDescent="0.2">
      <c r="A19" s="58" t="s">
        <v>207</v>
      </c>
      <c r="B19" s="79">
        <v>2349.2200000000003</v>
      </c>
      <c r="D19" s="80" t="s">
        <v>208</v>
      </c>
      <c r="E19" s="81">
        <v>0</v>
      </c>
      <c r="F19" s="82">
        <f t="shared" si="0"/>
        <v>0</v>
      </c>
      <c r="G19" s="73">
        <f t="shared" si="1"/>
        <v>0</v>
      </c>
      <c r="H19" s="73">
        <f t="shared" si="2"/>
        <v>0</v>
      </c>
    </row>
    <row r="20" spans="1:8" x14ac:dyDescent="0.2">
      <c r="A20" s="58" t="s">
        <v>209</v>
      </c>
      <c r="B20" s="79">
        <v>7918.1599999999989</v>
      </c>
      <c r="D20" s="80" t="s">
        <v>107</v>
      </c>
      <c r="E20" s="359">
        <f>SUM(B16:B18)</f>
        <v>139138.69</v>
      </c>
      <c r="F20" s="360">
        <f t="shared" si="0"/>
        <v>3.9286097961849474E-2</v>
      </c>
      <c r="G20" s="361">
        <f t="shared" si="1"/>
        <v>172.17431701488977</v>
      </c>
      <c r="H20" s="361">
        <f t="shared" si="2"/>
        <v>139310.8643170149</v>
      </c>
    </row>
    <row r="21" spans="1:8" x14ac:dyDescent="0.2">
      <c r="A21" s="58" t="s">
        <v>210</v>
      </c>
      <c r="B21" s="79">
        <v>-111033</v>
      </c>
      <c r="D21" s="80" t="s">
        <v>4</v>
      </c>
      <c r="E21" s="81">
        <f>SUM(E8:E20)</f>
        <v>3541677.5199999977</v>
      </c>
      <c r="F21" s="358">
        <f t="shared" si="0"/>
        <v>1</v>
      </c>
      <c r="G21" s="73">
        <f>SUM(G8:G20)</f>
        <v>4382.5761770000008</v>
      </c>
      <c r="H21" s="73">
        <f>SUM(H8:H20)</f>
        <v>3546060.0961769978</v>
      </c>
    </row>
    <row r="22" spans="1:8" x14ac:dyDescent="0.2">
      <c r="A22" s="58" t="s">
        <v>211</v>
      </c>
      <c r="B22" s="79">
        <v>385.9</v>
      </c>
      <c r="G22" s="362"/>
      <c r="H22" s="362"/>
    </row>
    <row r="23" spans="1:8" x14ac:dyDescent="0.2">
      <c r="A23" s="58" t="s">
        <v>212</v>
      </c>
      <c r="B23" s="79">
        <v>-126.85999999999991</v>
      </c>
      <c r="D23" s="58" t="s">
        <v>89</v>
      </c>
      <c r="G23" s="362"/>
      <c r="H23" s="73">
        <f>H8</f>
        <v>3384584.4183638319</v>
      </c>
    </row>
    <row r="24" spans="1:8" x14ac:dyDescent="0.2">
      <c r="A24" s="58" t="s">
        <v>213</v>
      </c>
      <c r="B24" s="79">
        <v>13.79</v>
      </c>
      <c r="D24" s="58" t="s">
        <v>90</v>
      </c>
      <c r="G24" s="362"/>
      <c r="H24" s="73">
        <f>H9+H12</f>
        <v>135038.49409404895</v>
      </c>
    </row>
    <row r="25" spans="1:8" x14ac:dyDescent="0.2">
      <c r="A25" s="72" t="s">
        <v>214</v>
      </c>
      <c r="B25" s="357">
        <v>17207.659999999996</v>
      </c>
      <c r="D25" s="58" t="s">
        <v>91</v>
      </c>
      <c r="G25" s="362"/>
      <c r="H25" s="73">
        <f>SUM(H10:H11)</f>
        <v>-12256.537856879801</v>
      </c>
    </row>
    <row r="26" spans="1:8" x14ac:dyDescent="0.2">
      <c r="A26" s="58" t="s">
        <v>215</v>
      </c>
      <c r="B26" s="79">
        <f>SUM(B8:B25)</f>
        <v>3558885.1799999983</v>
      </c>
      <c r="D26" s="58" t="s">
        <v>92</v>
      </c>
      <c r="G26" s="362"/>
      <c r="H26" s="73">
        <f>SUM(H13:H14)</f>
        <v>-100503.93282486666</v>
      </c>
    </row>
    <row r="27" spans="1:8" x14ac:dyDescent="0.2">
      <c r="A27" s="58"/>
      <c r="B27" s="79"/>
      <c r="D27" s="58" t="s">
        <v>93</v>
      </c>
      <c r="G27" s="362"/>
      <c r="H27" s="73">
        <f>SUM(H15:H16)</f>
        <v>-113.20991615146629</v>
      </c>
    </row>
    <row r="28" spans="1:8" x14ac:dyDescent="0.2">
      <c r="A28" s="58"/>
      <c r="B28" s="79"/>
      <c r="D28" s="58" t="s">
        <v>94</v>
      </c>
      <c r="G28" s="362"/>
      <c r="H28" s="73">
        <f>SUM(H17:H18)</f>
        <v>0</v>
      </c>
    </row>
    <row r="29" spans="1:8" x14ac:dyDescent="0.2">
      <c r="A29" s="58"/>
      <c r="B29" s="79"/>
      <c r="D29" s="58" t="s">
        <v>95</v>
      </c>
      <c r="G29" s="362"/>
      <c r="H29" s="73">
        <f>SUM(H19)</f>
        <v>0</v>
      </c>
    </row>
    <row r="30" spans="1:8" x14ac:dyDescent="0.2">
      <c r="A30" s="58"/>
      <c r="B30" s="79"/>
      <c r="D30" s="58" t="s">
        <v>131</v>
      </c>
      <c r="G30" s="362"/>
      <c r="H30" s="361">
        <f>SUM(H20)</f>
        <v>139310.8643170149</v>
      </c>
    </row>
    <row r="31" spans="1:8" x14ac:dyDescent="0.2">
      <c r="D31" s="58" t="s">
        <v>4</v>
      </c>
      <c r="G31" s="362"/>
      <c r="H31" s="73">
        <f>SUM(H23:H30)</f>
        <v>3546060.0961769978</v>
      </c>
    </row>
    <row r="34" spans="1:4" x14ac:dyDescent="0.2">
      <c r="A34" s="87" t="s">
        <v>182</v>
      </c>
    </row>
    <row r="35" spans="1:4" x14ac:dyDescent="0.2">
      <c r="A35" s="87" t="s">
        <v>183</v>
      </c>
      <c r="B35" s="87" t="s">
        <v>216</v>
      </c>
      <c r="C35" s="58" t="s">
        <v>4</v>
      </c>
      <c r="D35" s="58" t="s">
        <v>217</v>
      </c>
    </row>
    <row r="36" spans="1:4" x14ac:dyDescent="0.2">
      <c r="A36" s="58" t="s">
        <v>214</v>
      </c>
      <c r="B36" s="58" t="s">
        <v>397</v>
      </c>
      <c r="C36" s="79">
        <v>-6.1</v>
      </c>
      <c r="D36" s="79"/>
    </row>
    <row r="37" spans="1:4" x14ac:dyDescent="0.2">
      <c r="B37" s="58" t="s">
        <v>218</v>
      </c>
      <c r="C37" s="79">
        <v>27.51</v>
      </c>
      <c r="D37" s="79"/>
    </row>
    <row r="38" spans="1:4" x14ac:dyDescent="0.2">
      <c r="B38" s="58" t="s">
        <v>398</v>
      </c>
      <c r="C38" s="79">
        <v>-37</v>
      </c>
      <c r="D38" s="79"/>
    </row>
    <row r="39" spans="1:4" x14ac:dyDescent="0.2">
      <c r="B39" s="58" t="s">
        <v>219</v>
      </c>
      <c r="C39" s="79">
        <v>-5</v>
      </c>
      <c r="D39" s="79"/>
    </row>
    <row r="40" spans="1:4" x14ac:dyDescent="0.2">
      <c r="B40" s="58" t="s">
        <v>399</v>
      </c>
      <c r="C40" s="79">
        <v>-5.33</v>
      </c>
      <c r="D40" s="79">
        <v>-5.33</v>
      </c>
    </row>
    <row r="41" spans="1:4" x14ac:dyDescent="0.2">
      <c r="B41" s="58" t="s">
        <v>220</v>
      </c>
      <c r="C41" s="79">
        <v>834.83</v>
      </c>
      <c r="D41" s="79">
        <v>834.83</v>
      </c>
    </row>
    <row r="42" spans="1:4" x14ac:dyDescent="0.2">
      <c r="B42" s="58" t="s">
        <v>221</v>
      </c>
      <c r="C42" s="79">
        <v>-17.059999999999999</v>
      </c>
      <c r="D42" s="79">
        <v>-17.059999999999999</v>
      </c>
    </row>
    <row r="43" spans="1:4" x14ac:dyDescent="0.2">
      <c r="B43" s="58" t="s">
        <v>222</v>
      </c>
      <c r="C43" s="79">
        <v>12.509999999999998</v>
      </c>
      <c r="D43" s="79">
        <v>4.2296309999999986</v>
      </c>
    </row>
    <row r="44" spans="1:4" x14ac:dyDescent="0.2">
      <c r="B44" s="58" t="s">
        <v>223</v>
      </c>
      <c r="C44" s="79">
        <v>5405.1100000000006</v>
      </c>
      <c r="D44" s="79">
        <v>1827.4676910000001</v>
      </c>
    </row>
    <row r="45" spans="1:4" x14ac:dyDescent="0.2">
      <c r="B45" s="58" t="s">
        <v>224</v>
      </c>
      <c r="C45" s="79">
        <v>1945</v>
      </c>
      <c r="D45" s="79">
        <v>657.60449999999992</v>
      </c>
    </row>
    <row r="46" spans="1:4" x14ac:dyDescent="0.2">
      <c r="B46" s="58" t="s">
        <v>225</v>
      </c>
      <c r="C46" s="79">
        <v>-761.67</v>
      </c>
      <c r="D46" s="79">
        <v>-257.52062699999993</v>
      </c>
    </row>
    <row r="47" spans="1:4" x14ac:dyDescent="0.2">
      <c r="B47" s="58" t="s">
        <v>400</v>
      </c>
      <c r="C47" s="79">
        <v>9073</v>
      </c>
      <c r="D47" s="79"/>
    </row>
    <row r="48" spans="1:4" x14ac:dyDescent="0.2">
      <c r="B48" s="58" t="s">
        <v>401</v>
      </c>
      <c r="C48" s="79">
        <v>349</v>
      </c>
      <c r="D48" s="79">
        <v>349</v>
      </c>
    </row>
    <row r="49" spans="1:4" x14ac:dyDescent="0.2">
      <c r="B49" s="58" t="s">
        <v>402</v>
      </c>
      <c r="C49" s="79">
        <v>35.36</v>
      </c>
      <c r="D49" s="79">
        <v>11.955215999999998</v>
      </c>
    </row>
    <row r="50" spans="1:4" x14ac:dyDescent="0.2">
      <c r="B50" s="58" t="s">
        <v>226</v>
      </c>
      <c r="C50" s="79">
        <v>357.5</v>
      </c>
      <c r="D50" s="79">
        <v>120.87074999999999</v>
      </c>
    </row>
    <row r="51" spans="1:4" x14ac:dyDescent="0.2">
      <c r="B51" s="72" t="s">
        <v>224</v>
      </c>
      <c r="C51" s="357">
        <v>2533.3599999999997</v>
      </c>
      <c r="D51" s="357">
        <f>C51*$B$58</f>
        <v>856.52901599999973</v>
      </c>
    </row>
    <row r="52" spans="1:4" x14ac:dyDescent="0.2">
      <c r="A52" s="58" t="s">
        <v>227</v>
      </c>
      <c r="C52" s="79">
        <f>SUM(C36:C51)</f>
        <v>19741.020000000004</v>
      </c>
      <c r="D52" s="79">
        <f>SUM(D36:D51)</f>
        <v>4382.5761769999999</v>
      </c>
    </row>
    <row r="53" spans="1:4" x14ac:dyDescent="0.2">
      <c r="A53" s="58" t="s">
        <v>215</v>
      </c>
      <c r="C53" s="79">
        <f>C52</f>
        <v>19741.020000000004</v>
      </c>
    </row>
    <row r="56" spans="1:4" x14ac:dyDescent="0.2">
      <c r="A56" s="58" t="s">
        <v>228</v>
      </c>
    </row>
    <row r="57" spans="1:4" x14ac:dyDescent="0.2">
      <c r="A57" s="58" t="s">
        <v>229</v>
      </c>
      <c r="B57" s="86">
        <v>0.66190000000000004</v>
      </c>
    </row>
    <row r="58" spans="1:4" x14ac:dyDescent="0.2">
      <c r="A58" s="58" t="s">
        <v>217</v>
      </c>
      <c r="B58" s="86">
        <v>0.33809999999999996</v>
      </c>
    </row>
  </sheetData>
  <pageMargins left="0.7" right="0.7" top="0.75" bottom="0.75" header="0.3" footer="0.3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workbookViewId="0">
      <selection activeCell="I17" sqref="I17"/>
    </sheetView>
  </sheetViews>
  <sheetFormatPr defaultRowHeight="12.75" x14ac:dyDescent="0.2"/>
  <cols>
    <col min="2" max="2" width="9.140625" style="241"/>
    <col min="3" max="3" width="47.7109375" bestFit="1" customWidth="1"/>
    <col min="4" max="6" width="13.42578125" bestFit="1" customWidth="1"/>
  </cols>
  <sheetData>
    <row r="1" spans="1:24" x14ac:dyDescent="0.2">
      <c r="A1" s="191"/>
      <c r="B1" s="369" t="s">
        <v>108</v>
      </c>
      <c r="C1" s="237"/>
      <c r="D1" s="237"/>
      <c r="E1" s="237"/>
      <c r="F1" s="237"/>
      <c r="G1" s="192"/>
      <c r="H1" s="193"/>
      <c r="J1" s="194"/>
      <c r="K1" s="195"/>
      <c r="L1" s="194"/>
      <c r="Q1" s="194"/>
      <c r="R1" s="194"/>
      <c r="S1" s="194"/>
      <c r="T1" s="194"/>
      <c r="U1" s="194"/>
      <c r="V1" s="194"/>
      <c r="X1" s="194"/>
    </row>
    <row r="2" spans="1:24" x14ac:dyDescent="0.2">
      <c r="A2" s="191"/>
      <c r="B2" s="369" t="s">
        <v>287</v>
      </c>
      <c r="C2" s="237"/>
      <c r="D2" s="237"/>
      <c r="E2" s="237"/>
      <c r="F2" s="237"/>
      <c r="G2" s="192"/>
      <c r="H2" s="193"/>
      <c r="I2" s="192"/>
      <c r="J2" s="194"/>
      <c r="K2" s="195"/>
      <c r="L2" s="194"/>
      <c r="Q2" s="194"/>
      <c r="R2" s="194"/>
      <c r="S2" s="194"/>
      <c r="T2" s="194"/>
      <c r="U2" s="194"/>
      <c r="V2" s="194"/>
      <c r="X2" s="194"/>
    </row>
    <row r="3" spans="1:24" x14ac:dyDescent="0.2">
      <c r="B3" s="369" t="s">
        <v>310</v>
      </c>
      <c r="C3" s="237"/>
      <c r="D3" s="237"/>
      <c r="E3" s="237"/>
      <c r="F3" s="237"/>
      <c r="G3" s="192"/>
      <c r="H3" s="193"/>
      <c r="I3" s="192"/>
      <c r="J3" s="194"/>
      <c r="K3" s="195"/>
      <c r="L3" s="194"/>
      <c r="Q3" s="194"/>
      <c r="R3" s="194"/>
      <c r="S3" s="194"/>
      <c r="T3" s="194"/>
      <c r="U3" s="194"/>
      <c r="V3" s="194"/>
      <c r="X3" s="194"/>
    </row>
    <row r="4" spans="1:24" x14ac:dyDescent="0.2">
      <c r="B4" s="216"/>
      <c r="C4" s="191"/>
      <c r="D4" s="191"/>
      <c r="E4" s="191"/>
      <c r="F4" s="191"/>
      <c r="G4" s="193"/>
      <c r="H4" s="193"/>
      <c r="I4" s="193"/>
      <c r="J4" s="194"/>
      <c r="K4" s="195"/>
      <c r="L4" s="194"/>
      <c r="Q4" s="194"/>
      <c r="R4" s="194"/>
      <c r="S4" s="194"/>
      <c r="T4" s="194"/>
      <c r="U4" s="194"/>
      <c r="V4" s="194"/>
      <c r="X4" s="194"/>
    </row>
    <row r="5" spans="1:24" x14ac:dyDescent="0.2">
      <c r="B5" s="196"/>
      <c r="G5" s="197"/>
      <c r="H5" s="197"/>
      <c r="I5" s="193"/>
      <c r="J5" s="194"/>
      <c r="K5" s="195"/>
      <c r="L5" s="194"/>
      <c r="Q5" s="194"/>
      <c r="R5" s="194"/>
      <c r="S5" s="194"/>
      <c r="T5" s="194"/>
      <c r="U5" s="194"/>
      <c r="V5" s="194"/>
      <c r="X5" s="194"/>
    </row>
    <row r="6" spans="1:24" x14ac:dyDescent="0.2">
      <c r="C6" s="199"/>
      <c r="D6" s="200"/>
      <c r="E6" s="201" t="s">
        <v>4</v>
      </c>
      <c r="F6" s="201" t="s">
        <v>4</v>
      </c>
      <c r="G6" s="198"/>
      <c r="H6" s="198"/>
      <c r="I6" s="198"/>
      <c r="J6" s="194"/>
      <c r="K6" s="195"/>
      <c r="L6" s="194"/>
      <c r="Q6" s="194"/>
      <c r="R6" s="194"/>
      <c r="S6" s="194"/>
      <c r="T6" s="194"/>
      <c r="U6" s="194"/>
      <c r="V6" s="194"/>
      <c r="X6" s="194"/>
    </row>
    <row r="7" spans="1:24" x14ac:dyDescent="0.2">
      <c r="C7" s="200"/>
      <c r="D7" s="200" t="s">
        <v>4</v>
      </c>
      <c r="E7" s="200" t="s">
        <v>302</v>
      </c>
      <c r="F7" s="200" t="s">
        <v>302</v>
      </c>
      <c r="G7" s="198"/>
      <c r="H7" s="198"/>
      <c r="I7" s="202"/>
      <c r="J7" s="198"/>
      <c r="K7" s="203"/>
      <c r="L7" s="192"/>
      <c r="M7" s="198"/>
      <c r="Q7" s="194"/>
      <c r="R7" s="194"/>
      <c r="S7" s="194"/>
      <c r="T7" s="194"/>
      <c r="U7" s="194"/>
      <c r="V7" s="194"/>
      <c r="X7" s="194"/>
    </row>
    <row r="8" spans="1:24" x14ac:dyDescent="0.2">
      <c r="B8" s="192"/>
      <c r="C8" s="200"/>
      <c r="D8" s="200" t="s">
        <v>302</v>
      </c>
      <c r="E8" s="200" t="s">
        <v>232</v>
      </c>
      <c r="F8" s="200" t="s">
        <v>311</v>
      </c>
      <c r="G8" s="198"/>
      <c r="H8" s="198"/>
      <c r="I8" s="202"/>
      <c r="J8" s="198"/>
      <c r="K8" s="204"/>
      <c r="L8" s="205"/>
      <c r="M8" s="198"/>
      <c r="O8" s="199"/>
      <c r="Q8" s="194"/>
      <c r="R8" s="194"/>
      <c r="S8" s="194"/>
      <c r="T8" s="194"/>
      <c r="U8" s="194"/>
      <c r="V8" s="194"/>
      <c r="X8" s="194"/>
    </row>
    <row r="9" spans="1:24" x14ac:dyDescent="0.2">
      <c r="B9" s="242" t="s">
        <v>132</v>
      </c>
      <c r="C9" s="206" t="s">
        <v>87</v>
      </c>
      <c r="D9" s="206" t="s">
        <v>231</v>
      </c>
      <c r="E9" s="206" t="s">
        <v>230</v>
      </c>
      <c r="F9" s="207" t="s">
        <v>231</v>
      </c>
      <c r="G9" s="198"/>
      <c r="H9" s="198"/>
      <c r="I9" s="202"/>
      <c r="J9" s="200"/>
      <c r="K9" s="200"/>
      <c r="L9" s="200"/>
      <c r="M9" s="198"/>
      <c r="O9" s="199"/>
      <c r="Q9" s="194"/>
      <c r="R9" s="194"/>
      <c r="S9" s="194"/>
      <c r="T9" s="194"/>
      <c r="U9" s="194"/>
      <c r="V9" s="194"/>
      <c r="X9" s="194"/>
    </row>
    <row r="10" spans="1:24" x14ac:dyDescent="0.2">
      <c r="B10" s="192"/>
      <c r="C10" s="202" t="s">
        <v>233</v>
      </c>
      <c r="D10" s="202" t="s">
        <v>234</v>
      </c>
      <c r="E10" s="202" t="s">
        <v>235</v>
      </c>
      <c r="F10" s="202" t="s">
        <v>312</v>
      </c>
      <c r="G10" s="198"/>
      <c r="H10" s="198"/>
      <c r="I10" s="202"/>
      <c r="J10" s="200"/>
      <c r="K10" s="204"/>
      <c r="L10" s="205"/>
      <c r="M10" s="198"/>
      <c r="Q10" s="194"/>
      <c r="R10" s="194"/>
      <c r="S10" s="194"/>
      <c r="T10" s="194"/>
      <c r="U10" s="194"/>
      <c r="V10" s="194"/>
      <c r="X10" s="194"/>
    </row>
    <row r="11" spans="1:24" x14ac:dyDescent="0.2">
      <c r="B11" s="202">
        <v>1</v>
      </c>
      <c r="C11" s="208" t="s">
        <v>303</v>
      </c>
      <c r="D11" s="209">
        <f>'[6]Margin Exhibit'!D12</f>
        <v>7819.5396631578933</v>
      </c>
      <c r="E11" s="209">
        <f>'[6]Margin Exhibit'!E12</f>
        <v>3054.0466231578944</v>
      </c>
      <c r="F11" s="210">
        <f>D11-E11</f>
        <v>4765.4930399999994</v>
      </c>
      <c r="G11" s="198"/>
      <c r="H11" s="198"/>
      <c r="I11" s="211"/>
      <c r="J11" s="212"/>
      <c r="K11" s="212"/>
      <c r="L11" s="212"/>
      <c r="M11" s="198"/>
      <c r="Q11" s="194"/>
      <c r="R11" s="194"/>
      <c r="S11" s="194"/>
      <c r="T11" s="194"/>
      <c r="U11" s="194"/>
      <c r="V11" s="194"/>
      <c r="X11" s="194"/>
    </row>
    <row r="12" spans="1:24" x14ac:dyDescent="0.2">
      <c r="B12" s="202">
        <v>2</v>
      </c>
      <c r="C12" s="208" t="s">
        <v>236</v>
      </c>
      <c r="D12" s="209">
        <f>'[6]Margin Exhibit'!D13</f>
        <v>516212984.2704078</v>
      </c>
      <c r="E12" s="209">
        <f>'[6]Margin Exhibit'!E13</f>
        <v>200452727.95384753</v>
      </c>
      <c r="F12" s="210">
        <f t="shared" ref="F12:F25" si="0">D12-E12</f>
        <v>315760256.31656027</v>
      </c>
      <c r="G12" s="198"/>
      <c r="H12" s="198"/>
      <c r="I12" s="211"/>
      <c r="J12" s="212"/>
      <c r="K12" s="212"/>
      <c r="L12" s="212"/>
      <c r="M12" s="198"/>
      <c r="Q12" s="194"/>
      <c r="R12" s="194"/>
      <c r="S12" s="194"/>
      <c r="T12" s="194"/>
      <c r="U12" s="194"/>
      <c r="V12" s="194"/>
      <c r="X12" s="194"/>
    </row>
    <row r="13" spans="1:24" x14ac:dyDescent="0.2">
      <c r="B13" s="202">
        <v>3</v>
      </c>
      <c r="C13" s="208" t="s">
        <v>237</v>
      </c>
      <c r="D13" s="209">
        <f>'[6]Margin Exhibit'!D14</f>
        <v>348.6415581600001</v>
      </c>
      <c r="E13" s="209">
        <f>'[6]Margin Exhibit'!E14</f>
        <v>309.99023582000001</v>
      </c>
      <c r="F13" s="210">
        <f t="shared" si="0"/>
        <v>38.651322340000092</v>
      </c>
      <c r="G13" s="198"/>
      <c r="H13" s="198"/>
      <c r="I13" s="211"/>
      <c r="J13" s="212"/>
      <c r="K13" s="212"/>
      <c r="L13" s="212"/>
      <c r="M13" s="198"/>
      <c r="Q13" s="194"/>
      <c r="R13" s="194"/>
      <c r="S13" s="194"/>
      <c r="T13" s="194"/>
      <c r="U13" s="194"/>
      <c r="V13" s="194"/>
      <c r="X13" s="194"/>
    </row>
    <row r="14" spans="1:24" x14ac:dyDescent="0.2">
      <c r="B14" s="213">
        <f>B13+1</f>
        <v>4</v>
      </c>
      <c r="C14" s="214" t="s">
        <v>304</v>
      </c>
      <c r="D14" s="209">
        <f>'[6]Margin Exhibit'!D15</f>
        <v>166800125.62280762</v>
      </c>
      <c r="E14" s="209">
        <f>'[6]Margin Exhibit'!E15</f>
        <v>74023519.895873189</v>
      </c>
      <c r="F14" s="210">
        <f t="shared" si="0"/>
        <v>92776605.726934433</v>
      </c>
      <c r="G14" s="198"/>
      <c r="H14" s="198"/>
      <c r="I14" s="215"/>
      <c r="J14" s="212"/>
      <c r="K14" s="212"/>
      <c r="L14" s="212"/>
      <c r="M14" s="198"/>
      <c r="Q14" s="194"/>
      <c r="R14" s="194"/>
      <c r="S14" s="194"/>
      <c r="T14" s="194"/>
      <c r="U14" s="194"/>
      <c r="V14" s="194"/>
      <c r="X14" s="194"/>
    </row>
    <row r="15" spans="1:24" x14ac:dyDescent="0.2">
      <c r="B15" s="213">
        <f t="shared" ref="B15:B26" si="1">B14+1</f>
        <v>5</v>
      </c>
      <c r="C15" s="216" t="s">
        <v>305</v>
      </c>
      <c r="D15" s="209">
        <f>'[6]Margin Exhibit'!D16</f>
        <v>20273.016144500001</v>
      </c>
      <c r="E15" s="209">
        <f>'[6]Margin Exhibit'!E16</f>
        <v>22.048746999999999</v>
      </c>
      <c r="F15" s="210">
        <f t="shared" si="0"/>
        <v>20250.967397500001</v>
      </c>
      <c r="G15" s="198"/>
      <c r="H15" s="198"/>
      <c r="I15" s="215"/>
      <c r="J15" s="212"/>
      <c r="K15" s="212"/>
      <c r="L15" s="212"/>
      <c r="M15" s="198"/>
      <c r="Q15" s="194"/>
      <c r="R15" s="194"/>
      <c r="S15" s="194"/>
      <c r="T15" s="194"/>
      <c r="U15" s="194"/>
      <c r="V15" s="194"/>
      <c r="X15" s="194"/>
    </row>
    <row r="16" spans="1:24" x14ac:dyDescent="0.2">
      <c r="B16" s="213">
        <f t="shared" si="1"/>
        <v>6</v>
      </c>
      <c r="C16" s="208" t="s">
        <v>98</v>
      </c>
      <c r="D16" s="209">
        <f>'[6]Margin Exhibit'!D17</f>
        <v>34884521.187725566</v>
      </c>
      <c r="E16" s="209">
        <f>'[6]Margin Exhibit'!E17</f>
        <v>19564303.5988218</v>
      </c>
      <c r="F16" s="210">
        <f t="shared" si="0"/>
        <v>15320217.588903766</v>
      </c>
      <c r="G16" s="198"/>
      <c r="H16" s="198"/>
      <c r="I16" s="215"/>
      <c r="J16" s="212"/>
      <c r="K16" s="212"/>
      <c r="L16" s="212"/>
      <c r="M16" s="198"/>
      <c r="Q16" s="194"/>
      <c r="R16" s="194"/>
      <c r="S16" s="194"/>
      <c r="T16" s="194"/>
      <c r="U16" s="194"/>
      <c r="V16" s="194"/>
      <c r="X16" s="194"/>
    </row>
    <row r="17" spans="1:24" x14ac:dyDescent="0.2">
      <c r="B17" s="213">
        <f t="shared" si="1"/>
        <v>7</v>
      </c>
      <c r="C17" s="217" t="s">
        <v>306</v>
      </c>
      <c r="D17" s="209">
        <f>'[6]Margin Exhibit'!D18</f>
        <v>4149017.0405054935</v>
      </c>
      <c r="E17" s="209">
        <f>'[6]Margin Exhibit'!E18</f>
        <v>14431.910093999999</v>
      </c>
      <c r="F17" s="210">
        <f t="shared" si="0"/>
        <v>4134585.1304114936</v>
      </c>
      <c r="G17" s="198"/>
      <c r="H17" s="198"/>
      <c r="I17" s="215"/>
      <c r="J17" s="212"/>
      <c r="K17" s="212"/>
      <c r="L17" s="212"/>
      <c r="M17" s="198"/>
      <c r="Q17" s="194"/>
      <c r="R17" s="194"/>
      <c r="S17" s="194"/>
      <c r="T17" s="194"/>
      <c r="U17" s="194"/>
      <c r="V17" s="194"/>
      <c r="X17" s="194"/>
    </row>
    <row r="18" spans="1:24" x14ac:dyDescent="0.2">
      <c r="B18" s="213">
        <f t="shared" si="1"/>
        <v>8</v>
      </c>
      <c r="C18" s="217" t="s">
        <v>238</v>
      </c>
      <c r="D18" s="209">
        <f>'[6]Margin Exhibit'!D19</f>
        <v>0</v>
      </c>
      <c r="E18" s="228">
        <f>'[6]Margin Exhibit'!E19</f>
        <v>0</v>
      </c>
      <c r="F18" s="210">
        <f t="shared" si="0"/>
        <v>0</v>
      </c>
      <c r="G18" s="198"/>
      <c r="H18" s="198"/>
      <c r="I18" s="215"/>
      <c r="J18" s="212"/>
      <c r="K18" s="212"/>
      <c r="L18" s="212"/>
      <c r="M18" s="198"/>
      <c r="Q18" s="194"/>
      <c r="R18" s="194"/>
      <c r="S18" s="194"/>
      <c r="T18" s="194"/>
      <c r="U18" s="194"/>
      <c r="V18" s="194"/>
      <c r="X18" s="194"/>
    </row>
    <row r="19" spans="1:24" x14ac:dyDescent="0.2">
      <c r="B19" s="213">
        <f>B18+1</f>
        <v>9</v>
      </c>
      <c r="C19" s="208" t="s">
        <v>99</v>
      </c>
      <c r="D19" s="209">
        <f>'[6]Margin Exhibit'!D20</f>
        <v>5909697.0660587074</v>
      </c>
      <c r="E19" s="209">
        <f>'[6]Margin Exhibit'!E20</f>
        <v>4356650.7616408002</v>
      </c>
      <c r="F19" s="210">
        <f t="shared" si="0"/>
        <v>1553046.3044179073</v>
      </c>
      <c r="G19" s="198"/>
      <c r="H19" s="198"/>
      <c r="I19" s="215"/>
      <c r="J19" s="212"/>
      <c r="K19" s="212"/>
      <c r="L19" s="212"/>
      <c r="M19" s="198"/>
      <c r="Q19" s="194"/>
      <c r="R19" s="194"/>
      <c r="S19" s="194"/>
      <c r="T19" s="194"/>
      <c r="U19" s="194"/>
      <c r="V19" s="194"/>
      <c r="X19" s="194"/>
    </row>
    <row r="20" spans="1:24" x14ac:dyDescent="0.2">
      <c r="B20" s="213">
        <f t="shared" si="1"/>
        <v>10</v>
      </c>
      <c r="C20" s="217" t="s">
        <v>307</v>
      </c>
      <c r="D20" s="209">
        <f>'[6]Margin Exhibit'!D21</f>
        <v>6992209.5125737172</v>
      </c>
      <c r="E20" s="209">
        <f>'[6]Margin Exhibit'!E21</f>
        <v>52382.510747000008</v>
      </c>
      <c r="F20" s="210">
        <f t="shared" si="0"/>
        <v>6939827.0018267175</v>
      </c>
      <c r="G20" s="198"/>
      <c r="H20" s="198"/>
      <c r="I20" s="215"/>
      <c r="J20" s="212"/>
      <c r="K20" s="212"/>
      <c r="L20" s="212"/>
      <c r="M20" s="198"/>
      <c r="Q20" s="194"/>
      <c r="R20" s="194"/>
      <c r="S20" s="194"/>
      <c r="T20" s="194"/>
      <c r="U20" s="194"/>
      <c r="V20" s="194"/>
      <c r="X20" s="194"/>
    </row>
    <row r="21" spans="1:24" x14ac:dyDescent="0.2">
      <c r="B21" s="213">
        <f t="shared" si="1"/>
        <v>11</v>
      </c>
      <c r="C21" s="208" t="s">
        <v>100</v>
      </c>
      <c r="D21" s="209">
        <f>'[6]Margin Exhibit'!D22</f>
        <v>4329209.7851954335</v>
      </c>
      <c r="E21" s="209">
        <f>'[6]Margin Exhibit'!E22</f>
        <v>2431877.92950228</v>
      </c>
      <c r="F21" s="210">
        <f t="shared" si="0"/>
        <v>1897331.8556931536</v>
      </c>
      <c r="G21" s="198"/>
      <c r="H21" s="198"/>
      <c r="I21" s="215"/>
      <c r="J21" s="212"/>
      <c r="K21" s="212"/>
      <c r="L21" s="212"/>
      <c r="M21" s="198"/>
      <c r="Q21" s="194"/>
      <c r="R21" s="194"/>
      <c r="S21" s="194"/>
      <c r="T21" s="194"/>
      <c r="U21" s="194"/>
      <c r="V21" s="194"/>
      <c r="X21" s="194"/>
    </row>
    <row r="22" spans="1:24" x14ac:dyDescent="0.2">
      <c r="B22" s="213">
        <f t="shared" si="1"/>
        <v>12</v>
      </c>
      <c r="C22" s="216" t="s">
        <v>308</v>
      </c>
      <c r="D22" s="209">
        <f>'[6]Margin Exhibit'!D23</f>
        <v>71202.333135000008</v>
      </c>
      <c r="E22" s="209">
        <f>'[6]Margin Exhibit'!E23</f>
        <v>245.90170500000005</v>
      </c>
      <c r="F22" s="210">
        <f t="shared" si="0"/>
        <v>70956.431430000011</v>
      </c>
      <c r="G22" s="198"/>
      <c r="H22" s="198"/>
      <c r="I22" s="215"/>
      <c r="J22" s="212"/>
      <c r="K22" s="212"/>
      <c r="L22" s="212"/>
      <c r="M22" s="198"/>
      <c r="Q22" s="194"/>
      <c r="R22" s="194"/>
      <c r="S22" s="194"/>
      <c r="T22" s="194"/>
      <c r="U22" s="194"/>
      <c r="V22" s="194"/>
      <c r="X22" s="194"/>
    </row>
    <row r="23" spans="1:24" x14ac:dyDescent="0.2">
      <c r="B23" s="213">
        <f t="shared" si="1"/>
        <v>13</v>
      </c>
      <c r="C23" s="208" t="s">
        <v>101</v>
      </c>
      <c r="D23" s="209">
        <f>'[6]Margin Exhibit'!D24</f>
        <v>7263265.2559702359</v>
      </c>
      <c r="E23" s="209">
        <f>'[6]Margin Exhibit'!E24</f>
        <v>6188133.3463399597</v>
      </c>
      <c r="F23" s="210">
        <f t="shared" si="0"/>
        <v>1075131.9096302763</v>
      </c>
      <c r="G23" s="198"/>
      <c r="H23" s="198"/>
      <c r="I23" s="215"/>
      <c r="J23" s="212"/>
      <c r="K23" s="212"/>
      <c r="L23" s="212"/>
      <c r="M23" s="198"/>
      <c r="Q23" s="194"/>
      <c r="R23" s="194"/>
      <c r="S23" s="194"/>
      <c r="T23" s="194"/>
      <c r="U23" s="194"/>
      <c r="V23" s="194"/>
      <c r="X23" s="194"/>
    </row>
    <row r="24" spans="1:24" x14ac:dyDescent="0.2">
      <c r="B24" s="213">
        <f t="shared" si="1"/>
        <v>14</v>
      </c>
      <c r="C24" s="217" t="s">
        <v>309</v>
      </c>
      <c r="D24" s="209">
        <f>'[6]Margin Exhibit'!D25</f>
        <v>3598279.4156455589</v>
      </c>
      <c r="E24" s="209">
        <f>'[6]Margin Exhibit'!E25</f>
        <v>70159.115411000006</v>
      </c>
      <c r="F24" s="210">
        <f t="shared" si="0"/>
        <v>3528120.300234559</v>
      </c>
      <c r="G24" s="198"/>
      <c r="H24" s="198"/>
      <c r="I24" s="215"/>
      <c r="J24" s="212"/>
      <c r="K24" s="212"/>
      <c r="L24" s="212"/>
      <c r="M24" s="198"/>
      <c r="Q24" s="194"/>
      <c r="R24" s="194"/>
      <c r="S24" s="194"/>
      <c r="T24" s="194"/>
      <c r="U24" s="194"/>
      <c r="V24" s="194"/>
      <c r="X24" s="194"/>
    </row>
    <row r="25" spans="1:24" x14ac:dyDescent="0.2">
      <c r="B25" s="213">
        <f t="shared" si="1"/>
        <v>15</v>
      </c>
      <c r="C25" s="208" t="s">
        <v>208</v>
      </c>
      <c r="D25" s="209">
        <f>'[6]Margin Exhibit'!D26</f>
        <v>1719215.5127806603</v>
      </c>
      <c r="E25" s="209">
        <f>'[6]Margin Exhibit'!E26</f>
        <v>0</v>
      </c>
      <c r="F25" s="210">
        <f t="shared" si="0"/>
        <v>1719215.5127806603</v>
      </c>
      <c r="G25" s="198"/>
      <c r="H25" s="198"/>
      <c r="I25" s="215"/>
      <c r="J25" s="212"/>
      <c r="K25" s="212"/>
      <c r="L25" s="212"/>
      <c r="M25" s="198"/>
      <c r="Q25" s="194"/>
      <c r="R25" s="194"/>
      <c r="S25" s="194"/>
      <c r="T25" s="194"/>
      <c r="U25" s="194"/>
      <c r="V25" s="194"/>
      <c r="X25" s="194"/>
    </row>
    <row r="26" spans="1:24" x14ac:dyDescent="0.2">
      <c r="B26" s="213">
        <f t="shared" si="1"/>
        <v>16</v>
      </c>
      <c r="C26" s="216" t="s">
        <v>313</v>
      </c>
      <c r="D26" s="229">
        <f>SUM(D11:D25)</f>
        <v>751958168.20017171</v>
      </c>
      <c r="E26" s="229">
        <f>SUM(E11:E25)</f>
        <v>307157819.0095886</v>
      </c>
      <c r="F26" s="229">
        <f>SUM(F11:F25)</f>
        <v>444800349.19058317</v>
      </c>
      <c r="G26" s="198"/>
      <c r="H26" s="198"/>
      <c r="I26" s="218"/>
      <c r="J26" s="212"/>
      <c r="K26" s="212"/>
      <c r="L26" s="212"/>
      <c r="M26" s="198"/>
      <c r="Q26" s="194"/>
      <c r="R26" s="194"/>
      <c r="S26" s="194"/>
      <c r="T26" s="194"/>
      <c r="U26" s="194"/>
      <c r="V26" s="194"/>
      <c r="X26" s="194"/>
    </row>
    <row r="27" spans="1:24" x14ac:dyDescent="0.2">
      <c r="B27" s="216"/>
      <c r="C27" s="216"/>
      <c r="D27" s="216"/>
      <c r="E27" s="216"/>
      <c r="F27" s="216"/>
      <c r="G27" s="198"/>
      <c r="H27" s="198"/>
      <c r="I27" s="218"/>
      <c r="J27" s="198"/>
      <c r="K27" s="212"/>
      <c r="L27" s="198"/>
      <c r="M27" s="198"/>
      <c r="Q27" s="194"/>
      <c r="R27" s="194"/>
      <c r="S27" s="194"/>
      <c r="T27" s="194"/>
      <c r="U27" s="194"/>
      <c r="V27" s="194"/>
      <c r="X27" s="194"/>
    </row>
    <row r="28" spans="1:24" x14ac:dyDescent="0.2">
      <c r="A28" s="198"/>
      <c r="C28" s="192" t="s">
        <v>396</v>
      </c>
      <c r="D28" s="198"/>
      <c r="E28" s="198"/>
      <c r="F28" s="198"/>
      <c r="G28" s="220"/>
      <c r="H28" s="220"/>
      <c r="I28" s="220"/>
      <c r="J28" s="221"/>
      <c r="K28" s="221"/>
      <c r="L28" s="221"/>
      <c r="M28" s="221"/>
      <c r="N28" s="221"/>
      <c r="O28" s="221"/>
      <c r="P28" s="222"/>
      <c r="Q28" s="223"/>
      <c r="R28" s="223"/>
      <c r="S28" s="223"/>
      <c r="T28" s="223"/>
      <c r="U28" s="223"/>
      <c r="V28" s="223"/>
      <c r="W28" s="224"/>
    </row>
    <row r="29" spans="1:24" x14ac:dyDescent="0.2">
      <c r="A29" s="198"/>
      <c r="B29" s="192"/>
      <c r="C29" s="198"/>
      <c r="D29" s="198"/>
      <c r="E29" s="198"/>
      <c r="F29" s="198"/>
      <c r="G29" s="220"/>
      <c r="H29" s="220"/>
      <c r="I29" s="220"/>
      <c r="J29" s="221"/>
      <c r="K29" s="221"/>
      <c r="L29" s="221"/>
      <c r="M29" s="221"/>
      <c r="N29" s="221"/>
      <c r="O29" s="221"/>
      <c r="P29" s="222"/>
      <c r="Q29" s="223"/>
      <c r="R29" s="223"/>
      <c r="S29" s="223"/>
      <c r="T29" s="223"/>
      <c r="U29" s="223"/>
      <c r="V29" s="223"/>
      <c r="W29" s="224"/>
    </row>
    <row r="30" spans="1:24" x14ac:dyDescent="0.2">
      <c r="A30" s="198"/>
      <c r="B30" s="213">
        <f>B26+1</f>
        <v>17</v>
      </c>
      <c r="C30" s="208" t="s">
        <v>403</v>
      </c>
      <c r="D30" s="202"/>
      <c r="E30" s="202"/>
      <c r="F30" s="210">
        <f>'[6]Revenue Adj. Detail'!$X$29</f>
        <v>5310380.6899999985</v>
      </c>
      <c r="G30" s="220"/>
      <c r="H30" s="220"/>
      <c r="I30" s="220"/>
      <c r="J30" s="221"/>
      <c r="K30" s="221"/>
      <c r="L30" s="221"/>
      <c r="M30" s="221"/>
      <c r="N30" s="221"/>
      <c r="O30" s="221"/>
      <c r="P30" s="222"/>
      <c r="Q30" s="223"/>
      <c r="R30" s="223"/>
      <c r="S30" s="223"/>
      <c r="T30" s="223"/>
      <c r="U30" s="223"/>
      <c r="V30" s="223"/>
      <c r="W30" s="224"/>
    </row>
    <row r="31" spans="1:24" x14ac:dyDescent="0.2">
      <c r="A31" s="198"/>
      <c r="B31" s="213">
        <f>B30+1</f>
        <v>18</v>
      </c>
      <c r="C31" s="208" t="s">
        <v>57</v>
      </c>
      <c r="D31" s="200"/>
      <c r="E31" s="200"/>
      <c r="F31" s="210">
        <f>'[6]Revenue Adj. Detail'!$X$34</f>
        <v>5039913.28</v>
      </c>
      <c r="G31" s="220"/>
      <c r="H31" s="220"/>
      <c r="I31" s="220"/>
      <c r="J31" s="221"/>
      <c r="K31" s="221"/>
      <c r="L31" s="221"/>
      <c r="M31" s="221"/>
      <c r="N31" s="221"/>
      <c r="O31" s="221"/>
      <c r="P31" s="222"/>
      <c r="Q31" s="223"/>
      <c r="R31" s="223"/>
      <c r="S31" s="223"/>
      <c r="T31" s="223"/>
      <c r="U31" s="223"/>
      <c r="V31" s="223"/>
      <c r="W31" s="224"/>
    </row>
    <row r="32" spans="1:24" x14ac:dyDescent="0.2">
      <c r="A32" s="198"/>
      <c r="B32" s="225"/>
      <c r="C32" s="225"/>
      <c r="D32" s="225"/>
      <c r="E32" s="225"/>
      <c r="F32" s="225"/>
      <c r="G32" s="220"/>
      <c r="H32" s="220"/>
      <c r="I32" s="220"/>
      <c r="J32" s="221"/>
      <c r="K32" s="221"/>
      <c r="L32" s="221"/>
      <c r="M32" s="221"/>
      <c r="N32" s="221"/>
      <c r="O32" s="221"/>
      <c r="P32" s="222"/>
      <c r="Q32" s="223"/>
      <c r="R32" s="223"/>
      <c r="S32" s="223"/>
      <c r="T32" s="223"/>
      <c r="U32" s="223"/>
      <c r="V32" s="223"/>
      <c r="W32" s="224"/>
    </row>
    <row r="33" spans="1:28" x14ac:dyDescent="0.2">
      <c r="A33" s="198"/>
      <c r="B33" s="370" t="s">
        <v>420</v>
      </c>
      <c r="D33" s="214"/>
      <c r="E33" s="214"/>
      <c r="F33" s="214"/>
      <c r="G33" s="220"/>
      <c r="H33" s="220"/>
      <c r="I33" s="220"/>
      <c r="J33" s="221"/>
      <c r="K33" s="221"/>
      <c r="L33" s="221"/>
      <c r="M33" s="221"/>
      <c r="N33" s="221"/>
      <c r="O33" s="221"/>
      <c r="P33" s="222"/>
      <c r="Q33" s="223"/>
      <c r="R33" s="223"/>
      <c r="S33" s="223"/>
      <c r="T33" s="223"/>
      <c r="U33" s="223"/>
      <c r="V33" s="223"/>
      <c r="W33" s="224"/>
    </row>
    <row r="34" spans="1:28" x14ac:dyDescent="0.2">
      <c r="A34" s="198"/>
      <c r="B34" s="192"/>
      <c r="C34" s="225"/>
      <c r="D34" s="225"/>
      <c r="E34" s="225"/>
      <c r="F34" s="225"/>
      <c r="G34" s="220"/>
      <c r="H34" s="220"/>
      <c r="I34" s="220"/>
      <c r="J34" s="221"/>
      <c r="K34" s="221"/>
      <c r="L34" s="221"/>
      <c r="M34" s="221"/>
      <c r="N34" s="221"/>
      <c r="O34" s="221"/>
      <c r="P34" s="222"/>
      <c r="Q34" s="223"/>
      <c r="R34" s="223"/>
      <c r="S34" s="223"/>
      <c r="T34" s="223"/>
      <c r="U34" s="223"/>
      <c r="V34" s="223"/>
      <c r="W34" s="224"/>
    </row>
    <row r="35" spans="1:28" x14ac:dyDescent="0.2">
      <c r="A35" s="198"/>
      <c r="B35" s="192"/>
      <c r="C35" s="225"/>
      <c r="D35" s="225"/>
      <c r="E35" s="225"/>
      <c r="F35" s="225"/>
      <c r="G35" s="220"/>
      <c r="H35" s="220"/>
      <c r="I35" s="220"/>
      <c r="J35" s="221"/>
      <c r="K35" s="221"/>
      <c r="L35" s="221"/>
      <c r="M35" s="221"/>
      <c r="N35" s="221"/>
      <c r="O35" s="221"/>
      <c r="P35" s="222"/>
      <c r="Q35" s="223"/>
      <c r="R35" s="223"/>
      <c r="S35" s="223"/>
      <c r="T35" s="223"/>
      <c r="U35" s="223"/>
      <c r="V35" s="223"/>
      <c r="W35" s="224"/>
    </row>
    <row r="36" spans="1:28" x14ac:dyDescent="0.2">
      <c r="A36" s="198"/>
      <c r="B36" s="192"/>
      <c r="C36" s="192"/>
      <c r="D36" s="192"/>
      <c r="E36" s="192"/>
      <c r="F36" s="192"/>
      <c r="G36" s="220"/>
      <c r="H36" s="220"/>
      <c r="I36" s="220"/>
      <c r="J36" s="221"/>
      <c r="K36" s="221"/>
      <c r="L36" s="221"/>
      <c r="M36" s="221"/>
      <c r="N36" s="221"/>
      <c r="O36" s="221"/>
      <c r="P36" s="222"/>
      <c r="Q36" s="223"/>
      <c r="R36" s="223"/>
      <c r="S36" s="223"/>
      <c r="T36" s="223"/>
      <c r="U36" s="223"/>
      <c r="V36" s="223"/>
      <c r="W36" s="224"/>
    </row>
    <row r="37" spans="1:28" x14ac:dyDescent="0.2">
      <c r="A37" s="198"/>
      <c r="B37" s="192"/>
      <c r="C37" s="225"/>
      <c r="D37" s="225"/>
      <c r="E37" s="225"/>
      <c r="F37" s="225"/>
      <c r="G37" s="220"/>
      <c r="H37" s="220"/>
      <c r="I37" s="220"/>
      <c r="J37" s="221"/>
      <c r="K37" s="221"/>
      <c r="L37" s="221"/>
      <c r="M37" s="221"/>
      <c r="N37" s="221"/>
      <c r="O37" s="221"/>
      <c r="P37" s="222"/>
      <c r="Q37" s="223"/>
      <c r="R37" s="223"/>
      <c r="S37" s="223"/>
      <c r="T37" s="223"/>
      <c r="U37" s="223"/>
      <c r="V37" s="223"/>
      <c r="W37" s="224"/>
    </row>
    <row r="38" spans="1:28" x14ac:dyDescent="0.2">
      <c r="A38" s="198"/>
      <c r="B38" s="192"/>
      <c r="C38" s="225"/>
      <c r="D38" s="225"/>
      <c r="E38" s="225"/>
      <c r="F38" s="225"/>
      <c r="G38" s="220"/>
      <c r="H38" s="220"/>
      <c r="I38" s="220"/>
      <c r="J38" s="221"/>
      <c r="K38" s="221"/>
      <c r="L38" s="221"/>
      <c r="M38" s="221"/>
      <c r="N38" s="221"/>
      <c r="O38" s="221"/>
      <c r="P38" s="222"/>
      <c r="Q38" s="223"/>
      <c r="R38" s="223"/>
      <c r="S38" s="223"/>
      <c r="T38" s="223"/>
      <c r="U38" s="223"/>
      <c r="V38" s="223"/>
      <c r="W38" s="224"/>
      <c r="Y38" s="194"/>
      <c r="Z38" s="194"/>
      <c r="AA38" s="194"/>
      <c r="AB38" s="194"/>
    </row>
    <row r="39" spans="1:28" x14ac:dyDescent="0.2">
      <c r="A39" s="198"/>
      <c r="B39" s="192"/>
      <c r="C39" s="225"/>
      <c r="D39" s="225"/>
      <c r="E39" s="225"/>
      <c r="F39" s="225"/>
      <c r="G39" s="220"/>
      <c r="H39" s="220"/>
      <c r="I39" s="220"/>
      <c r="J39" s="221"/>
      <c r="K39" s="221"/>
      <c r="L39" s="221"/>
      <c r="M39" s="221"/>
      <c r="N39" s="221"/>
      <c r="O39" s="221"/>
      <c r="P39" s="222"/>
      <c r="Q39" s="223"/>
      <c r="R39" s="223"/>
      <c r="S39" s="223"/>
      <c r="T39" s="223"/>
      <c r="U39" s="223"/>
      <c r="V39" s="223"/>
      <c r="W39" s="224"/>
      <c r="Y39" s="194"/>
      <c r="Z39" s="194"/>
      <c r="AA39" s="194"/>
      <c r="AB39" s="194"/>
    </row>
    <row r="40" spans="1:28" x14ac:dyDescent="0.2">
      <c r="A40" s="198"/>
      <c r="B40" s="192"/>
      <c r="C40" s="192"/>
      <c r="D40" s="192"/>
      <c r="E40" s="192"/>
      <c r="F40" s="192"/>
      <c r="G40" s="220"/>
      <c r="H40" s="220"/>
      <c r="I40" s="220"/>
      <c r="J40" s="221"/>
      <c r="K40" s="221"/>
      <c r="L40" s="221"/>
      <c r="M40" s="221"/>
      <c r="N40" s="221"/>
      <c r="O40" s="221"/>
      <c r="P40" s="222"/>
      <c r="Q40" s="223"/>
      <c r="R40" s="223"/>
      <c r="S40" s="223"/>
      <c r="T40" s="223"/>
      <c r="U40" s="223"/>
      <c r="V40" s="223"/>
      <c r="W40" s="224"/>
      <c r="Y40" s="194"/>
      <c r="Z40" s="194"/>
      <c r="AA40" s="194"/>
      <c r="AB40" s="194"/>
    </row>
    <row r="41" spans="1:28" x14ac:dyDescent="0.2">
      <c r="A41" s="198"/>
      <c r="B41" s="192"/>
      <c r="C41" s="225"/>
      <c r="D41" s="225"/>
      <c r="E41" s="225"/>
      <c r="F41" s="225"/>
      <c r="G41" s="220"/>
      <c r="H41" s="220"/>
      <c r="I41" s="220"/>
      <c r="J41" s="221"/>
      <c r="K41" s="221"/>
      <c r="L41" s="221"/>
      <c r="M41" s="221"/>
      <c r="N41" s="221"/>
      <c r="O41" s="221"/>
      <c r="P41" s="222"/>
      <c r="Q41" s="223"/>
      <c r="R41" s="223"/>
      <c r="S41" s="223"/>
      <c r="T41" s="223"/>
      <c r="U41" s="223"/>
      <c r="V41" s="223"/>
      <c r="W41" s="224"/>
      <c r="Y41" s="194"/>
      <c r="Z41" s="194"/>
      <c r="AA41" s="194"/>
      <c r="AB41" s="194"/>
    </row>
    <row r="42" spans="1:28" x14ac:dyDescent="0.2">
      <c r="A42" s="198"/>
      <c r="B42" s="192"/>
      <c r="C42" s="225"/>
      <c r="D42" s="225"/>
      <c r="E42" s="225"/>
      <c r="F42" s="225"/>
      <c r="G42" s="220"/>
      <c r="H42" s="220"/>
      <c r="I42" s="220"/>
      <c r="J42" s="221"/>
      <c r="K42" s="221"/>
      <c r="L42" s="221"/>
      <c r="M42" s="221"/>
      <c r="N42" s="221"/>
      <c r="O42" s="221"/>
      <c r="P42" s="222"/>
      <c r="Q42" s="223"/>
      <c r="R42" s="223"/>
      <c r="S42" s="223"/>
      <c r="T42" s="223"/>
      <c r="U42" s="223"/>
      <c r="V42" s="223"/>
      <c r="W42" s="224"/>
      <c r="Y42" s="194"/>
      <c r="Z42" s="194"/>
      <c r="AA42" s="194"/>
      <c r="AB42" s="194"/>
    </row>
    <row r="43" spans="1:28" x14ac:dyDescent="0.2">
      <c r="A43" s="198"/>
      <c r="B43" s="192"/>
      <c r="C43" s="225"/>
      <c r="D43" s="225"/>
      <c r="E43" s="225"/>
      <c r="F43" s="225"/>
      <c r="G43" s="220"/>
      <c r="H43" s="220"/>
      <c r="I43" s="220"/>
      <c r="J43" s="221"/>
      <c r="K43" s="221"/>
      <c r="L43" s="221"/>
      <c r="M43" s="221"/>
      <c r="N43" s="221"/>
      <c r="O43" s="221"/>
      <c r="P43" s="222"/>
      <c r="Q43" s="223"/>
      <c r="R43" s="223"/>
      <c r="S43" s="223"/>
      <c r="T43" s="223"/>
      <c r="U43" s="223"/>
      <c r="V43" s="223"/>
      <c r="W43" s="224"/>
      <c r="Y43" s="194"/>
      <c r="Z43" s="194"/>
      <c r="AA43" s="194"/>
      <c r="AB43" s="194"/>
    </row>
    <row r="44" spans="1:28" x14ac:dyDescent="0.2">
      <c r="A44" s="198"/>
      <c r="B44" s="192"/>
      <c r="C44" s="192"/>
      <c r="D44" s="192"/>
      <c r="E44" s="192"/>
      <c r="F44" s="192"/>
      <c r="G44" s="220"/>
      <c r="H44" s="220"/>
      <c r="I44" s="220"/>
      <c r="J44" s="221"/>
      <c r="K44" s="221"/>
      <c r="L44" s="221"/>
      <c r="M44" s="221"/>
      <c r="N44" s="221"/>
      <c r="O44" s="221"/>
      <c r="P44" s="222"/>
      <c r="Q44" s="223"/>
      <c r="R44" s="223"/>
      <c r="S44" s="223"/>
      <c r="T44" s="223"/>
      <c r="U44" s="223"/>
      <c r="V44" s="223"/>
      <c r="W44" s="224"/>
      <c r="Y44" s="194"/>
      <c r="Z44" s="194"/>
      <c r="AA44" s="194"/>
      <c r="AB44" s="194"/>
    </row>
    <row r="45" spans="1:28" x14ac:dyDescent="0.2">
      <c r="A45" s="198"/>
      <c r="B45" s="192"/>
      <c r="C45" s="192"/>
      <c r="D45" s="192"/>
      <c r="E45" s="192"/>
      <c r="F45" s="192"/>
      <c r="G45" s="220"/>
      <c r="H45" s="220"/>
      <c r="I45" s="220"/>
      <c r="J45" s="221"/>
      <c r="K45" s="221"/>
      <c r="L45" s="221"/>
      <c r="M45" s="221"/>
      <c r="N45" s="221"/>
      <c r="O45" s="221"/>
      <c r="P45" s="222"/>
      <c r="Q45" s="223"/>
      <c r="R45" s="223"/>
      <c r="S45" s="223"/>
      <c r="T45" s="223"/>
      <c r="U45" s="223"/>
      <c r="V45" s="223"/>
      <c r="W45" s="224"/>
      <c r="Y45" s="194"/>
      <c r="Z45" s="194"/>
      <c r="AA45" s="194"/>
      <c r="AB45" s="194"/>
    </row>
    <row r="46" spans="1:28" x14ac:dyDescent="0.2">
      <c r="A46" s="198"/>
      <c r="B46" s="192"/>
      <c r="C46" s="192"/>
      <c r="D46" s="192"/>
      <c r="E46" s="192"/>
      <c r="F46" s="192"/>
      <c r="G46" s="220"/>
      <c r="H46" s="220"/>
      <c r="I46" s="220"/>
      <c r="J46" s="221"/>
      <c r="K46" s="221"/>
      <c r="L46" s="221"/>
      <c r="M46" s="221"/>
      <c r="N46" s="221"/>
      <c r="O46" s="221"/>
      <c r="P46" s="222"/>
      <c r="Q46" s="223"/>
      <c r="R46" s="223"/>
      <c r="S46" s="223"/>
      <c r="T46" s="223"/>
      <c r="U46" s="223"/>
      <c r="V46" s="223"/>
      <c r="W46" s="224"/>
      <c r="Y46" s="194"/>
      <c r="Z46" s="194"/>
      <c r="AA46" s="194"/>
      <c r="AB46" s="194"/>
    </row>
    <row r="47" spans="1:28" x14ac:dyDescent="0.2">
      <c r="A47" s="198"/>
      <c r="B47" s="192"/>
      <c r="C47" s="192"/>
      <c r="D47" s="192"/>
      <c r="E47" s="192"/>
      <c r="F47" s="192"/>
      <c r="G47" s="220"/>
      <c r="H47" s="220"/>
      <c r="I47" s="220"/>
      <c r="J47" s="221"/>
      <c r="K47" s="221"/>
      <c r="L47" s="221"/>
      <c r="M47" s="221"/>
      <c r="N47" s="221"/>
      <c r="O47" s="221"/>
      <c r="P47" s="222"/>
      <c r="Q47" s="223"/>
      <c r="R47" s="223"/>
      <c r="S47" s="223"/>
      <c r="T47" s="223"/>
      <c r="U47" s="223"/>
      <c r="V47" s="223"/>
      <c r="W47" s="224"/>
      <c r="Y47" s="194"/>
      <c r="Z47" s="194"/>
      <c r="AA47" s="194"/>
      <c r="AB47" s="194"/>
    </row>
    <row r="48" spans="1:28" x14ac:dyDescent="0.2">
      <c r="A48" s="198"/>
      <c r="B48" s="192"/>
      <c r="C48" s="192"/>
      <c r="D48" s="192"/>
      <c r="E48" s="192"/>
      <c r="F48" s="192"/>
      <c r="G48" s="220"/>
      <c r="H48" s="220"/>
      <c r="I48" s="220"/>
      <c r="J48" s="221"/>
      <c r="K48" s="221"/>
      <c r="L48" s="221"/>
      <c r="M48" s="221"/>
      <c r="N48" s="221"/>
      <c r="O48" s="221"/>
      <c r="P48" s="222"/>
      <c r="Q48" s="223"/>
      <c r="R48" s="223"/>
      <c r="S48" s="223"/>
      <c r="T48" s="223"/>
      <c r="U48" s="223"/>
      <c r="V48" s="223"/>
      <c r="W48" s="224"/>
      <c r="Y48" s="194"/>
      <c r="Z48" s="194"/>
      <c r="AA48" s="194"/>
      <c r="AB48" s="194"/>
    </row>
    <row r="49" spans="1:28" x14ac:dyDescent="0.2">
      <c r="A49" s="198"/>
      <c r="B49" s="192"/>
      <c r="C49" s="192"/>
      <c r="D49" s="192"/>
      <c r="E49" s="192"/>
      <c r="F49" s="192"/>
      <c r="G49" s="220"/>
      <c r="H49" s="220"/>
      <c r="I49" s="220"/>
      <c r="J49" s="221"/>
      <c r="K49" s="221"/>
      <c r="L49" s="221"/>
      <c r="M49" s="221"/>
      <c r="N49" s="221"/>
      <c r="O49" s="221"/>
      <c r="P49" s="222"/>
      <c r="Q49" s="223"/>
      <c r="R49" s="223"/>
      <c r="S49" s="223"/>
      <c r="T49" s="223"/>
      <c r="U49" s="223"/>
      <c r="V49" s="223"/>
      <c r="W49" s="224"/>
      <c r="Y49" s="194"/>
      <c r="Z49" s="194"/>
      <c r="AA49" s="194"/>
      <c r="AB49" s="194"/>
    </row>
    <row r="50" spans="1:28" x14ac:dyDescent="0.2">
      <c r="A50" s="198"/>
      <c r="B50" s="192"/>
      <c r="C50" s="198"/>
      <c r="D50" s="198"/>
      <c r="E50" s="198"/>
      <c r="F50" s="198"/>
      <c r="G50" s="220"/>
      <c r="H50" s="220"/>
      <c r="I50" s="220"/>
      <c r="J50" s="221"/>
      <c r="K50" s="221"/>
      <c r="L50" s="221"/>
      <c r="M50" s="221"/>
      <c r="N50" s="221"/>
      <c r="O50" s="221"/>
      <c r="P50" s="222"/>
      <c r="Q50" s="223"/>
      <c r="R50" s="223"/>
      <c r="S50" s="223"/>
      <c r="T50" s="223"/>
      <c r="U50" s="223"/>
      <c r="V50" s="223"/>
      <c r="W50" s="224"/>
      <c r="Y50" s="194"/>
      <c r="Z50" s="194"/>
      <c r="AA50" s="194"/>
      <c r="AB50" s="194"/>
    </row>
    <row r="51" spans="1:28" x14ac:dyDescent="0.2">
      <c r="A51" s="198"/>
      <c r="B51" s="192"/>
      <c r="C51" s="198"/>
      <c r="D51" s="198"/>
      <c r="E51" s="198"/>
      <c r="F51" s="198"/>
      <c r="G51" s="220"/>
      <c r="H51" s="220"/>
      <c r="I51" s="220"/>
      <c r="J51" s="221"/>
      <c r="K51" s="221"/>
      <c r="L51" s="221"/>
      <c r="M51" s="221"/>
      <c r="N51" s="221"/>
      <c r="O51" s="221"/>
      <c r="P51" s="222"/>
      <c r="Q51" s="223"/>
      <c r="R51" s="223"/>
      <c r="S51" s="223"/>
      <c r="T51" s="223"/>
      <c r="U51" s="223"/>
      <c r="V51" s="223"/>
      <c r="W51" s="224"/>
      <c r="Y51" s="194"/>
      <c r="Z51" s="194"/>
      <c r="AA51" s="194"/>
      <c r="AB51" s="194"/>
    </row>
    <row r="52" spans="1:28" x14ac:dyDescent="0.2">
      <c r="A52" s="198"/>
      <c r="B52" s="243"/>
      <c r="C52" s="219"/>
      <c r="D52" s="219"/>
      <c r="E52" s="219"/>
      <c r="F52" s="219"/>
      <c r="G52" s="220"/>
      <c r="H52" s="220"/>
      <c r="I52" s="220"/>
      <c r="J52" s="221"/>
      <c r="K52" s="221"/>
      <c r="L52" s="221"/>
      <c r="M52" s="221"/>
      <c r="N52" s="221"/>
      <c r="O52" s="221"/>
      <c r="P52" s="222"/>
      <c r="Q52" s="223"/>
      <c r="R52" s="223"/>
      <c r="S52" s="223"/>
      <c r="T52" s="223"/>
      <c r="U52" s="223"/>
      <c r="V52" s="223"/>
      <c r="W52" s="224"/>
      <c r="Y52" s="194"/>
      <c r="Z52" s="194"/>
      <c r="AA52" s="194"/>
      <c r="AB52" s="194"/>
    </row>
    <row r="53" spans="1:28" x14ac:dyDescent="0.2">
      <c r="A53" s="198"/>
      <c r="B53" s="192"/>
      <c r="C53" s="198"/>
      <c r="D53" s="198"/>
      <c r="E53" s="198"/>
      <c r="F53" s="198"/>
      <c r="G53" s="194"/>
      <c r="H53" s="194"/>
      <c r="I53" s="194"/>
      <c r="J53" s="199"/>
      <c r="K53" s="199"/>
      <c r="L53" s="199"/>
      <c r="M53" s="199"/>
      <c r="N53" s="199"/>
      <c r="O53" s="199"/>
      <c r="P53" s="220"/>
      <c r="Q53" s="198"/>
      <c r="R53" s="198"/>
      <c r="S53" s="198"/>
      <c r="T53" s="218"/>
      <c r="U53" s="198"/>
      <c r="V53" s="198"/>
      <c r="W53" s="194"/>
      <c r="Y53" s="194"/>
      <c r="Z53" s="194"/>
      <c r="AA53" s="194"/>
      <c r="AB53" s="194"/>
    </row>
    <row r="54" spans="1:28" x14ac:dyDescent="0.2">
      <c r="A54" s="198"/>
      <c r="B54" s="243"/>
      <c r="C54" s="226"/>
      <c r="D54" s="226"/>
      <c r="E54" s="226"/>
      <c r="F54" s="226"/>
      <c r="G54" s="194"/>
      <c r="H54" s="194"/>
      <c r="I54" s="194"/>
      <c r="J54" s="199"/>
      <c r="K54" s="199"/>
      <c r="L54" s="199"/>
      <c r="M54" s="194"/>
      <c r="N54" s="194"/>
      <c r="O54" s="194"/>
      <c r="P54" s="220"/>
      <c r="Q54" s="198"/>
      <c r="R54" s="198"/>
      <c r="S54" s="198"/>
      <c r="T54" s="218"/>
      <c r="U54" s="198"/>
      <c r="V54" s="198"/>
      <c r="W54" s="194"/>
      <c r="Y54" s="194"/>
      <c r="Z54" s="194"/>
      <c r="AA54" s="194"/>
      <c r="AB54" s="194"/>
    </row>
    <row r="55" spans="1:28" x14ac:dyDescent="0.2">
      <c r="A55" s="198"/>
      <c r="B55" s="243"/>
      <c r="C55" s="227"/>
      <c r="D55" s="227"/>
      <c r="E55" s="227"/>
      <c r="F55" s="227"/>
      <c r="G55" s="194"/>
      <c r="H55" s="194"/>
      <c r="I55" s="194"/>
      <c r="J55" s="199"/>
      <c r="K55" s="199"/>
      <c r="L55" s="199"/>
      <c r="M55" s="194"/>
      <c r="N55" s="194"/>
      <c r="O55" s="194"/>
      <c r="P55" s="194"/>
      <c r="Q55" s="198"/>
      <c r="R55" s="198"/>
      <c r="S55" s="198"/>
      <c r="T55" s="198"/>
      <c r="U55" s="198"/>
      <c r="V55" s="198"/>
      <c r="W55" s="194"/>
      <c r="Y55" s="194"/>
      <c r="Z55" s="194"/>
      <c r="AA55" s="194"/>
      <c r="AB55" s="194"/>
    </row>
    <row r="56" spans="1:28" x14ac:dyDescent="0.2">
      <c r="A56" s="198"/>
      <c r="B56" s="243"/>
      <c r="C56" s="226"/>
      <c r="D56" s="226"/>
      <c r="E56" s="226"/>
      <c r="F56" s="226"/>
      <c r="G56" s="194"/>
      <c r="H56" s="194"/>
      <c r="I56" s="194"/>
      <c r="J56" s="199"/>
      <c r="K56" s="199"/>
      <c r="L56" s="199"/>
      <c r="M56" s="194"/>
      <c r="N56" s="194"/>
      <c r="O56" s="194"/>
      <c r="P56" s="194"/>
      <c r="Q56" s="198"/>
      <c r="R56" s="198"/>
      <c r="S56" s="198"/>
      <c r="T56" s="198"/>
      <c r="U56" s="198"/>
      <c r="V56" s="198"/>
      <c r="W56" s="194"/>
      <c r="Y56" s="194"/>
      <c r="Z56" s="194"/>
      <c r="AA56" s="194"/>
      <c r="AB56" s="194"/>
    </row>
    <row r="57" spans="1:28" x14ac:dyDescent="0.2">
      <c r="A57" s="198"/>
      <c r="B57" s="243"/>
      <c r="C57" s="227"/>
      <c r="D57" s="227"/>
      <c r="E57" s="227"/>
      <c r="F57" s="227"/>
      <c r="G57" s="194"/>
      <c r="H57" s="194"/>
      <c r="I57" s="194"/>
      <c r="J57" s="199"/>
      <c r="K57" s="199"/>
      <c r="L57" s="199"/>
      <c r="M57" s="194"/>
      <c r="N57" s="194"/>
      <c r="O57" s="194"/>
      <c r="P57" s="194"/>
      <c r="Q57" s="198"/>
      <c r="R57" s="198"/>
      <c r="S57" s="198"/>
      <c r="T57" s="198"/>
      <c r="U57" s="198"/>
      <c r="V57" s="198"/>
      <c r="W57" s="194"/>
      <c r="Y57" s="194"/>
      <c r="Z57" s="194"/>
      <c r="AA57" s="194"/>
      <c r="AB57" s="194"/>
    </row>
    <row r="58" spans="1:28" x14ac:dyDescent="0.2">
      <c r="A58" s="198"/>
      <c r="B58" s="192"/>
      <c r="C58" s="198"/>
      <c r="D58" s="198"/>
      <c r="E58" s="198"/>
      <c r="F58" s="198"/>
    </row>
    <row r="59" spans="1:28" x14ac:dyDescent="0.2">
      <c r="A59" s="198"/>
      <c r="B59" s="192"/>
      <c r="C59" s="198"/>
      <c r="D59" s="198"/>
      <c r="E59" s="198"/>
      <c r="F59" s="198"/>
      <c r="G59" s="194"/>
      <c r="H59" s="194"/>
      <c r="I59" s="194"/>
      <c r="J59" s="199"/>
      <c r="K59" s="199"/>
      <c r="L59" s="199"/>
      <c r="M59" s="194"/>
      <c r="N59" s="194"/>
      <c r="O59" s="220"/>
      <c r="P59" s="220"/>
      <c r="Q59" s="198"/>
      <c r="R59" s="218"/>
      <c r="S59" s="218"/>
      <c r="T59" s="198"/>
      <c r="U59" s="198"/>
      <c r="V59" s="198"/>
      <c r="W59" s="194"/>
      <c r="Y59" s="194"/>
      <c r="Z59" s="194"/>
      <c r="AA59" s="194"/>
      <c r="AB59" s="194"/>
    </row>
    <row r="60" spans="1:28" x14ac:dyDescent="0.2">
      <c r="A60" s="198"/>
      <c r="B60" s="192"/>
      <c r="C60" s="198"/>
      <c r="D60" s="198"/>
      <c r="E60" s="198"/>
      <c r="F60" s="198"/>
    </row>
    <row r="61" spans="1:28" x14ac:dyDescent="0.2">
      <c r="A61" s="198"/>
      <c r="B61" s="192"/>
      <c r="C61" s="198"/>
      <c r="D61" s="198"/>
      <c r="E61" s="198"/>
      <c r="F61" s="198"/>
      <c r="G61" s="194"/>
      <c r="H61" s="194"/>
      <c r="I61" s="194"/>
      <c r="J61" s="199"/>
      <c r="K61" s="199"/>
      <c r="L61" s="199"/>
      <c r="M61" s="194"/>
      <c r="N61" s="194"/>
      <c r="O61" s="194"/>
      <c r="P61" s="194"/>
      <c r="Q61" s="198"/>
      <c r="R61" s="198"/>
      <c r="S61" s="198"/>
      <c r="T61" s="198"/>
      <c r="U61" s="198"/>
      <c r="V61" s="198"/>
      <c r="W61" s="194"/>
      <c r="Y61" s="194"/>
      <c r="Z61" s="194"/>
      <c r="AA61" s="194"/>
      <c r="AB61" s="194"/>
    </row>
    <row r="62" spans="1:28" x14ac:dyDescent="0.2">
      <c r="A62" s="198"/>
      <c r="B62" s="192"/>
      <c r="C62" s="198"/>
      <c r="D62" s="198"/>
      <c r="E62" s="198"/>
      <c r="F62" s="198"/>
    </row>
  </sheetData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zoomScale="130" zoomScaleNormal="130" workbookViewId="0">
      <selection activeCell="I38" sqref="I38"/>
    </sheetView>
  </sheetViews>
  <sheetFormatPr defaultColWidth="10.28515625" defaultRowHeight="12.75" x14ac:dyDescent="0.2"/>
  <cols>
    <col min="1" max="1" width="4" style="234" customWidth="1"/>
    <col min="2" max="2" width="30" style="273" customWidth="1"/>
    <col min="3" max="3" width="6.42578125" style="92" bestFit="1" customWidth="1"/>
    <col min="4" max="5" width="12.85546875" style="92" customWidth="1"/>
    <col min="6" max="9" width="14.5703125" style="92" customWidth="1"/>
    <col min="10" max="10" width="14.5703125" style="256" customWidth="1"/>
    <col min="11" max="11" width="13" style="92" customWidth="1"/>
    <col min="12" max="12" width="15.42578125" style="92" customWidth="1"/>
    <col min="13" max="16384" width="10.28515625" style="92"/>
  </cols>
  <sheetData>
    <row r="1" spans="1:12" x14ac:dyDescent="0.2">
      <c r="A1" s="398" t="s">
        <v>108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</row>
    <row r="2" spans="1:12" x14ac:dyDescent="0.2">
      <c r="A2" s="398" t="s">
        <v>287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</row>
    <row r="3" spans="1:12" x14ac:dyDescent="0.2">
      <c r="A3" s="399" t="s">
        <v>300</v>
      </c>
      <c r="B3" s="400"/>
      <c r="C3" s="400"/>
      <c r="D3" s="400"/>
      <c r="E3" s="400"/>
      <c r="F3" s="400"/>
      <c r="G3" s="400"/>
      <c r="H3" s="400"/>
      <c r="I3" s="400"/>
      <c r="J3" s="400"/>
      <c r="K3" s="400"/>
      <c r="L3" s="400"/>
    </row>
    <row r="6" spans="1:12" s="248" customFormat="1" x14ac:dyDescent="0.2">
      <c r="A6" s="244"/>
      <c r="B6" s="245" t="s">
        <v>176</v>
      </c>
      <c r="C6" s="109"/>
      <c r="D6" s="110" t="s">
        <v>239</v>
      </c>
      <c r="E6" s="110" t="s">
        <v>240</v>
      </c>
      <c r="F6" s="110" t="s">
        <v>241</v>
      </c>
      <c r="G6" s="110" t="s">
        <v>242</v>
      </c>
      <c r="H6" s="110" t="s">
        <v>243</v>
      </c>
      <c r="I6" s="110" t="s">
        <v>244</v>
      </c>
      <c r="J6" s="246" t="s">
        <v>95</v>
      </c>
      <c r="K6" s="247" t="s">
        <v>131</v>
      </c>
      <c r="L6" s="110" t="s">
        <v>4</v>
      </c>
    </row>
    <row r="7" spans="1:12" s="248" customFormat="1" x14ac:dyDescent="0.2">
      <c r="A7" s="249">
        <v>1</v>
      </c>
      <c r="B7" s="111" t="s">
        <v>82</v>
      </c>
      <c r="C7" s="112"/>
      <c r="D7" s="113">
        <f>'[7]Allocator Summary'!D8</f>
        <v>7071035.8389525395</v>
      </c>
      <c r="E7" s="113">
        <f>'[7]Allocator Summary'!E8</f>
        <v>2515639.4670474599</v>
      </c>
      <c r="F7" s="113">
        <f>'[7]Allocator Summary'!F8</f>
        <v>399512.96499999997</v>
      </c>
      <c r="G7" s="113">
        <f>'[7]Allocator Summary'!G8</f>
        <v>63532.24</v>
      </c>
      <c r="H7" s="113">
        <f>'[7]Allocator Summary'!H8</f>
        <v>7042.4889999999996</v>
      </c>
      <c r="I7" s="113">
        <f>'[7]Allocator Summary'!I8</f>
        <v>23934</v>
      </c>
      <c r="J7" s="113">
        <f>'[7]Allocator Summary'!J8</f>
        <v>50383</v>
      </c>
      <c r="K7" s="113">
        <f>'[7]Allocator Summary'!K8</f>
        <v>0</v>
      </c>
      <c r="L7" s="114">
        <f>SUM(D7:K7)</f>
        <v>10131080</v>
      </c>
    </row>
    <row r="8" spans="1:12" s="248" customFormat="1" x14ac:dyDescent="0.2">
      <c r="A8" s="249">
        <f>A7+1</f>
        <v>2</v>
      </c>
      <c r="B8" s="250"/>
      <c r="C8" s="112"/>
      <c r="D8" s="190">
        <f>ROUND(D7/$L$7,4)-0.0001</f>
        <v>0.69789999999999996</v>
      </c>
      <c r="E8" s="190">
        <f>ROUND(E7/$L$7,4)</f>
        <v>0.24829999999999999</v>
      </c>
      <c r="F8" s="190">
        <f t="shared" ref="F8:K8" si="0">ROUND(F7/$L$7,4)</f>
        <v>3.9399999999999998E-2</v>
      </c>
      <c r="G8" s="190">
        <f t="shared" si="0"/>
        <v>6.3E-3</v>
      </c>
      <c r="H8" s="190">
        <f t="shared" si="0"/>
        <v>6.9999999999999999E-4</v>
      </c>
      <c r="I8" s="190">
        <f t="shared" si="0"/>
        <v>2.3999999999999998E-3</v>
      </c>
      <c r="J8" s="190">
        <f t="shared" si="0"/>
        <v>5.0000000000000001E-3</v>
      </c>
      <c r="K8" s="190">
        <f t="shared" si="0"/>
        <v>0</v>
      </c>
      <c r="L8" s="190">
        <f>SUM(D8:K8)</f>
        <v>0.99999999999999989</v>
      </c>
    </row>
    <row r="9" spans="1:12" s="248" customFormat="1" x14ac:dyDescent="0.2">
      <c r="A9" s="249"/>
      <c r="B9" s="250"/>
      <c r="C9" s="112"/>
      <c r="D9" s="116"/>
      <c r="E9" s="116"/>
      <c r="F9" s="116"/>
      <c r="G9" s="116"/>
      <c r="H9" s="116"/>
      <c r="I9" s="116"/>
      <c r="J9" s="116"/>
      <c r="K9" s="116"/>
      <c r="L9" s="117"/>
    </row>
    <row r="10" spans="1:12" x14ac:dyDescent="0.2">
      <c r="A10" s="249">
        <f>A8+1</f>
        <v>3</v>
      </c>
      <c r="B10" s="118" t="s">
        <v>84</v>
      </c>
      <c r="C10" s="119"/>
      <c r="D10" s="113">
        <f>'[7]Allocator Summary'!D11</f>
        <v>7071035.8389525395</v>
      </c>
      <c r="E10" s="113">
        <f>'[7]Allocator Summary'!E11</f>
        <v>2515639.4670474599</v>
      </c>
      <c r="F10" s="113">
        <f>'[7]Allocator Summary'!F11</f>
        <v>301358.96499999997</v>
      </c>
      <c r="G10" s="113">
        <f>'[7]Allocator Summary'!G11</f>
        <v>6781.239999999998</v>
      </c>
      <c r="H10" s="113">
        <f>'[7]Allocator Summary'!H11</f>
        <v>6292.4889999999996</v>
      </c>
      <c r="I10" s="113">
        <f>'[7]Allocator Summary'!I11</f>
        <v>0</v>
      </c>
      <c r="J10" s="113">
        <f>'[7]Allocator Summary'!J11</f>
        <v>0</v>
      </c>
      <c r="K10" s="113">
        <f>'[7]Allocator Summary'!K11</f>
        <v>0</v>
      </c>
      <c r="L10" s="114">
        <f>SUM(D10:K10)</f>
        <v>9901108</v>
      </c>
    </row>
    <row r="11" spans="1:12" x14ac:dyDescent="0.2">
      <c r="A11" s="249">
        <f>A10+1</f>
        <v>4</v>
      </c>
      <c r="B11" s="251"/>
      <c r="C11" s="115"/>
      <c r="D11" s="252">
        <f>ROUND(D10/$L$10,4)</f>
        <v>0.71419999999999995</v>
      </c>
      <c r="E11" s="252">
        <f>ROUND(E10/$L$10,4)</f>
        <v>0.25409999999999999</v>
      </c>
      <c r="F11" s="252">
        <f t="shared" ref="F11:K11" si="1">ROUND(F10/$L$10,4)</f>
        <v>3.04E-2</v>
      </c>
      <c r="G11" s="252">
        <f t="shared" si="1"/>
        <v>6.9999999999999999E-4</v>
      </c>
      <c r="H11" s="252">
        <f t="shared" si="1"/>
        <v>5.9999999999999995E-4</v>
      </c>
      <c r="I11" s="252">
        <f t="shared" si="1"/>
        <v>0</v>
      </c>
      <c r="J11" s="252">
        <f t="shared" si="1"/>
        <v>0</v>
      </c>
      <c r="K11" s="252">
        <f t="shared" si="1"/>
        <v>0</v>
      </c>
      <c r="L11" s="190">
        <f>SUM(D11:K11)</f>
        <v>1</v>
      </c>
    </row>
    <row r="12" spans="1:12" x14ac:dyDescent="0.2">
      <c r="B12" s="251"/>
      <c r="C12" s="115"/>
      <c r="D12" s="121"/>
      <c r="E12" s="121"/>
      <c r="F12" s="121"/>
      <c r="G12" s="121"/>
      <c r="H12" s="121"/>
      <c r="I12" s="121"/>
      <c r="J12" s="121"/>
      <c r="K12" s="121"/>
      <c r="L12" s="114"/>
    </row>
    <row r="13" spans="1:12" x14ac:dyDescent="0.2">
      <c r="A13" s="249">
        <f>A11+1</f>
        <v>5</v>
      </c>
      <c r="B13" s="118" t="s">
        <v>67</v>
      </c>
      <c r="C13" s="122"/>
      <c r="D13" s="113">
        <f>'[7]Allocator Summary'!D14</f>
        <v>613671517.73199999</v>
      </c>
      <c r="E13" s="113">
        <f>'[7]Allocator Summary'!E14</f>
        <v>232276721.11300004</v>
      </c>
      <c r="F13" s="113">
        <f>'[7]Allocator Summary'!F14</f>
        <v>86114878.978000015</v>
      </c>
      <c r="G13" s="113">
        <f>'[7]Allocator Summary'!G14</f>
        <v>90620156.764000013</v>
      </c>
      <c r="H13" s="113">
        <f>'[7]Allocator Summary'!H14</f>
        <v>9103924.943</v>
      </c>
      <c r="I13" s="113">
        <f>'[7]Allocator Summary'!I14</f>
        <v>123109031.389</v>
      </c>
      <c r="J13" s="113">
        <f>'[7]Allocator Summary'!J14</f>
        <v>37090866.75</v>
      </c>
      <c r="K13" s="113">
        <f>'[7]Allocator Summary'!K14</f>
        <v>0</v>
      </c>
      <c r="L13" s="114">
        <f>SUM(D13:K13)</f>
        <v>1191987097.6690001</v>
      </c>
    </row>
    <row r="14" spans="1:12" x14ac:dyDescent="0.2">
      <c r="A14" s="249">
        <f>A13+1</f>
        <v>6</v>
      </c>
      <c r="B14" s="123" t="s">
        <v>245</v>
      </c>
      <c r="C14" s="124"/>
      <c r="D14" s="252">
        <f>ROUND(+D13/$L$13,4)+0.0001</f>
        <v>0.51490000000000002</v>
      </c>
      <c r="E14" s="252">
        <f t="shared" ref="E14:K14" si="2">ROUND(+E13/$L$13,4)</f>
        <v>0.19489999999999999</v>
      </c>
      <c r="F14" s="252">
        <f t="shared" si="2"/>
        <v>7.22E-2</v>
      </c>
      <c r="G14" s="252">
        <f t="shared" si="2"/>
        <v>7.5999999999999998E-2</v>
      </c>
      <c r="H14" s="252">
        <f t="shared" si="2"/>
        <v>7.6E-3</v>
      </c>
      <c r="I14" s="252">
        <f t="shared" si="2"/>
        <v>0.1033</v>
      </c>
      <c r="J14" s="252">
        <f t="shared" si="2"/>
        <v>3.1099999999999999E-2</v>
      </c>
      <c r="K14" s="252">
        <f t="shared" si="2"/>
        <v>0</v>
      </c>
      <c r="L14" s="190">
        <f>+SUM(D14:K14)</f>
        <v>1</v>
      </c>
    </row>
    <row r="15" spans="1:12" x14ac:dyDescent="0.2">
      <c r="A15" s="249"/>
      <c r="B15" s="253"/>
      <c r="C15" s="122"/>
      <c r="D15" s="121"/>
      <c r="E15" s="121"/>
      <c r="F15" s="121"/>
      <c r="G15" s="121"/>
      <c r="H15" s="121"/>
      <c r="I15" s="121"/>
      <c r="J15" s="121"/>
      <c r="K15" s="121"/>
      <c r="L15" s="114"/>
    </row>
    <row r="16" spans="1:12" x14ac:dyDescent="0.2">
      <c r="A16" s="249">
        <f>A14+1</f>
        <v>7</v>
      </c>
      <c r="B16" s="111" t="s">
        <v>78</v>
      </c>
      <c r="C16" s="112"/>
      <c r="D16" s="190">
        <f>(D14*'[8]System Load Factor'!$B$10)+(D8*'[8]System Load Factor'!$C$10)+0.0001</f>
        <v>0.63901059236799995</v>
      </c>
      <c r="E16" s="190">
        <f>(E14*'[8]System Load Factor'!$B$10)+(E8*'[8]System Load Factor'!$C$10)</f>
        <v>0.23108669744508853</v>
      </c>
      <c r="F16" s="190">
        <f>(F14*'[8]System Load Factor'!$B$10)+(F8*'[8]System Load Factor'!$C$10)-0.0001</f>
        <v>4.9872964865189072E-2</v>
      </c>
      <c r="G16" s="190">
        <f>(G14*'[8]System Load Factor'!$B$10)+(G8*'[8]System Load Factor'!$C$10)</f>
        <v>2.8767550338526786E-2</v>
      </c>
      <c r="H16" s="190">
        <f>(H14*'[8]System Load Factor'!$B$10)+(H8*'[8]System Load Factor'!$C$10)</f>
        <v>2.9241907795672139E-3</v>
      </c>
      <c r="I16" s="190">
        <f>(I14*'[8]System Load Factor'!$B$10)+(I8*'[8]System Load Factor'!$C$10)</f>
        <v>3.4924760820048105E-2</v>
      </c>
      <c r="J16" s="190">
        <f>(J14*'[8]System Load Factor'!$B$10)+(J8*'[8]System Load Factor'!$C$10)</f>
        <v>1.3413243383580332E-2</v>
      </c>
      <c r="K16" s="190">
        <f>(K14*'[8]System Load Factor'!$B$10)+(K8*'[8]System Load Factor'!$C$10)</f>
        <v>0</v>
      </c>
      <c r="L16" s="190">
        <f>SUM(D16:K16)</f>
        <v>1</v>
      </c>
    </row>
    <row r="17" spans="1:12" ht="12.75" customHeight="1" x14ac:dyDescent="0.2">
      <c r="A17" s="125">
        <f>A16+1</f>
        <v>8</v>
      </c>
      <c r="B17" s="251" t="s">
        <v>246</v>
      </c>
      <c r="C17" s="112"/>
      <c r="D17" s="190">
        <f>D16/$L$16</f>
        <v>0.63901059236799995</v>
      </c>
      <c r="E17" s="190">
        <f t="shared" ref="E17:K17" si="3">E16/$L$16</f>
        <v>0.23108669744508853</v>
      </c>
      <c r="F17" s="190">
        <f t="shared" si="3"/>
        <v>4.9872964865189072E-2</v>
      </c>
      <c r="G17" s="190">
        <f t="shared" si="3"/>
        <v>2.8767550338526786E-2</v>
      </c>
      <c r="H17" s="190">
        <f t="shared" si="3"/>
        <v>2.9241907795672139E-3</v>
      </c>
      <c r="I17" s="190">
        <f t="shared" si="3"/>
        <v>3.4924760820048105E-2</v>
      </c>
      <c r="J17" s="190">
        <f t="shared" si="3"/>
        <v>1.3413243383580332E-2</v>
      </c>
      <c r="K17" s="190">
        <f t="shared" si="3"/>
        <v>0</v>
      </c>
      <c r="L17" s="190">
        <f>+SUM(D17:K17)</f>
        <v>1</v>
      </c>
    </row>
    <row r="18" spans="1:12" x14ac:dyDescent="0.2">
      <c r="A18" s="249"/>
      <c r="B18" s="253"/>
      <c r="C18" s="122"/>
      <c r="D18" s="121"/>
      <c r="E18" s="121"/>
      <c r="F18" s="121"/>
      <c r="G18" s="121"/>
      <c r="H18" s="121"/>
      <c r="I18" s="121"/>
      <c r="J18" s="121"/>
      <c r="K18" s="121"/>
      <c r="L18" s="114"/>
    </row>
    <row r="19" spans="1:12" x14ac:dyDescent="0.2">
      <c r="A19" s="249">
        <f>A17+1</f>
        <v>9</v>
      </c>
      <c r="B19" s="118" t="s">
        <v>247</v>
      </c>
      <c r="C19" s="122"/>
      <c r="D19" s="113">
        <f>'[7]Allocator Summary'!D20</f>
        <v>613671517.73199999</v>
      </c>
      <c r="E19" s="113">
        <f>'[7]Allocator Summary'!E20</f>
        <v>232245222.90300003</v>
      </c>
      <c r="F19" s="113">
        <f>'[7]Allocator Summary'!F20</f>
        <v>65497864.558000013</v>
      </c>
      <c r="G19" s="113">
        <f>'[7]Allocator Summary'!G20</f>
        <v>15787998.554000001</v>
      </c>
      <c r="H19" s="113">
        <f>'[7]Allocator Summary'!H20</f>
        <v>8752636.7929999996</v>
      </c>
      <c r="I19" s="113">
        <f>'[7]Allocator Summary'!I20</f>
        <v>22881723.659000002</v>
      </c>
      <c r="J19" s="113">
        <f>'[7]Allocator Summary'!J20</f>
        <v>0</v>
      </c>
      <c r="K19" s="113">
        <f>'[7]Allocator Summary'!K20</f>
        <v>0</v>
      </c>
      <c r="L19" s="114">
        <f>SUM(D19:K19)</f>
        <v>958836964.199</v>
      </c>
    </row>
    <row r="20" spans="1:12" x14ac:dyDescent="0.2">
      <c r="A20" s="125">
        <f>A19+1</f>
        <v>10</v>
      </c>
      <c r="B20" s="126" t="s">
        <v>248</v>
      </c>
      <c r="C20" s="127"/>
      <c r="D20" s="252">
        <f>ROUND(+D19/$L$19,4)</f>
        <v>0.64</v>
      </c>
      <c r="E20" s="252">
        <f t="shared" ref="E20:K20" si="4">ROUND(+E19/$L$19,4)</f>
        <v>0.2422</v>
      </c>
      <c r="F20" s="252">
        <f t="shared" si="4"/>
        <v>6.83E-2</v>
      </c>
      <c r="G20" s="252">
        <f t="shared" si="4"/>
        <v>1.6500000000000001E-2</v>
      </c>
      <c r="H20" s="252">
        <f t="shared" si="4"/>
        <v>9.1000000000000004E-3</v>
      </c>
      <c r="I20" s="252">
        <f t="shared" si="4"/>
        <v>2.3900000000000001E-2</v>
      </c>
      <c r="J20" s="252">
        <f t="shared" si="4"/>
        <v>0</v>
      </c>
      <c r="K20" s="252">
        <f t="shared" si="4"/>
        <v>0</v>
      </c>
      <c r="L20" s="190">
        <f>+SUM(D20:K20)</f>
        <v>1</v>
      </c>
    </row>
    <row r="21" spans="1:12" x14ac:dyDescent="0.2">
      <c r="A21" s="249"/>
      <c r="B21" s="253"/>
      <c r="C21" s="122"/>
      <c r="D21" s="120"/>
      <c r="E21" s="120"/>
      <c r="F21" s="120"/>
      <c r="G21" s="120"/>
      <c r="H21" s="120"/>
      <c r="I21" s="120"/>
      <c r="J21" s="254"/>
      <c r="L21" s="114"/>
    </row>
    <row r="22" spans="1:12" x14ac:dyDescent="0.2">
      <c r="A22" s="249">
        <f>A20+1</f>
        <v>11</v>
      </c>
      <c r="B22" s="118" t="s">
        <v>74</v>
      </c>
      <c r="C22" s="122"/>
      <c r="D22" s="113">
        <f>'[7]Allocator Summary'!D23</f>
        <v>420570399.08700001</v>
      </c>
      <c r="E22" s="113">
        <f>'[7]Allocator Summary'!E23</f>
        <v>147684553.76800001</v>
      </c>
      <c r="F22" s="113">
        <f>'[7]Allocator Summary'!F23</f>
        <v>37095683.967000008</v>
      </c>
      <c r="G22" s="113">
        <f>'[7]Allocator Summary'!G23</f>
        <v>8726045.4800000004</v>
      </c>
      <c r="H22" s="113">
        <f>'[7]Allocator Summary'!H23</f>
        <v>5581383.7290000003</v>
      </c>
      <c r="I22" s="113">
        <f>'[7]Allocator Summary'!I23</f>
        <v>12205919.989</v>
      </c>
      <c r="J22" s="113">
        <f>'[7]Allocator Summary'!J23</f>
        <v>0</v>
      </c>
      <c r="K22" s="113">
        <f>'[7]Allocator Summary'!K23</f>
        <v>0</v>
      </c>
      <c r="L22" s="114">
        <f>SUM(D22:K22)</f>
        <v>631863986.01999998</v>
      </c>
    </row>
    <row r="23" spans="1:12" x14ac:dyDescent="0.2">
      <c r="A23" s="125">
        <f>A22+1</f>
        <v>12</v>
      </c>
      <c r="B23" s="126" t="s">
        <v>249</v>
      </c>
      <c r="C23" s="127"/>
      <c r="D23" s="252">
        <f>ROUND(+D22/$L$22,4)+0.0001</f>
        <v>0.66569999999999996</v>
      </c>
      <c r="E23" s="252">
        <f t="shared" ref="E23:K23" si="5">ROUND(+E22/$L$22,4)</f>
        <v>0.23369999999999999</v>
      </c>
      <c r="F23" s="252">
        <f t="shared" si="5"/>
        <v>5.8700000000000002E-2</v>
      </c>
      <c r="G23" s="252">
        <f t="shared" si="5"/>
        <v>1.38E-2</v>
      </c>
      <c r="H23" s="252">
        <f t="shared" si="5"/>
        <v>8.8000000000000005E-3</v>
      </c>
      <c r="I23" s="252">
        <f t="shared" si="5"/>
        <v>1.9300000000000001E-2</v>
      </c>
      <c r="J23" s="252">
        <f t="shared" si="5"/>
        <v>0</v>
      </c>
      <c r="K23" s="252">
        <f t="shared" si="5"/>
        <v>0</v>
      </c>
      <c r="L23" s="190">
        <f>+SUM(D23:K23)</f>
        <v>1</v>
      </c>
    </row>
    <row r="24" spans="1:12" x14ac:dyDescent="0.2">
      <c r="A24" s="249"/>
      <c r="B24" s="255"/>
      <c r="C24" s="128"/>
      <c r="D24" s="120"/>
      <c r="E24" s="120"/>
      <c r="F24" s="120"/>
      <c r="G24" s="120"/>
      <c r="H24" s="120"/>
      <c r="I24" s="120"/>
      <c r="J24" s="254"/>
      <c r="K24" s="120"/>
      <c r="L24" s="114"/>
    </row>
    <row r="25" spans="1:12" x14ac:dyDescent="0.2">
      <c r="A25" s="249">
        <f>A23+1</f>
        <v>13</v>
      </c>
      <c r="B25" s="118" t="s">
        <v>71</v>
      </c>
      <c r="C25" s="122"/>
      <c r="L25" s="114"/>
    </row>
    <row r="26" spans="1:12" x14ac:dyDescent="0.2">
      <c r="A26" s="125">
        <f t="shared" ref="A26:A32" si="6">A25+1</f>
        <v>14</v>
      </c>
      <c r="B26" s="255" t="s">
        <v>250</v>
      </c>
      <c r="C26" s="129"/>
      <c r="D26" s="113">
        <f>'[7]Allocator Summary'!D27</f>
        <v>193101118.64499998</v>
      </c>
      <c r="E26" s="113">
        <f>'[7]Allocator Summary'!E27</f>
        <v>84560669.13499999</v>
      </c>
      <c r="F26" s="113">
        <f>'[7]Allocator Summary'!F27</f>
        <v>28402180.591000002</v>
      </c>
      <c r="G26" s="113">
        <f>'[7]Allocator Summary'!G27</f>
        <v>7061953.074000001</v>
      </c>
      <c r="H26" s="113">
        <f>'[7]Allocator Summary'!H27</f>
        <v>3171253.0640000002</v>
      </c>
      <c r="I26" s="113">
        <f>'[7]Allocator Summary'!I27</f>
        <v>10675803.670000002</v>
      </c>
      <c r="J26" s="113">
        <f>'[7]Allocator Summary'!J27</f>
        <v>0</v>
      </c>
      <c r="K26" s="113">
        <f>'[7]Allocator Summary'!K27</f>
        <v>0</v>
      </c>
      <c r="L26" s="114">
        <f>SUM(D26:K26)</f>
        <v>326972978.17900002</v>
      </c>
    </row>
    <row r="27" spans="1:12" x14ac:dyDescent="0.2">
      <c r="A27" s="125">
        <f t="shared" si="6"/>
        <v>15</v>
      </c>
      <c r="B27" s="255" t="s">
        <v>251</v>
      </c>
      <c r="C27" s="130"/>
      <c r="D27" s="257">
        <v>214</v>
      </c>
      <c r="E27" s="257">
        <v>214</v>
      </c>
      <c r="F27" s="257">
        <v>214</v>
      </c>
      <c r="G27" s="257">
        <v>214</v>
      </c>
      <c r="H27" s="257">
        <v>214</v>
      </c>
      <c r="I27" s="257">
        <v>214</v>
      </c>
      <c r="J27" s="257">
        <v>214</v>
      </c>
      <c r="K27" s="257">
        <v>214</v>
      </c>
      <c r="L27" s="257">
        <v>214</v>
      </c>
    </row>
    <row r="28" spans="1:12" x14ac:dyDescent="0.2">
      <c r="A28" s="125">
        <f t="shared" si="6"/>
        <v>16</v>
      </c>
      <c r="B28" s="255" t="s">
        <v>252</v>
      </c>
      <c r="C28" s="130"/>
      <c r="D28" s="114">
        <f t="shared" ref="D28:K28" si="7">D26/D27</f>
        <v>902341.6759112149</v>
      </c>
      <c r="E28" s="114">
        <f t="shared" si="7"/>
        <v>395143.3137149532</v>
      </c>
      <c r="F28" s="114">
        <f t="shared" si="7"/>
        <v>132720.47005140188</v>
      </c>
      <c r="G28" s="114">
        <f t="shared" si="7"/>
        <v>32999.780719626171</v>
      </c>
      <c r="H28" s="114">
        <f t="shared" si="7"/>
        <v>14818.939551401871</v>
      </c>
      <c r="I28" s="114">
        <f t="shared" si="7"/>
        <v>49886.933037383184</v>
      </c>
      <c r="J28" s="258">
        <f t="shared" si="7"/>
        <v>0</v>
      </c>
      <c r="K28" s="114">
        <f t="shared" si="7"/>
        <v>0</v>
      </c>
      <c r="L28" s="114">
        <f>SUM(D28:K28)</f>
        <v>1527911.1129859814</v>
      </c>
    </row>
    <row r="29" spans="1:12" x14ac:dyDescent="0.2">
      <c r="A29" s="125">
        <f t="shared" si="6"/>
        <v>17</v>
      </c>
      <c r="B29" s="255" t="s">
        <v>253</v>
      </c>
      <c r="C29" s="130"/>
      <c r="D29" s="114">
        <f t="shared" ref="D29:K29" si="8">D22/D30</f>
        <v>2785234.4310397352</v>
      </c>
      <c r="E29" s="114">
        <f t="shared" si="8"/>
        <v>978043.4024370861</v>
      </c>
      <c r="F29" s="114">
        <f t="shared" si="8"/>
        <v>245666.78123841065</v>
      </c>
      <c r="G29" s="114">
        <f t="shared" si="8"/>
        <v>57788.380662251657</v>
      </c>
      <c r="H29" s="114">
        <f t="shared" si="8"/>
        <v>36962.806152317884</v>
      </c>
      <c r="I29" s="114">
        <f t="shared" si="8"/>
        <v>80833.907211920523</v>
      </c>
      <c r="J29" s="258">
        <f t="shared" si="8"/>
        <v>0</v>
      </c>
      <c r="K29" s="114">
        <f t="shared" si="8"/>
        <v>0</v>
      </c>
      <c r="L29" s="114">
        <f>SUM(D29:K29)</f>
        <v>4184529.7087417222</v>
      </c>
    </row>
    <row r="30" spans="1:12" x14ac:dyDescent="0.2">
      <c r="A30" s="125">
        <f t="shared" si="6"/>
        <v>18</v>
      </c>
      <c r="B30" s="255" t="s">
        <v>254</v>
      </c>
      <c r="C30" s="130"/>
      <c r="D30" s="259">
        <v>151</v>
      </c>
      <c r="E30" s="259">
        <v>151</v>
      </c>
      <c r="F30" s="259">
        <v>151</v>
      </c>
      <c r="G30" s="259">
        <v>151</v>
      </c>
      <c r="H30" s="259">
        <v>151</v>
      </c>
      <c r="I30" s="259">
        <v>151</v>
      </c>
      <c r="J30" s="259">
        <v>151</v>
      </c>
      <c r="K30" s="259">
        <v>151</v>
      </c>
      <c r="L30" s="259">
        <v>151</v>
      </c>
    </row>
    <row r="31" spans="1:12" ht="12.75" customHeight="1" x14ac:dyDescent="0.2">
      <c r="A31" s="125">
        <f t="shared" si="6"/>
        <v>19</v>
      </c>
      <c r="B31" s="131" t="s">
        <v>255</v>
      </c>
      <c r="C31" s="132"/>
      <c r="D31" s="114">
        <f>(+D29-D28)*D30</f>
        <v>284316806.02440655</v>
      </c>
      <c r="E31" s="114">
        <f t="shared" ref="E31:K31" si="9">(+E29-E28)*E30</f>
        <v>88017913.397042066</v>
      </c>
      <c r="F31" s="114">
        <f t="shared" si="9"/>
        <v>17054892.989238326</v>
      </c>
      <c r="G31" s="114">
        <f t="shared" si="9"/>
        <v>3743078.5913364482</v>
      </c>
      <c r="H31" s="114">
        <f t="shared" si="9"/>
        <v>3343723.8567383182</v>
      </c>
      <c r="I31" s="114">
        <f t="shared" si="9"/>
        <v>4672993.1003551381</v>
      </c>
      <c r="J31" s="258">
        <f t="shared" si="9"/>
        <v>0</v>
      </c>
      <c r="K31" s="114">
        <f t="shared" si="9"/>
        <v>0</v>
      </c>
      <c r="L31" s="114">
        <f>SUM(D31:K31)</f>
        <v>401149407.95911682</v>
      </c>
    </row>
    <row r="32" spans="1:12" x14ac:dyDescent="0.2">
      <c r="A32" s="125">
        <f t="shared" si="6"/>
        <v>20</v>
      </c>
      <c r="B32" s="253"/>
      <c r="C32" s="115"/>
      <c r="D32" s="252">
        <f>ROUND(+D31/$L$31,4)</f>
        <v>0.70879999999999999</v>
      </c>
      <c r="E32" s="252">
        <f>ROUND(+E31/$L$31,4)</f>
        <v>0.21940000000000001</v>
      </c>
      <c r="F32" s="252">
        <f>ROUND(+F31/$L$31,4)</f>
        <v>4.2500000000000003E-2</v>
      </c>
      <c r="G32" s="252">
        <f>ROUND(+G31/$L$31,5)</f>
        <v>9.3299999999999998E-3</v>
      </c>
      <c r="H32" s="252">
        <f>ROUND(+H31/$L$31,5)</f>
        <v>8.3400000000000002E-3</v>
      </c>
      <c r="I32" s="252">
        <f>ROUND(+I31/$L$31,5)</f>
        <v>1.1650000000000001E-2</v>
      </c>
      <c r="J32" s="260">
        <f>ROUND(+J31/$L$31,5)</f>
        <v>0</v>
      </c>
      <c r="K32" s="252">
        <f>ROUND(+K31/$L$31,5)</f>
        <v>0</v>
      </c>
      <c r="L32" s="190">
        <f>+SUM(D32:K32)</f>
        <v>1.0000199999999999</v>
      </c>
    </row>
    <row r="33" spans="1:14" ht="13.5" thickBot="1" x14ac:dyDescent="0.25">
      <c r="B33" s="255"/>
      <c r="D33" s="252"/>
      <c r="E33" s="252"/>
      <c r="F33" s="252"/>
      <c r="G33" s="252"/>
      <c r="H33" s="252"/>
      <c r="I33" s="252"/>
      <c r="J33" s="260"/>
      <c r="K33" s="252"/>
      <c r="L33" s="261"/>
    </row>
    <row r="34" spans="1:14" x14ac:dyDescent="0.2">
      <c r="A34" s="262">
        <f>A32+1</f>
        <v>21</v>
      </c>
      <c r="B34" s="263" t="s">
        <v>256</v>
      </c>
      <c r="C34" s="264"/>
      <c r="D34" s="265"/>
      <c r="E34" s="265"/>
      <c r="F34" s="265"/>
      <c r="G34" s="265"/>
      <c r="H34" s="265"/>
      <c r="I34" s="265"/>
      <c r="J34" s="265"/>
      <c r="K34" s="265"/>
      <c r="L34" s="266"/>
    </row>
    <row r="35" spans="1:14" x14ac:dyDescent="0.2">
      <c r="A35" s="188">
        <f>A34+1</f>
        <v>22</v>
      </c>
      <c r="B35" s="253" t="s">
        <v>257</v>
      </c>
      <c r="C35" s="256"/>
      <c r="D35" s="260">
        <f>D20</f>
        <v>0.64</v>
      </c>
      <c r="E35" s="260">
        <f t="shared" ref="E35:K35" si="10">E20</f>
        <v>0.2422</v>
      </c>
      <c r="F35" s="260">
        <f t="shared" si="10"/>
        <v>6.83E-2</v>
      </c>
      <c r="G35" s="260">
        <f t="shared" si="10"/>
        <v>1.6500000000000001E-2</v>
      </c>
      <c r="H35" s="260">
        <f t="shared" si="10"/>
        <v>9.1000000000000004E-3</v>
      </c>
      <c r="I35" s="260">
        <f t="shared" si="10"/>
        <v>2.3900000000000001E-2</v>
      </c>
      <c r="J35" s="260">
        <f t="shared" si="10"/>
        <v>0</v>
      </c>
      <c r="K35" s="260">
        <f t="shared" si="10"/>
        <v>0</v>
      </c>
      <c r="L35" s="267">
        <f>SUM(D35:K35)</f>
        <v>1</v>
      </c>
    </row>
    <row r="36" spans="1:14" x14ac:dyDescent="0.2">
      <c r="A36" s="188">
        <f>A35+1</f>
        <v>23</v>
      </c>
      <c r="B36" s="253" t="s">
        <v>258</v>
      </c>
      <c r="C36" s="268">
        <v>0.28797491515745999</v>
      </c>
      <c r="D36" s="260">
        <f>D35*$C36</f>
        <v>0.18430394570077441</v>
      </c>
      <c r="E36" s="260">
        <f t="shared" ref="E36:K36" si="11">E35*$C36</f>
        <v>6.9747524451136814E-2</v>
      </c>
      <c r="F36" s="260">
        <f t="shared" si="11"/>
        <v>1.9668686705254516E-2</v>
      </c>
      <c r="G36" s="260">
        <f t="shared" si="11"/>
        <v>4.7515861000980899E-3</v>
      </c>
      <c r="H36" s="260">
        <f t="shared" si="11"/>
        <v>2.6205717279328862E-3</v>
      </c>
      <c r="I36" s="260">
        <f t="shared" si="11"/>
        <v>6.8826004722632944E-3</v>
      </c>
      <c r="J36" s="260">
        <f t="shared" si="11"/>
        <v>0</v>
      </c>
      <c r="K36" s="260">
        <f t="shared" si="11"/>
        <v>0</v>
      </c>
      <c r="L36" s="267">
        <f>SUM(D36:K36)</f>
        <v>0.28797491515745999</v>
      </c>
    </row>
    <row r="37" spans="1:14" x14ac:dyDescent="0.2">
      <c r="A37" s="189"/>
      <c r="B37" s="255"/>
      <c r="C37" s="269"/>
      <c r="D37" s="260"/>
      <c r="E37" s="260"/>
      <c r="F37" s="260"/>
      <c r="G37" s="260"/>
      <c r="H37" s="260"/>
      <c r="I37" s="260"/>
      <c r="J37" s="260"/>
      <c r="K37" s="260"/>
      <c r="L37" s="270"/>
    </row>
    <row r="38" spans="1:14" x14ac:dyDescent="0.2">
      <c r="A38" s="271">
        <f>A36+1</f>
        <v>24</v>
      </c>
      <c r="B38" s="255" t="s">
        <v>259</v>
      </c>
      <c r="C38" s="269"/>
      <c r="D38" s="260">
        <f>D23</f>
        <v>0.66569999999999996</v>
      </c>
      <c r="E38" s="260">
        <f t="shared" ref="E38:K38" si="12">E23</f>
        <v>0.23369999999999999</v>
      </c>
      <c r="F38" s="260">
        <f t="shared" si="12"/>
        <v>5.8700000000000002E-2</v>
      </c>
      <c r="G38" s="260">
        <f t="shared" si="12"/>
        <v>1.38E-2</v>
      </c>
      <c r="H38" s="260">
        <f t="shared" si="12"/>
        <v>8.8000000000000005E-3</v>
      </c>
      <c r="I38" s="260">
        <f t="shared" si="12"/>
        <v>1.9300000000000001E-2</v>
      </c>
      <c r="J38" s="260">
        <f t="shared" si="12"/>
        <v>0</v>
      </c>
      <c r="K38" s="260">
        <f t="shared" si="12"/>
        <v>0</v>
      </c>
      <c r="L38" s="267">
        <f>SUM(D38:K38)</f>
        <v>1</v>
      </c>
    </row>
    <row r="39" spans="1:14" x14ac:dyDescent="0.2">
      <c r="A39" s="188">
        <f>A38+1</f>
        <v>25</v>
      </c>
      <c r="B39" s="253" t="s">
        <v>258</v>
      </c>
      <c r="C39" s="272">
        <v>0.38111517678798013</v>
      </c>
      <c r="D39" s="260">
        <f>D38*$C39</f>
        <v>0.25370837318775835</v>
      </c>
      <c r="E39" s="260">
        <f t="shared" ref="E39:K39" si="13">E38*$C39</f>
        <v>8.9066616815350955E-2</v>
      </c>
      <c r="F39" s="260">
        <f t="shared" si="13"/>
        <v>2.2371460877454435E-2</v>
      </c>
      <c r="G39" s="260">
        <f t="shared" si="13"/>
        <v>5.2593894396741258E-3</v>
      </c>
      <c r="H39" s="260">
        <f t="shared" si="13"/>
        <v>3.3538135557342253E-3</v>
      </c>
      <c r="I39" s="260">
        <f t="shared" si="13"/>
        <v>7.3555229120080166E-3</v>
      </c>
      <c r="J39" s="260">
        <f t="shared" si="13"/>
        <v>0</v>
      </c>
      <c r="K39" s="260">
        <f t="shared" si="13"/>
        <v>0</v>
      </c>
      <c r="L39" s="267">
        <f>SUM(D39:K39)</f>
        <v>0.38111517678798013</v>
      </c>
    </row>
    <row r="40" spans="1:14" x14ac:dyDescent="0.2">
      <c r="A40" s="189"/>
      <c r="B40" s="255"/>
      <c r="C40" s="269"/>
      <c r="D40" s="260"/>
      <c r="E40" s="260"/>
      <c r="F40" s="260"/>
      <c r="G40" s="260"/>
      <c r="H40" s="260"/>
      <c r="I40" s="260"/>
      <c r="J40" s="260"/>
      <c r="K40" s="260"/>
      <c r="L40" s="270"/>
    </row>
    <row r="41" spans="1:14" x14ac:dyDescent="0.2">
      <c r="A41" s="271">
        <f>A39+1</f>
        <v>26</v>
      </c>
      <c r="B41" s="255" t="s">
        <v>260</v>
      </c>
      <c r="C41" s="269"/>
      <c r="D41" s="260">
        <f>D11</f>
        <v>0.71419999999999995</v>
      </c>
      <c r="E41" s="260">
        <f t="shared" ref="E41:K41" si="14">E11</f>
        <v>0.25409999999999999</v>
      </c>
      <c r="F41" s="260">
        <f t="shared" si="14"/>
        <v>3.04E-2</v>
      </c>
      <c r="G41" s="260">
        <f t="shared" si="14"/>
        <v>6.9999999999999999E-4</v>
      </c>
      <c r="H41" s="260">
        <f t="shared" si="14"/>
        <v>5.9999999999999995E-4</v>
      </c>
      <c r="I41" s="260">
        <f t="shared" si="14"/>
        <v>0</v>
      </c>
      <c r="J41" s="260">
        <f t="shared" si="14"/>
        <v>0</v>
      </c>
      <c r="K41" s="260">
        <f t="shared" si="14"/>
        <v>0</v>
      </c>
      <c r="L41" s="267">
        <f>SUM(D41:K41)</f>
        <v>1</v>
      </c>
    </row>
    <row r="42" spans="1:14" x14ac:dyDescent="0.2">
      <c r="A42" s="188">
        <f>A41+1</f>
        <v>27</v>
      </c>
      <c r="B42" s="253" t="s">
        <v>258</v>
      </c>
      <c r="C42" s="272">
        <v>0.33090990805455983</v>
      </c>
      <c r="D42" s="260">
        <f>D41*$C42</f>
        <v>0.23633585633256662</v>
      </c>
      <c r="E42" s="260">
        <f t="shared" ref="E42:K42" si="15">E41*$C42</f>
        <v>8.4084207636663647E-2</v>
      </c>
      <c r="F42" s="260">
        <f t="shared" si="15"/>
        <v>1.0059661204858619E-2</v>
      </c>
      <c r="G42" s="260">
        <f t="shared" si="15"/>
        <v>2.3163693563819189E-4</v>
      </c>
      <c r="H42" s="260">
        <f t="shared" si="15"/>
        <v>1.9854594483273587E-4</v>
      </c>
      <c r="I42" s="260">
        <f t="shared" si="15"/>
        <v>0</v>
      </c>
      <c r="J42" s="260">
        <f t="shared" si="15"/>
        <v>0</v>
      </c>
      <c r="K42" s="260">
        <f t="shared" si="15"/>
        <v>0</v>
      </c>
      <c r="L42" s="267">
        <f>SUM(D42:K42)</f>
        <v>0.33090990805455989</v>
      </c>
    </row>
    <row r="43" spans="1:14" x14ac:dyDescent="0.2">
      <c r="A43" s="189"/>
      <c r="B43" s="253"/>
      <c r="C43" s="269"/>
      <c r="D43" s="260"/>
      <c r="E43" s="260"/>
      <c r="F43" s="260"/>
      <c r="G43" s="260"/>
      <c r="H43" s="260"/>
      <c r="I43" s="260"/>
      <c r="J43" s="260"/>
      <c r="K43" s="260"/>
      <c r="L43" s="270"/>
      <c r="N43" s="187" t="s">
        <v>301</v>
      </c>
    </row>
    <row r="44" spans="1:14" x14ac:dyDescent="0.2">
      <c r="A44" s="271">
        <f>A42+1</f>
        <v>28</v>
      </c>
      <c r="B44" s="255" t="s">
        <v>261</v>
      </c>
      <c r="C44" s="269"/>
      <c r="D44" s="260">
        <f>D36+D39+D42</f>
        <v>0.67434817522109936</v>
      </c>
      <c r="E44" s="260">
        <f t="shared" ref="E44:K44" si="16">E36+E39+E42</f>
        <v>0.24289834890315143</v>
      </c>
      <c r="F44" s="260">
        <f t="shared" si="16"/>
        <v>5.2099808787567571E-2</v>
      </c>
      <c r="G44" s="260">
        <f t="shared" si="16"/>
        <v>1.0242612475410407E-2</v>
      </c>
      <c r="H44" s="260">
        <f t="shared" si="16"/>
        <v>6.1729312284998471E-3</v>
      </c>
      <c r="I44" s="260">
        <f t="shared" si="16"/>
        <v>1.4238123384271311E-2</v>
      </c>
      <c r="J44" s="260">
        <f t="shared" si="16"/>
        <v>0</v>
      </c>
      <c r="K44" s="260">
        <f t="shared" si="16"/>
        <v>0</v>
      </c>
      <c r="L44" s="267">
        <f>SUM(D44:K44)</f>
        <v>0.99999999999999989</v>
      </c>
    </row>
    <row r="45" spans="1:14" x14ac:dyDescent="0.2">
      <c r="A45" s="188"/>
      <c r="C45" s="269"/>
      <c r="D45" s="256"/>
      <c r="E45" s="256"/>
      <c r="F45" s="256"/>
      <c r="G45" s="256"/>
      <c r="H45" s="256"/>
      <c r="I45" s="256"/>
      <c r="K45" s="256"/>
      <c r="L45" s="270"/>
    </row>
    <row r="46" spans="1:14" x14ac:dyDescent="0.2">
      <c r="A46" s="271">
        <f>A44+1</f>
        <v>29</v>
      </c>
      <c r="B46" s="133" t="s">
        <v>262</v>
      </c>
      <c r="C46" s="269"/>
      <c r="D46" s="260"/>
      <c r="E46" s="260"/>
      <c r="F46" s="260"/>
      <c r="G46" s="260"/>
      <c r="H46" s="260"/>
      <c r="I46" s="260"/>
      <c r="J46" s="260"/>
      <c r="K46" s="260"/>
      <c r="L46" s="270"/>
    </row>
    <row r="47" spans="1:14" x14ac:dyDescent="0.2">
      <c r="A47" s="271">
        <f>A46+1</f>
        <v>30</v>
      </c>
      <c r="B47" s="255" t="s">
        <v>259</v>
      </c>
      <c r="C47" s="269"/>
      <c r="D47" s="260">
        <f>D23</f>
        <v>0.66569999999999996</v>
      </c>
      <c r="E47" s="260">
        <f t="shared" ref="E47:K47" si="17">E23</f>
        <v>0.23369999999999999</v>
      </c>
      <c r="F47" s="260">
        <f t="shared" si="17"/>
        <v>5.8700000000000002E-2</v>
      </c>
      <c r="G47" s="260">
        <f t="shared" si="17"/>
        <v>1.38E-2</v>
      </c>
      <c r="H47" s="260">
        <f t="shared" si="17"/>
        <v>8.8000000000000005E-3</v>
      </c>
      <c r="I47" s="260">
        <f t="shared" si="17"/>
        <v>1.9300000000000001E-2</v>
      </c>
      <c r="J47" s="260">
        <f t="shared" si="17"/>
        <v>0</v>
      </c>
      <c r="K47" s="260">
        <f t="shared" si="17"/>
        <v>0</v>
      </c>
      <c r="L47" s="267">
        <f>SUM(D47:K47)</f>
        <v>1</v>
      </c>
    </row>
    <row r="48" spans="1:14" x14ac:dyDescent="0.2">
      <c r="A48" s="188">
        <f>A47+1</f>
        <v>31</v>
      </c>
      <c r="B48" s="253" t="s">
        <v>258</v>
      </c>
      <c r="C48" s="272">
        <v>0.11371150952963374</v>
      </c>
      <c r="D48" s="260">
        <f t="shared" ref="D48:K48" si="18">D47*$C48</f>
        <v>7.5697751893877174E-2</v>
      </c>
      <c r="E48" s="260">
        <f t="shared" si="18"/>
        <v>2.6574379777075406E-2</v>
      </c>
      <c r="F48" s="260">
        <f t="shared" si="18"/>
        <v>6.674865609389501E-3</v>
      </c>
      <c r="G48" s="260">
        <f t="shared" si="18"/>
        <v>1.5692188315089455E-3</v>
      </c>
      <c r="H48" s="260">
        <f t="shared" si="18"/>
        <v>1.000661283860777E-3</v>
      </c>
      <c r="I48" s="260">
        <f t="shared" si="18"/>
        <v>2.1946321339219315E-3</v>
      </c>
      <c r="J48" s="260">
        <f t="shared" si="18"/>
        <v>0</v>
      </c>
      <c r="K48" s="260">
        <f t="shared" si="18"/>
        <v>0</v>
      </c>
      <c r="L48" s="267">
        <f>SUM(D48:K48)</f>
        <v>0.11371150952963374</v>
      </c>
    </row>
    <row r="49" spans="1:12" x14ac:dyDescent="0.2">
      <c r="A49" s="189"/>
      <c r="B49" s="255"/>
      <c r="C49" s="135"/>
      <c r="D49" s="260"/>
      <c r="E49" s="260"/>
      <c r="F49" s="260"/>
      <c r="G49" s="260"/>
      <c r="H49" s="260"/>
      <c r="I49" s="260"/>
      <c r="J49" s="260"/>
      <c r="K49" s="260"/>
      <c r="L49" s="270"/>
    </row>
    <row r="50" spans="1:12" x14ac:dyDescent="0.2">
      <c r="A50" s="271">
        <f>A48+1</f>
        <v>32</v>
      </c>
      <c r="B50" s="255" t="s">
        <v>260</v>
      </c>
      <c r="C50" s="135"/>
      <c r="D50" s="260">
        <f>D11</f>
        <v>0.71419999999999995</v>
      </c>
      <c r="E50" s="260">
        <f t="shared" ref="E50:K50" si="19">E11</f>
        <v>0.25409999999999999</v>
      </c>
      <c r="F50" s="260">
        <f t="shared" si="19"/>
        <v>3.04E-2</v>
      </c>
      <c r="G50" s="260">
        <f t="shared" si="19"/>
        <v>6.9999999999999999E-4</v>
      </c>
      <c r="H50" s="260">
        <f t="shared" si="19"/>
        <v>5.9999999999999995E-4</v>
      </c>
      <c r="I50" s="260">
        <f t="shared" si="19"/>
        <v>0</v>
      </c>
      <c r="J50" s="260">
        <f t="shared" si="19"/>
        <v>0</v>
      </c>
      <c r="K50" s="260">
        <f t="shared" si="19"/>
        <v>0</v>
      </c>
      <c r="L50" s="267">
        <f>SUM(D50:K50)</f>
        <v>1</v>
      </c>
    </row>
    <row r="51" spans="1:12" x14ac:dyDescent="0.2">
      <c r="A51" s="188">
        <f>A50+1</f>
        <v>33</v>
      </c>
      <c r="B51" s="253" t="s">
        <v>258</v>
      </c>
      <c r="C51" s="272">
        <v>0.88628849047036617</v>
      </c>
      <c r="D51" s="260">
        <f t="shared" ref="D51:K51" si="20">D50*$C51</f>
        <v>0.63298723989393546</v>
      </c>
      <c r="E51" s="260">
        <f t="shared" si="20"/>
        <v>0.22520590542852004</v>
      </c>
      <c r="F51" s="260">
        <f t="shared" si="20"/>
        <v>2.6943170110299133E-2</v>
      </c>
      <c r="G51" s="260">
        <f t="shared" si="20"/>
        <v>6.2040194332925631E-4</v>
      </c>
      <c r="H51" s="260">
        <f t="shared" si="20"/>
        <v>5.3177309428221965E-4</v>
      </c>
      <c r="I51" s="260">
        <f t="shared" si="20"/>
        <v>0</v>
      </c>
      <c r="J51" s="260">
        <f t="shared" si="20"/>
        <v>0</v>
      </c>
      <c r="K51" s="260">
        <f t="shared" si="20"/>
        <v>0</v>
      </c>
      <c r="L51" s="267">
        <f>SUM(D51:K51)</f>
        <v>0.88628849047036606</v>
      </c>
    </row>
    <row r="52" spans="1:12" x14ac:dyDescent="0.2">
      <c r="A52" s="189"/>
      <c r="B52" s="253"/>
      <c r="C52" s="256"/>
      <c r="D52" s="260"/>
      <c r="E52" s="260"/>
      <c r="F52" s="260"/>
      <c r="G52" s="260"/>
      <c r="H52" s="260"/>
      <c r="I52" s="260"/>
      <c r="J52" s="260"/>
      <c r="K52" s="260"/>
      <c r="L52" s="270"/>
    </row>
    <row r="53" spans="1:12" ht="13.5" thickBot="1" x14ac:dyDescent="0.25">
      <c r="A53" s="274">
        <f>A51+1</f>
        <v>34</v>
      </c>
      <c r="B53" s="275" t="s">
        <v>261</v>
      </c>
      <c r="C53" s="276"/>
      <c r="D53" s="277">
        <f>D48+D51</f>
        <v>0.70868499178781263</v>
      </c>
      <c r="E53" s="277">
        <f t="shared" ref="E53:K53" si="21">E48+E51</f>
        <v>0.25178028520559542</v>
      </c>
      <c r="F53" s="277">
        <f t="shared" si="21"/>
        <v>3.3618035719688633E-2</v>
      </c>
      <c r="G53" s="277">
        <f t="shared" si="21"/>
        <v>2.189620774838202E-3</v>
      </c>
      <c r="H53" s="277">
        <f t="shared" si="21"/>
        <v>1.5324343781429966E-3</v>
      </c>
      <c r="I53" s="277">
        <f t="shared" si="21"/>
        <v>2.1946321339219315E-3</v>
      </c>
      <c r="J53" s="277">
        <f t="shared" si="21"/>
        <v>0</v>
      </c>
      <c r="K53" s="277">
        <f t="shared" si="21"/>
        <v>0</v>
      </c>
      <c r="L53" s="278">
        <f>SUM(D53:K53)</f>
        <v>0.99999999999999989</v>
      </c>
    </row>
  </sheetData>
  <mergeCells count="3">
    <mergeCell ref="A1:L1"/>
    <mergeCell ref="A2:L2"/>
    <mergeCell ref="A3:L3"/>
  </mergeCells>
  <hyperlinks>
    <hyperlink ref="B46" r:id="rId1" display="JPTF@"/>
  </hyperlinks>
  <pageMargins left="0.7" right="0.7" top="0.75" bottom="0.75" header="0.3" footer="0.3"/>
  <pageSetup scale="74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workbookViewId="0">
      <selection activeCell="C24" sqref="C24"/>
    </sheetView>
  </sheetViews>
  <sheetFormatPr defaultRowHeight="12.75" x14ac:dyDescent="0.2"/>
  <cols>
    <col min="2" max="2" width="37.42578125" bestFit="1" customWidth="1"/>
    <col min="3" max="3" width="12.7109375" bestFit="1" customWidth="1"/>
    <col min="4" max="4" width="10.140625" bestFit="1" customWidth="1"/>
  </cols>
  <sheetData>
    <row r="1" spans="2:9" x14ac:dyDescent="0.2">
      <c r="B1" s="233" t="s">
        <v>108</v>
      </c>
      <c r="C1" s="233"/>
      <c r="D1" s="233"/>
      <c r="E1" s="233"/>
    </row>
    <row r="2" spans="2:9" x14ac:dyDescent="0.2">
      <c r="B2" s="238" t="s">
        <v>299</v>
      </c>
      <c r="C2" s="238"/>
      <c r="D2" s="238"/>
      <c r="E2" s="238"/>
    </row>
    <row r="3" spans="2:9" x14ac:dyDescent="0.2">
      <c r="B3" s="233" t="s">
        <v>263</v>
      </c>
      <c r="C3" s="233"/>
      <c r="D3" s="233"/>
      <c r="E3" s="233"/>
    </row>
    <row r="5" spans="2:9" x14ac:dyDescent="0.2">
      <c r="C5" s="136"/>
      <c r="D5" s="136"/>
      <c r="E5" s="136"/>
      <c r="F5" s="136"/>
      <c r="G5" s="136"/>
      <c r="H5" s="136"/>
      <c r="I5" s="136"/>
    </row>
    <row r="6" spans="2:9" x14ac:dyDescent="0.2">
      <c r="B6" s="137" t="s">
        <v>264</v>
      </c>
      <c r="C6" s="138" t="s">
        <v>67</v>
      </c>
      <c r="D6" s="138" t="s">
        <v>82</v>
      </c>
      <c r="E6" s="139" t="s">
        <v>265</v>
      </c>
      <c r="F6" s="136"/>
    </row>
    <row r="7" spans="2:9" x14ac:dyDescent="0.2">
      <c r="B7" s="140"/>
      <c r="C7" s="141">
        <f>'[7]System Load Factor'!B8</f>
        <v>1191987097.6690001</v>
      </c>
      <c r="D7" s="141">
        <f>'[7]System Load Factor'!C8</f>
        <v>10131080</v>
      </c>
      <c r="E7" s="141">
        <v>365</v>
      </c>
      <c r="F7" s="136"/>
    </row>
    <row r="8" spans="2:9" x14ac:dyDescent="0.2">
      <c r="B8" s="142" t="s">
        <v>266</v>
      </c>
      <c r="C8" s="92"/>
      <c r="D8" s="92"/>
      <c r="E8" s="97"/>
    </row>
    <row r="9" spans="2:9" x14ac:dyDescent="0.2">
      <c r="B9" s="143" t="s">
        <v>267</v>
      </c>
      <c r="C9" s="363">
        <f>C7/(D7*E7)</f>
        <v>0.32234648979234987</v>
      </c>
      <c r="D9" s="364">
        <f>1-C9</f>
        <v>0.67765351020765019</v>
      </c>
      <c r="E9" s="146">
        <f>D9+C9</f>
        <v>1</v>
      </c>
    </row>
    <row r="10" spans="2:9" x14ac:dyDescent="0.2">
      <c r="B10" s="95"/>
      <c r="C10" s="147"/>
      <c r="D10" s="148"/>
      <c r="E10" s="148"/>
    </row>
    <row r="11" spans="2:9" x14ac:dyDescent="0.2">
      <c r="B11" s="149"/>
      <c r="C11" s="150"/>
      <c r="D11" s="151"/>
      <c r="E11" s="151"/>
    </row>
    <row r="12" spans="2:9" x14ac:dyDescent="0.2">
      <c r="B12" s="137" t="s">
        <v>268</v>
      </c>
      <c r="C12" s="138" t="s">
        <v>247</v>
      </c>
      <c r="D12" s="138" t="s">
        <v>84</v>
      </c>
      <c r="E12" s="139" t="s">
        <v>265</v>
      </c>
      <c r="F12" s="136"/>
    </row>
    <row r="13" spans="2:9" x14ac:dyDescent="0.2">
      <c r="B13" s="140"/>
      <c r="C13" s="141">
        <f>'[7]System Load Factor'!B14</f>
        <v>958836964.199</v>
      </c>
      <c r="D13" s="141">
        <f>'[7]System Load Factor'!C14</f>
        <v>9901108</v>
      </c>
      <c r="E13" s="152">
        <f>E7</f>
        <v>365</v>
      </c>
      <c r="F13" s="136"/>
    </row>
    <row r="14" spans="2:9" x14ac:dyDescent="0.2">
      <c r="B14" s="142" t="s">
        <v>266</v>
      </c>
      <c r="C14" s="92"/>
      <c r="D14" s="92"/>
      <c r="E14" s="97"/>
    </row>
    <row r="15" spans="2:9" x14ac:dyDescent="0.2">
      <c r="B15" s="143" t="s">
        <v>269</v>
      </c>
      <c r="C15" s="144">
        <f>C13/(D13*E13)</f>
        <v>0.26531884985464005</v>
      </c>
      <c r="D15" s="145">
        <f>1-C15</f>
        <v>0.73468115014535995</v>
      </c>
      <c r="E15" s="146">
        <f>D15+C15</f>
        <v>1</v>
      </c>
    </row>
    <row r="18" spans="2:2" x14ac:dyDescent="0.2">
      <c r="B18" s="240" t="s">
        <v>412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3"/>
  <sheetViews>
    <sheetView zoomScaleNormal="100" workbookViewId="0">
      <selection activeCell="B3" sqref="B3"/>
    </sheetView>
  </sheetViews>
  <sheetFormatPr defaultRowHeight="12.75" x14ac:dyDescent="0.2"/>
  <cols>
    <col min="3" max="3" width="36.5703125" bestFit="1" customWidth="1"/>
    <col min="4" max="4" width="17.28515625" bestFit="1" customWidth="1"/>
    <col min="6" max="6" width="26.7109375" customWidth="1"/>
    <col min="7" max="13" width="16.140625" customWidth="1"/>
    <col min="14" max="14" width="11.28515625" bestFit="1" customWidth="1"/>
  </cols>
  <sheetData>
    <row r="1" spans="2:14" x14ac:dyDescent="0.2">
      <c r="B1" s="305" t="s">
        <v>108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85"/>
    </row>
    <row r="2" spans="2:14" x14ac:dyDescent="0.2">
      <c r="B2" s="401" t="s">
        <v>294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85"/>
    </row>
    <row r="3" spans="2:14" x14ac:dyDescent="0.2">
      <c r="B3" s="326" t="s">
        <v>270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85"/>
    </row>
    <row r="4" spans="2:14" x14ac:dyDescent="0.2"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85"/>
    </row>
    <row r="5" spans="2:14" x14ac:dyDescent="0.2"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</row>
    <row r="6" spans="2:14" ht="38.25" x14ac:dyDescent="0.2">
      <c r="B6" s="325" t="s">
        <v>132</v>
      </c>
      <c r="C6" s="325" t="s">
        <v>271</v>
      </c>
      <c r="D6" s="325" t="s">
        <v>116</v>
      </c>
      <c r="E6" s="325" t="s">
        <v>117</v>
      </c>
      <c r="F6" s="325" t="s">
        <v>272</v>
      </c>
      <c r="G6" s="325" t="s">
        <v>89</v>
      </c>
      <c r="H6" s="325" t="s">
        <v>90</v>
      </c>
      <c r="I6" s="325" t="s">
        <v>175</v>
      </c>
      <c r="J6" s="325" t="s">
        <v>92</v>
      </c>
      <c r="K6" s="325" t="s">
        <v>93</v>
      </c>
      <c r="L6" s="325" t="s">
        <v>94</v>
      </c>
      <c r="M6" s="325" t="s">
        <v>273</v>
      </c>
      <c r="N6" s="153"/>
    </row>
    <row r="7" spans="2:14" x14ac:dyDescent="0.2">
      <c r="B7" s="279"/>
      <c r="C7" s="279"/>
      <c r="D7" s="279"/>
      <c r="E7" s="279"/>
      <c r="F7" s="279"/>
      <c r="G7" s="279"/>
      <c r="H7" s="279"/>
      <c r="I7" s="279"/>
      <c r="J7" s="279"/>
      <c r="K7" s="279"/>
      <c r="L7" s="279"/>
      <c r="M7" s="279"/>
    </row>
    <row r="8" spans="2:14" x14ac:dyDescent="0.2">
      <c r="B8" s="311"/>
      <c r="C8" s="319" t="s">
        <v>274</v>
      </c>
      <c r="D8" s="279"/>
      <c r="F8" s="279"/>
      <c r="G8" s="279"/>
      <c r="H8" s="279"/>
      <c r="I8" s="279"/>
      <c r="J8" s="279"/>
      <c r="K8" s="279"/>
      <c r="L8" s="279"/>
      <c r="M8" s="279"/>
    </row>
    <row r="9" spans="2:14" x14ac:dyDescent="0.2">
      <c r="B9" s="311">
        <v>1</v>
      </c>
      <c r="C9" s="279" t="s">
        <v>275</v>
      </c>
      <c r="D9" s="321">
        <f>D$25*E9</f>
        <v>1367711467.9196515</v>
      </c>
      <c r="E9" s="324">
        <f>1-E17</f>
        <v>0.67765351020765019</v>
      </c>
      <c r="F9" s="279" t="s">
        <v>276</v>
      </c>
      <c r="G9" s="282"/>
      <c r="H9" s="282"/>
      <c r="I9" s="282"/>
      <c r="J9" s="282"/>
      <c r="K9" s="282"/>
      <c r="L9" s="282"/>
      <c r="M9" s="282"/>
      <c r="N9" s="90"/>
    </row>
    <row r="10" spans="2:14" x14ac:dyDescent="0.2">
      <c r="B10" s="311"/>
      <c r="C10" s="279"/>
      <c r="D10" s="321"/>
      <c r="E10" s="322"/>
      <c r="F10" s="279"/>
      <c r="G10" s="282"/>
      <c r="H10" s="282"/>
      <c r="I10" s="282"/>
      <c r="J10" s="282"/>
      <c r="K10" s="282"/>
      <c r="L10" s="282"/>
      <c r="M10" s="282"/>
      <c r="N10" s="90"/>
    </row>
    <row r="11" spans="2:14" x14ac:dyDescent="0.2">
      <c r="B11" s="311">
        <f>B9+1</f>
        <v>2</v>
      </c>
      <c r="C11" s="279" t="s">
        <v>278</v>
      </c>
      <c r="D11" s="331">
        <f>$D$9*'Mains Costs'!D32</f>
        <v>764645165.87727785</v>
      </c>
      <c r="E11" s="322"/>
      <c r="F11" s="327" t="s">
        <v>387</v>
      </c>
      <c r="G11" s="282">
        <f t="shared" ref="G11:M11" si="0">$D11*G34</f>
        <v>536355112.34987432</v>
      </c>
      <c r="H11" s="282">
        <f t="shared" si="0"/>
        <v>190817317.25176659</v>
      </c>
      <c r="I11" s="282">
        <f t="shared" si="0"/>
        <v>30304021.377941236</v>
      </c>
      <c r="J11" s="282">
        <f t="shared" si="0"/>
        <v>4819073.5415770384</v>
      </c>
      <c r="K11" s="282">
        <f t="shared" si="0"/>
        <v>534189.76580626366</v>
      </c>
      <c r="L11" s="282">
        <f t="shared" si="0"/>
        <v>1815451.5903123333</v>
      </c>
      <c r="M11" s="282">
        <f t="shared" si="0"/>
        <v>0</v>
      </c>
      <c r="N11" s="90"/>
    </row>
    <row r="12" spans="2:14" x14ac:dyDescent="0.2">
      <c r="B12" s="311">
        <f>B11+1</f>
        <v>3</v>
      </c>
      <c r="C12" s="279" t="s">
        <v>279</v>
      </c>
      <c r="D12" s="331">
        <f>$D$9*'Mains Costs'!D31</f>
        <v>381379334.33054978</v>
      </c>
      <c r="E12" s="322"/>
      <c r="F12" s="327" t="s">
        <v>386</v>
      </c>
      <c r="G12" s="282">
        <f t="shared" ref="G12:M12" si="1">$D12*G37</f>
        <v>268152579.64090237</v>
      </c>
      <c r="H12" s="282">
        <f t="shared" si="1"/>
        <v>95399772.805446371</v>
      </c>
      <c r="I12" s="282">
        <f t="shared" si="1"/>
        <v>15150599.516775351</v>
      </c>
      <c r="J12" s="282">
        <f t="shared" si="1"/>
        <v>2409312.3602225417</v>
      </c>
      <c r="K12" s="282">
        <f t="shared" si="1"/>
        <v>267070.00720313477</v>
      </c>
      <c r="L12" s="282">
        <f t="shared" si="1"/>
        <v>0</v>
      </c>
      <c r="M12" s="282">
        <f t="shared" si="1"/>
        <v>0</v>
      </c>
      <c r="N12" s="90"/>
    </row>
    <row r="13" spans="2:14" x14ac:dyDescent="0.2">
      <c r="B13" s="311">
        <f>B12+1</f>
        <v>4</v>
      </c>
      <c r="C13" s="279" t="s">
        <v>281</v>
      </c>
      <c r="D13" s="331">
        <f>$D$9*'Mains Costs'!D30</f>
        <v>219888446.70833668</v>
      </c>
      <c r="E13" s="322"/>
      <c r="F13" s="327" t="s">
        <v>388</v>
      </c>
      <c r="G13" s="282">
        <f t="shared" ref="G13:M13" si="2">$D13*G40</f>
        <v>155698955.90307707</v>
      </c>
      <c r="H13" s="282">
        <f t="shared" si="2"/>
        <v>55392512.12533582</v>
      </c>
      <c r="I13" s="282">
        <f>$D13*I40</f>
        <v>8796978.6799237952</v>
      </c>
      <c r="J13" s="282">
        <f t="shared" si="2"/>
        <v>0</v>
      </c>
      <c r="K13" s="282">
        <f t="shared" si="2"/>
        <v>0</v>
      </c>
      <c r="L13" s="282">
        <f t="shared" si="2"/>
        <v>0</v>
      </c>
      <c r="M13" s="282">
        <f t="shared" si="2"/>
        <v>0</v>
      </c>
      <c r="N13" s="90"/>
    </row>
    <row r="14" spans="2:14" x14ac:dyDescent="0.2">
      <c r="B14" s="311">
        <f>B13+1</f>
        <v>5</v>
      </c>
      <c r="C14" s="327" t="s">
        <v>385</v>
      </c>
      <c r="D14" s="334">
        <f>D9*'Mains Costs'!D33</f>
        <v>1798521.0034871686</v>
      </c>
      <c r="E14" s="322"/>
      <c r="F14" s="327" t="s">
        <v>384</v>
      </c>
      <c r="G14" s="298"/>
      <c r="H14" s="298"/>
      <c r="I14" s="298"/>
      <c r="J14" s="298"/>
      <c r="K14" s="298"/>
      <c r="L14" s="298"/>
      <c r="M14" s="298">
        <f>D14</f>
        <v>1798521.0034871686</v>
      </c>
      <c r="N14" s="90"/>
    </row>
    <row r="15" spans="2:14" x14ac:dyDescent="0.2">
      <c r="B15" s="311"/>
      <c r="C15" s="279"/>
      <c r="D15" s="282">
        <f>SUM(D11:D14)</f>
        <v>1367711467.9196513</v>
      </c>
      <c r="E15" s="332" t="s">
        <v>96</v>
      </c>
      <c r="F15" s="282">
        <f>SUM(G15:M15)-D9</f>
        <v>0</v>
      </c>
      <c r="G15" s="282">
        <f>SUM(G11:G14)</f>
        <v>960206647.89385366</v>
      </c>
      <c r="H15" s="282">
        <f t="shared" ref="H15:M15" si="3">SUM(H11:H14)</f>
        <v>341609602.18254876</v>
      </c>
      <c r="I15" s="282">
        <f>SUM(I11:I14)</f>
        <v>54251599.574640386</v>
      </c>
      <c r="J15" s="282">
        <f t="shared" si="3"/>
        <v>7228385.9017995801</v>
      </c>
      <c r="K15" s="282">
        <f t="shared" si="3"/>
        <v>801259.77300939849</v>
      </c>
      <c r="L15" s="282">
        <f t="shared" si="3"/>
        <v>1815451.5903123333</v>
      </c>
      <c r="M15" s="282">
        <f t="shared" si="3"/>
        <v>1798521.0034871686</v>
      </c>
      <c r="N15" s="90"/>
    </row>
    <row r="16" spans="2:14" x14ac:dyDescent="0.2">
      <c r="B16" s="311"/>
      <c r="C16" s="319" t="s">
        <v>88</v>
      </c>
      <c r="D16" s="282"/>
      <c r="F16" s="279"/>
      <c r="G16" s="282"/>
      <c r="H16" s="282"/>
      <c r="I16" s="282"/>
      <c r="J16" s="282"/>
      <c r="K16" s="282"/>
      <c r="L16" s="282"/>
      <c r="M16" s="282"/>
      <c r="N16" s="90"/>
    </row>
    <row r="17" spans="2:15" x14ac:dyDescent="0.2">
      <c r="B17" s="311">
        <f>B14+1</f>
        <v>6</v>
      </c>
      <c r="C17" s="279" t="s">
        <v>277</v>
      </c>
      <c r="D17" s="321">
        <f>D$25*E17</f>
        <v>650593532.08034873</v>
      </c>
      <c r="E17" s="323">
        <f>'System Load Factor'!C9</f>
        <v>0.32234648979234987</v>
      </c>
      <c r="F17" s="279"/>
      <c r="G17" s="279"/>
      <c r="H17" s="279"/>
      <c r="I17" s="279"/>
      <c r="J17" s="279"/>
      <c r="K17" s="279"/>
      <c r="L17" s="279"/>
      <c r="M17" s="279"/>
      <c r="N17" s="279"/>
    </row>
    <row r="18" spans="2:15" x14ac:dyDescent="0.2">
      <c r="B18" s="311"/>
      <c r="C18" s="279"/>
      <c r="D18" s="321"/>
      <c r="E18" s="323"/>
      <c r="F18" s="279"/>
      <c r="G18" s="279"/>
      <c r="H18" s="279"/>
      <c r="I18" s="279"/>
      <c r="J18" s="279"/>
      <c r="K18" s="279"/>
      <c r="L18" s="279"/>
      <c r="M18" s="279"/>
      <c r="N18" s="279"/>
    </row>
    <row r="19" spans="2:15" x14ac:dyDescent="0.2">
      <c r="B19" s="311">
        <f>B17+1</f>
        <v>7</v>
      </c>
      <c r="C19" s="279" t="s">
        <v>278</v>
      </c>
      <c r="D19" s="321">
        <f>$D$17*'Mains Costs'!D32</f>
        <v>363726714.97223073</v>
      </c>
      <c r="E19" s="279"/>
      <c r="F19" s="279" t="s">
        <v>382</v>
      </c>
      <c r="G19" s="282">
        <f t="shared" ref="G19:M19" si="4">$D19*G47</f>
        <v>193271671.72332591</v>
      </c>
      <c r="H19" s="282">
        <f t="shared" si="4"/>
        <v>73153973.900948644</v>
      </c>
      <c r="I19" s="282">
        <f t="shared" si="4"/>
        <v>27121295.578196391</v>
      </c>
      <c r="J19" s="282">
        <f t="shared" si="4"/>
        <v>28540202.182329271</v>
      </c>
      <c r="K19" s="282">
        <f t="shared" si="4"/>
        <v>2867219.2567778733</v>
      </c>
      <c r="L19" s="282">
        <f t="shared" si="4"/>
        <v>38772352.330652609</v>
      </c>
      <c r="M19" s="282">
        <f t="shared" si="4"/>
        <v>0</v>
      </c>
      <c r="N19" s="90"/>
    </row>
    <row r="20" spans="2:15" x14ac:dyDescent="0.2">
      <c r="B20" s="311">
        <f>B19+1</f>
        <v>8</v>
      </c>
      <c r="C20" s="279" t="s">
        <v>279</v>
      </c>
      <c r="D20" s="321">
        <f>$D$17*'Mains Costs'!D31</f>
        <v>181414672.61510229</v>
      </c>
      <c r="E20" s="322"/>
      <c r="F20" s="279" t="s">
        <v>280</v>
      </c>
      <c r="G20" s="282">
        <f t="shared" ref="G20:M20" si="5">$D20*G50</f>
        <v>107899203.95724656</v>
      </c>
      <c r="H20" s="282">
        <f t="shared" si="5"/>
        <v>40840209.430800475</v>
      </c>
      <c r="I20" s="282">
        <f t="shared" si="5"/>
        <v>15141206.039578116</v>
      </c>
      <c r="J20" s="282">
        <f t="shared" si="5"/>
        <v>15933349.511564966</v>
      </c>
      <c r="K20" s="282">
        <f t="shared" si="5"/>
        <v>1600703.6759121835</v>
      </c>
      <c r="L20" s="282">
        <f t="shared" si="5"/>
        <v>0</v>
      </c>
      <c r="M20" s="282">
        <f t="shared" si="5"/>
        <v>0</v>
      </c>
      <c r="N20" s="90"/>
    </row>
    <row r="21" spans="2:15" x14ac:dyDescent="0.2">
      <c r="B21" s="311">
        <f>B20+1</f>
        <v>9</v>
      </c>
      <c r="C21" s="279" t="s">
        <v>281</v>
      </c>
      <c r="D21" s="321">
        <f>$D$17*'Mains Costs'!D30</f>
        <v>104596623.31064294</v>
      </c>
      <c r="E21" s="286"/>
      <c r="F21" s="339" t="s">
        <v>389</v>
      </c>
      <c r="G21" s="333">
        <f t="shared" ref="G21:M21" si="6">$D21*G53</f>
        <v>68866547.070982724</v>
      </c>
      <c r="H21" s="333">
        <f t="shared" si="6"/>
        <v>26066218.303792432</v>
      </c>
      <c r="I21" s="333">
        <f>$D21*I53</f>
        <v>9663857.9358677883</v>
      </c>
      <c r="J21" s="333">
        <f t="shared" si="6"/>
        <v>0</v>
      </c>
      <c r="K21" s="333">
        <f>$D21*K53</f>
        <v>0</v>
      </c>
      <c r="L21" s="333">
        <f t="shared" si="6"/>
        <v>0</v>
      </c>
      <c r="M21" s="333">
        <f t="shared" si="6"/>
        <v>0</v>
      </c>
      <c r="N21" s="90"/>
    </row>
    <row r="22" spans="2:15" x14ac:dyDescent="0.2">
      <c r="B22" s="311">
        <f>B20+1</f>
        <v>9</v>
      </c>
      <c r="C22" s="327" t="s">
        <v>385</v>
      </c>
      <c r="D22" s="331">
        <f>$D$17*'Mains Costs'!D33</f>
        <v>855521.18237276492</v>
      </c>
      <c r="E22" s="286"/>
      <c r="F22" s="335" t="s">
        <v>384</v>
      </c>
      <c r="G22" s="297"/>
      <c r="H22" s="297"/>
      <c r="I22" s="297"/>
      <c r="J22" s="297"/>
      <c r="K22" s="297"/>
      <c r="L22" s="297"/>
      <c r="M22" s="297">
        <f>D22</f>
        <v>855521.18237276492</v>
      </c>
      <c r="N22" s="90"/>
    </row>
    <row r="23" spans="2:15" x14ac:dyDescent="0.2">
      <c r="B23" s="311">
        <f>B21+1</f>
        <v>10</v>
      </c>
      <c r="C23" s="279" t="s">
        <v>381</v>
      </c>
      <c r="D23" s="336">
        <f>SUM(D19:D22)</f>
        <v>650593532.08034873</v>
      </c>
      <c r="E23" s="279"/>
      <c r="F23" s="279"/>
      <c r="G23" s="337">
        <f t="shared" ref="G23:M23" si="7">SUM(G19:G22)</f>
        <v>370037422.7515552</v>
      </c>
      <c r="H23" s="337">
        <f t="shared" si="7"/>
        <v>140060401.63554156</v>
      </c>
      <c r="I23" s="337">
        <f t="shared" si="7"/>
        <v>51926359.553642295</v>
      </c>
      <c r="J23" s="337">
        <f t="shared" si="7"/>
        <v>44473551.693894237</v>
      </c>
      <c r="K23" s="337">
        <f t="shared" si="7"/>
        <v>4467922.932690057</v>
      </c>
      <c r="L23" s="337">
        <f t="shared" si="7"/>
        <v>38772352.330652609</v>
      </c>
      <c r="M23" s="337">
        <f t="shared" si="7"/>
        <v>855521.18237276492</v>
      </c>
      <c r="N23" s="90"/>
      <c r="O23" s="154"/>
    </row>
    <row r="24" spans="2:15" x14ac:dyDescent="0.2">
      <c r="B24" s="311"/>
      <c r="C24" s="279"/>
      <c r="D24" s="279"/>
      <c r="E24" s="279"/>
      <c r="F24" s="279"/>
      <c r="G24" s="282"/>
      <c r="H24" s="282"/>
      <c r="I24" s="282"/>
      <c r="J24" s="282"/>
      <c r="K24" s="282"/>
      <c r="L24" s="282"/>
      <c r="M24" s="282"/>
      <c r="N24" s="90"/>
    </row>
    <row r="25" spans="2:15" x14ac:dyDescent="0.2">
      <c r="B25" s="311">
        <f>B23+1</f>
        <v>11</v>
      </c>
      <c r="C25" s="279" t="s">
        <v>282</v>
      </c>
      <c r="D25" s="320">
        <f>SUM([9]ACCOUNTS!$D$66:$D$67)</f>
        <v>2018305000.0000002</v>
      </c>
      <c r="E25" s="332" t="s">
        <v>96</v>
      </c>
      <c r="F25" s="282">
        <f>SUM(G25:M25)-D25</f>
        <v>0</v>
      </c>
      <c r="G25" s="282">
        <f t="shared" ref="G25:M25" si="8">SUM(G23,G15)</f>
        <v>1330244070.6454089</v>
      </c>
      <c r="H25" s="282">
        <f t="shared" si="8"/>
        <v>481670003.81809032</v>
      </c>
      <c r="I25" s="282">
        <f t="shared" si="8"/>
        <v>106177959.12828268</v>
      </c>
      <c r="J25" s="282">
        <f t="shared" si="8"/>
        <v>51701937.595693819</v>
      </c>
      <c r="K25" s="282">
        <f t="shared" si="8"/>
        <v>5269182.705699455</v>
      </c>
      <c r="L25" s="282">
        <f t="shared" si="8"/>
        <v>40587803.920964941</v>
      </c>
      <c r="M25" s="282">
        <f t="shared" si="8"/>
        <v>2654042.1858599335</v>
      </c>
      <c r="N25" s="90"/>
      <c r="O25" s="90"/>
    </row>
    <row r="26" spans="2:15" x14ac:dyDescent="0.2">
      <c r="B26" s="311">
        <f>B25+1</f>
        <v>12</v>
      </c>
      <c r="C26" s="279" t="s">
        <v>117</v>
      </c>
      <c r="D26" s="314">
        <f>SUM(G26:M26)</f>
        <v>0.99999999999999978</v>
      </c>
      <c r="E26" s="279"/>
      <c r="F26" s="279"/>
      <c r="G26" s="313">
        <f t="shared" ref="G26:M26" si="9">G25/$D25</f>
        <v>0.65908971669069283</v>
      </c>
      <c r="H26" s="313">
        <f t="shared" si="9"/>
        <v>0.2386507509113292</v>
      </c>
      <c r="I26" s="313">
        <f t="shared" si="9"/>
        <v>5.2607489516343003E-2</v>
      </c>
      <c r="J26" s="313">
        <f t="shared" si="9"/>
        <v>2.561651365660483E-2</v>
      </c>
      <c r="K26" s="313">
        <f t="shared" si="9"/>
        <v>2.6106969490237871E-3</v>
      </c>
      <c r="L26" s="313">
        <f t="shared" si="9"/>
        <v>2.0109846589571417E-2</v>
      </c>
      <c r="M26" s="338">
        <f t="shared" si="9"/>
        <v>1.3149856864348715E-3</v>
      </c>
      <c r="N26" s="155"/>
    </row>
    <row r="27" spans="2:15" x14ac:dyDescent="0.2">
      <c r="B27" s="311"/>
      <c r="C27" s="279"/>
      <c r="D27" s="314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</row>
    <row r="28" spans="2:15" x14ac:dyDescent="0.2"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</row>
    <row r="29" spans="2:15" x14ac:dyDescent="0.2">
      <c r="B29" s="311"/>
      <c r="C29" s="319" t="s">
        <v>283</v>
      </c>
      <c r="D29" s="279"/>
      <c r="E29" s="279"/>
      <c r="F29" s="279"/>
      <c r="G29" s="279"/>
      <c r="H29" s="279"/>
      <c r="I29" s="279"/>
      <c r="J29" s="279"/>
      <c r="K29" s="279"/>
      <c r="L29" s="279"/>
      <c r="M29" s="279"/>
    </row>
    <row r="30" spans="2:15" x14ac:dyDescent="0.2">
      <c r="B30" s="311">
        <f>B26+1</f>
        <v>13</v>
      </c>
      <c r="C30" s="279" t="s">
        <v>276</v>
      </c>
      <c r="D30" s="280">
        <f>SUM(G30:M30)</f>
        <v>10131080</v>
      </c>
      <c r="E30" s="279"/>
      <c r="F30" s="279"/>
      <c r="G30" s="318">
        <f>'Demand Allocator'!D7</f>
        <v>7071035.8389525395</v>
      </c>
      <c r="H30" s="318">
        <f>'Demand Allocator'!E7</f>
        <v>2515639.4670474599</v>
      </c>
      <c r="I30" s="318">
        <f>'Demand Allocator'!F7</f>
        <v>399512.96499999997</v>
      </c>
      <c r="J30" s="318">
        <f>'Demand Allocator'!G7</f>
        <v>63532.24</v>
      </c>
      <c r="K30" s="318">
        <f>'Demand Allocator'!H7</f>
        <v>7042.4889999999996</v>
      </c>
      <c r="L30" s="318">
        <f>'Demand Allocator'!I7</f>
        <v>23934</v>
      </c>
      <c r="M30" s="318">
        <f>'Demand Allocator'!J7</f>
        <v>50383</v>
      </c>
      <c r="N30" s="108"/>
    </row>
    <row r="31" spans="2:15" x14ac:dyDescent="0.2">
      <c r="B31" s="311">
        <f>B30+1</f>
        <v>14</v>
      </c>
      <c r="C31" s="279" t="s">
        <v>117</v>
      </c>
      <c r="D31" s="314">
        <f>SUM(G31:M31)</f>
        <v>0.99999999999999989</v>
      </c>
      <c r="E31" s="279"/>
      <c r="F31" s="279"/>
      <c r="G31" s="317">
        <f t="shared" ref="G31:M31" si="10">G30/$D30</f>
        <v>0.69795479247548531</v>
      </c>
      <c r="H31" s="317">
        <f t="shared" si="10"/>
        <v>0.2483091108793396</v>
      </c>
      <c r="I31" s="317">
        <f t="shared" si="10"/>
        <v>3.943439050920533E-2</v>
      </c>
      <c r="J31" s="317">
        <f t="shared" si="10"/>
        <v>6.27102342494581E-3</v>
      </c>
      <c r="K31" s="317">
        <f t="shared" si="10"/>
        <v>6.951370436320708E-4</v>
      </c>
      <c r="L31" s="317">
        <f t="shared" si="10"/>
        <v>2.3624332252829908E-3</v>
      </c>
      <c r="M31" s="317">
        <f t="shared" si="10"/>
        <v>4.9731124421088374E-3</v>
      </c>
      <c r="N31" s="155"/>
    </row>
    <row r="32" spans="2:15" x14ac:dyDescent="0.2">
      <c r="B32" s="311"/>
      <c r="C32" s="279"/>
      <c r="D32" s="314"/>
      <c r="E32" s="279"/>
      <c r="F32" s="279"/>
      <c r="G32" s="317"/>
      <c r="H32" s="317"/>
      <c r="I32" s="317"/>
      <c r="J32" s="317"/>
      <c r="K32" s="317"/>
      <c r="L32" s="317"/>
      <c r="M32" s="317"/>
      <c r="N32" s="155"/>
    </row>
    <row r="33" spans="2:14" x14ac:dyDescent="0.2">
      <c r="B33" s="311">
        <f>B29+1</f>
        <v>1</v>
      </c>
      <c r="C33" s="327" t="s">
        <v>387</v>
      </c>
      <c r="D33" s="280">
        <f>SUM(G33:M33)</f>
        <v>10080697</v>
      </c>
      <c r="E33" s="279"/>
      <c r="F33" s="279"/>
      <c r="G33" s="318">
        <f t="shared" ref="G33:L33" si="11">G30</f>
        <v>7071035.8389525395</v>
      </c>
      <c r="H33" s="318">
        <f t="shared" si="11"/>
        <v>2515639.4670474599</v>
      </c>
      <c r="I33" s="318">
        <f t="shared" si="11"/>
        <v>399512.96499999997</v>
      </c>
      <c r="J33" s="318">
        <f t="shared" si="11"/>
        <v>63532.24</v>
      </c>
      <c r="K33" s="318">
        <f t="shared" si="11"/>
        <v>7042.4889999999996</v>
      </c>
      <c r="L33" s="318">
        <f t="shared" si="11"/>
        <v>23934</v>
      </c>
      <c r="M33" s="318"/>
      <c r="N33" s="108"/>
    </row>
    <row r="34" spans="2:14" x14ac:dyDescent="0.2">
      <c r="B34" s="311">
        <f>B33+1</f>
        <v>2</v>
      </c>
      <c r="C34" s="279" t="s">
        <v>117</v>
      </c>
      <c r="D34" s="314">
        <f>SUM(G34:M34)</f>
        <v>1</v>
      </c>
      <c r="E34" s="279"/>
      <c r="F34" s="279"/>
      <c r="G34" s="317">
        <f t="shared" ref="G34:M34" si="12">G33/$D33</f>
        <v>0.70144314812284703</v>
      </c>
      <c r="H34" s="317">
        <f t="shared" si="12"/>
        <v>0.24955015184440718</v>
      </c>
      <c r="I34" s="317">
        <f t="shared" si="12"/>
        <v>3.963148232706528E-2</v>
      </c>
      <c r="J34" s="317">
        <f t="shared" si="12"/>
        <v>6.3023657987141164E-3</v>
      </c>
      <c r="K34" s="317">
        <f t="shared" si="12"/>
        <v>6.9861131626116723E-4</v>
      </c>
      <c r="L34" s="317">
        <f t="shared" si="12"/>
        <v>2.3742405907051863E-3</v>
      </c>
      <c r="M34" s="317">
        <f t="shared" si="12"/>
        <v>0</v>
      </c>
      <c r="N34" s="155"/>
    </row>
    <row r="35" spans="2:14" x14ac:dyDescent="0.2">
      <c r="B35" s="311"/>
      <c r="C35" s="279"/>
      <c r="D35" s="314"/>
      <c r="E35" s="279"/>
      <c r="F35" s="279"/>
      <c r="G35" s="317"/>
      <c r="H35" s="317"/>
      <c r="I35" s="317"/>
      <c r="J35" s="317"/>
      <c r="K35" s="317"/>
      <c r="L35" s="317"/>
      <c r="M35" s="317"/>
      <c r="N35" s="155"/>
    </row>
    <row r="36" spans="2:14" x14ac:dyDescent="0.2">
      <c r="B36" s="311">
        <f>B32+1</f>
        <v>1</v>
      </c>
      <c r="C36" s="327" t="s">
        <v>386</v>
      </c>
      <c r="D36" s="280">
        <f>SUM(G36:M36)</f>
        <v>10056763</v>
      </c>
      <c r="E36" s="279"/>
      <c r="F36" s="279"/>
      <c r="G36" s="318">
        <f>G30</f>
        <v>7071035.8389525395</v>
      </c>
      <c r="H36" s="318">
        <f>H30</f>
        <v>2515639.4670474599</v>
      </c>
      <c r="I36" s="318">
        <f>I30</f>
        <v>399512.96499999997</v>
      </c>
      <c r="J36" s="318">
        <f>J30</f>
        <v>63532.24</v>
      </c>
      <c r="K36" s="318">
        <f>K30</f>
        <v>7042.4889999999996</v>
      </c>
      <c r="L36" s="318"/>
      <c r="M36" s="318"/>
      <c r="N36" s="108"/>
    </row>
    <row r="37" spans="2:14" x14ac:dyDescent="0.2">
      <c r="B37" s="311">
        <f>B36+1</f>
        <v>2</v>
      </c>
      <c r="C37" s="279" t="s">
        <v>117</v>
      </c>
      <c r="D37" s="314">
        <f>SUM(G37:M37)</f>
        <v>1</v>
      </c>
      <c r="E37" s="279"/>
      <c r="F37" s="279"/>
      <c r="G37" s="317">
        <f t="shared" ref="G37:M37" si="13">G36/$D36</f>
        <v>0.70311250637531575</v>
      </c>
      <c r="H37" s="317">
        <f t="shared" si="13"/>
        <v>0.25014405401096357</v>
      </c>
      <c r="I37" s="317">
        <f t="shared" si="13"/>
        <v>3.9725800936146152E-2</v>
      </c>
      <c r="J37" s="317">
        <f t="shared" si="13"/>
        <v>6.3173647425120785E-3</v>
      </c>
      <c r="K37" s="317">
        <f t="shared" si="13"/>
        <v>7.0027393506240528E-4</v>
      </c>
      <c r="L37" s="317">
        <f t="shared" si="13"/>
        <v>0</v>
      </c>
      <c r="M37" s="317">
        <f t="shared" si="13"/>
        <v>0</v>
      </c>
      <c r="N37" s="155"/>
    </row>
    <row r="38" spans="2:14" x14ac:dyDescent="0.2">
      <c r="B38" s="311"/>
      <c r="C38" s="279"/>
      <c r="D38" s="314"/>
      <c r="E38" s="279"/>
      <c r="F38" s="279"/>
      <c r="G38" s="317"/>
      <c r="H38" s="317"/>
      <c r="I38" s="317"/>
      <c r="J38" s="317"/>
      <c r="K38" s="317"/>
      <c r="L38" s="317"/>
      <c r="M38" s="317"/>
      <c r="N38" s="155"/>
    </row>
    <row r="39" spans="2:14" x14ac:dyDescent="0.2">
      <c r="B39" s="311">
        <f>B35+1</f>
        <v>1</v>
      </c>
      <c r="C39" s="327" t="s">
        <v>405</v>
      </c>
      <c r="D39" s="280">
        <f>SUM(G39:M39)</f>
        <v>9986188.2709999997</v>
      </c>
      <c r="E39" s="279"/>
      <c r="F39" s="279"/>
      <c r="G39" s="318">
        <f>G30</f>
        <v>7071035.8389525395</v>
      </c>
      <c r="H39" s="318">
        <f>H30</f>
        <v>2515639.4670474599</v>
      </c>
      <c r="I39" s="318">
        <f>I30</f>
        <v>399512.96499999997</v>
      </c>
      <c r="J39" s="318"/>
      <c r="K39" s="318"/>
      <c r="L39" s="318"/>
      <c r="M39" s="318"/>
      <c r="N39" s="108"/>
    </row>
    <row r="40" spans="2:14" x14ac:dyDescent="0.2">
      <c r="B40" s="311">
        <f>B39+1</f>
        <v>2</v>
      </c>
      <c r="C40" s="279" t="s">
        <v>117</v>
      </c>
      <c r="D40" s="314">
        <f>SUM(G40:M40)</f>
        <v>1</v>
      </c>
      <c r="E40" s="279"/>
      <c r="F40" s="279"/>
      <c r="G40" s="317">
        <f t="shared" ref="G40:M40" si="14">G39/$D39</f>
        <v>0.70808156696653768</v>
      </c>
      <c r="H40" s="317">
        <f t="shared" si="14"/>
        <v>0.25191188056737368</v>
      </c>
      <c r="I40" s="317">
        <f t="shared" si="14"/>
        <v>4.0006552466088585E-2</v>
      </c>
      <c r="J40" s="317">
        <f t="shared" si="14"/>
        <v>0</v>
      </c>
      <c r="K40" s="317">
        <f t="shared" si="14"/>
        <v>0</v>
      </c>
      <c r="L40" s="317">
        <f t="shared" si="14"/>
        <v>0</v>
      </c>
      <c r="M40" s="317">
        <f t="shared" si="14"/>
        <v>0</v>
      </c>
      <c r="N40" s="155"/>
    </row>
    <row r="41" spans="2:14" x14ac:dyDescent="0.2">
      <c r="B41" s="311"/>
      <c r="C41" s="279"/>
      <c r="D41" s="314"/>
      <c r="E41" s="279"/>
      <c r="F41" s="279"/>
      <c r="G41" s="317"/>
      <c r="H41" s="317"/>
      <c r="I41" s="317"/>
      <c r="J41" s="317"/>
      <c r="K41" s="317"/>
      <c r="L41" s="317"/>
      <c r="M41" s="317"/>
      <c r="N41" s="155"/>
    </row>
    <row r="42" spans="2:14" x14ac:dyDescent="0.2">
      <c r="B42" s="279"/>
      <c r="C42" s="279"/>
      <c r="D42" s="279"/>
      <c r="E42" s="279"/>
      <c r="F42" s="279"/>
      <c r="G42" s="295"/>
      <c r="H42" s="295"/>
      <c r="I42" s="295"/>
      <c r="J42" s="295"/>
      <c r="K42" s="295"/>
      <c r="L42" s="295"/>
      <c r="M42" s="295"/>
    </row>
    <row r="43" spans="2:14" x14ac:dyDescent="0.2">
      <c r="B43" s="311">
        <f>B31+1</f>
        <v>15</v>
      </c>
      <c r="C43" s="279" t="s">
        <v>284</v>
      </c>
      <c r="D43" s="280">
        <f>SUM(G43:M43)</f>
        <v>1191987097.6690001</v>
      </c>
      <c r="E43" s="279"/>
      <c r="F43" s="279"/>
      <c r="G43" s="318">
        <f>'Demand Allocator'!D13</f>
        <v>613671517.73199999</v>
      </c>
      <c r="H43" s="318">
        <f>'Demand Allocator'!E13</f>
        <v>232276721.11300004</v>
      </c>
      <c r="I43" s="318">
        <f>'Demand Allocator'!F13</f>
        <v>86114878.978000015</v>
      </c>
      <c r="J43" s="318">
        <f>'Demand Allocator'!G13</f>
        <v>90620156.764000013</v>
      </c>
      <c r="K43" s="318">
        <f>'Demand Allocator'!H13</f>
        <v>9103924.943</v>
      </c>
      <c r="L43" s="318">
        <f>'Demand Allocator'!I13</f>
        <v>123109031.389</v>
      </c>
      <c r="M43" s="318">
        <f>'Demand Allocator'!J13</f>
        <v>37090866.75</v>
      </c>
      <c r="N43" s="108"/>
    </row>
    <row r="44" spans="2:14" x14ac:dyDescent="0.2">
      <c r="B44" s="311">
        <f>B43+1</f>
        <v>16</v>
      </c>
      <c r="C44" s="279" t="s">
        <v>117</v>
      </c>
      <c r="D44" s="314">
        <f>SUM(G44:M44)</f>
        <v>1</v>
      </c>
      <c r="E44" s="279"/>
      <c r="F44" s="279"/>
      <c r="G44" s="317">
        <f>G43/$D43</f>
        <v>0.51483067134876725</v>
      </c>
      <c r="H44" s="317">
        <f t="shared" ref="H44:M44" si="15">H43/$D$43</f>
        <v>0.19486513030823122</v>
      </c>
      <c r="I44" s="317">
        <f t="shared" si="15"/>
        <v>7.2244807973511335E-2</v>
      </c>
      <c r="J44" s="317">
        <f t="shared" si="15"/>
        <v>7.6024444342739098E-2</v>
      </c>
      <c r="K44" s="317">
        <f t="shared" si="15"/>
        <v>7.6376035955449959E-3</v>
      </c>
      <c r="L44" s="317">
        <f t="shared" si="15"/>
        <v>0.10328050666802253</v>
      </c>
      <c r="M44" s="317">
        <f t="shared" si="15"/>
        <v>3.111683576318346E-2</v>
      </c>
      <c r="N44" s="155"/>
    </row>
    <row r="45" spans="2:14" x14ac:dyDescent="0.2">
      <c r="B45" s="311"/>
      <c r="C45" s="279"/>
      <c r="D45" s="314"/>
      <c r="E45" s="279"/>
      <c r="F45" s="279"/>
      <c r="G45" s="313"/>
      <c r="H45" s="313"/>
      <c r="I45" s="313"/>
      <c r="J45" s="313"/>
      <c r="K45" s="313"/>
      <c r="L45" s="313"/>
      <c r="M45" s="313"/>
      <c r="N45" s="155"/>
    </row>
    <row r="46" spans="2:14" x14ac:dyDescent="0.2">
      <c r="B46" s="311">
        <f>B31+1</f>
        <v>15</v>
      </c>
      <c r="C46" s="327" t="s">
        <v>382</v>
      </c>
      <c r="D46" s="280">
        <f>SUM(G46:M46)</f>
        <v>1154896230.9190001</v>
      </c>
      <c r="E46" s="279"/>
      <c r="F46" s="279"/>
      <c r="G46" s="316">
        <f t="shared" ref="G46:L46" si="16">G43</f>
        <v>613671517.73199999</v>
      </c>
      <c r="H46" s="316">
        <f t="shared" si="16"/>
        <v>232276721.11300004</v>
      </c>
      <c r="I46" s="316">
        <f t="shared" si="16"/>
        <v>86114878.978000015</v>
      </c>
      <c r="J46" s="316">
        <f t="shared" si="16"/>
        <v>90620156.764000013</v>
      </c>
      <c r="K46" s="316">
        <f t="shared" si="16"/>
        <v>9103924.943</v>
      </c>
      <c r="L46" s="316">
        <f t="shared" si="16"/>
        <v>123109031.389</v>
      </c>
      <c r="M46" s="156">
        <v>0</v>
      </c>
      <c r="N46" s="155"/>
    </row>
    <row r="47" spans="2:14" x14ac:dyDescent="0.2">
      <c r="B47" s="311">
        <f>B46+1</f>
        <v>16</v>
      </c>
      <c r="C47" s="279" t="s">
        <v>117</v>
      </c>
      <c r="D47" s="314">
        <f>SUM(G47:M47)</f>
        <v>0.99999999999999989</v>
      </c>
      <c r="E47" s="279"/>
      <c r="F47" s="279"/>
      <c r="G47" s="313">
        <f t="shared" ref="G47:M47" si="17">G46/$D46</f>
        <v>0.53136507099315355</v>
      </c>
      <c r="H47" s="313">
        <f t="shared" si="17"/>
        <v>0.20112345585210503</v>
      </c>
      <c r="I47" s="313">
        <f t="shared" si="17"/>
        <v>7.456503595087044E-2</v>
      </c>
      <c r="J47" s="313">
        <f t="shared" si="17"/>
        <v>7.8466059839756935E-2</v>
      </c>
      <c r="K47" s="313">
        <f t="shared" si="17"/>
        <v>7.8828943235494144E-3</v>
      </c>
      <c r="L47" s="313">
        <f t="shared" si="17"/>
        <v>0.10659748304056452</v>
      </c>
      <c r="M47" s="313">
        <f t="shared" si="17"/>
        <v>0</v>
      </c>
      <c r="N47" s="155"/>
    </row>
    <row r="48" spans="2:14" x14ac:dyDescent="0.2">
      <c r="B48" s="311"/>
      <c r="C48" s="279"/>
      <c r="D48" s="314"/>
      <c r="E48" s="279"/>
      <c r="F48" s="279"/>
      <c r="G48" s="313"/>
      <c r="H48" s="313"/>
      <c r="I48" s="313"/>
      <c r="J48" s="313"/>
      <c r="K48" s="313"/>
      <c r="L48" s="313"/>
      <c r="M48" s="313"/>
      <c r="N48" s="155"/>
    </row>
    <row r="49" spans="2:14" x14ac:dyDescent="0.2">
      <c r="B49" s="311">
        <f>B44+1</f>
        <v>17</v>
      </c>
      <c r="C49" s="279" t="s">
        <v>280</v>
      </c>
      <c r="D49" s="280">
        <f>SUM(G49:M49)</f>
        <v>1031787199.5300001</v>
      </c>
      <c r="E49" s="279"/>
      <c r="F49" s="279"/>
      <c r="G49" s="316">
        <f>G43</f>
        <v>613671517.73199999</v>
      </c>
      <c r="H49" s="316">
        <f>H43</f>
        <v>232276721.11300004</v>
      </c>
      <c r="I49" s="316">
        <f>I43</f>
        <v>86114878.978000015</v>
      </c>
      <c r="J49" s="316">
        <f>J43</f>
        <v>90620156.764000013</v>
      </c>
      <c r="K49" s="316">
        <f>K43</f>
        <v>9103924.943</v>
      </c>
      <c r="L49" s="157">
        <v>0</v>
      </c>
      <c r="M49" s="156">
        <v>0</v>
      </c>
      <c r="N49" s="155"/>
    </row>
    <row r="50" spans="2:14" x14ac:dyDescent="0.2">
      <c r="B50" s="311">
        <f>B49+1</f>
        <v>18</v>
      </c>
      <c r="C50" s="279" t="s">
        <v>117</v>
      </c>
      <c r="D50" s="314">
        <f>SUM(G50:M50)</f>
        <v>1</v>
      </c>
      <c r="E50" s="279"/>
      <c r="F50" s="279"/>
      <c r="G50" s="313">
        <f t="shared" ref="G50:M50" si="18">G49/$D49</f>
        <v>0.59476558539545732</v>
      </c>
      <c r="H50" s="313">
        <f t="shared" si="18"/>
        <v>0.22512076251654098</v>
      </c>
      <c r="I50" s="313">
        <f t="shared" si="18"/>
        <v>8.3461860175457772E-2</v>
      </c>
      <c r="J50" s="313">
        <f t="shared" si="18"/>
        <v>8.7828339802315178E-2</v>
      </c>
      <c r="K50" s="313">
        <f t="shared" si="18"/>
        <v>8.8234521102287574E-3</v>
      </c>
      <c r="L50" s="313">
        <f t="shared" si="18"/>
        <v>0</v>
      </c>
      <c r="M50" s="313">
        <f t="shared" si="18"/>
        <v>0</v>
      </c>
      <c r="N50" s="155"/>
    </row>
    <row r="51" spans="2:14" x14ac:dyDescent="0.2">
      <c r="B51" s="311"/>
      <c r="C51" s="279"/>
      <c r="D51" s="314"/>
      <c r="E51" s="279"/>
      <c r="F51" s="279"/>
      <c r="G51" s="313"/>
      <c r="H51" s="313"/>
      <c r="I51" s="313"/>
      <c r="J51" s="313"/>
      <c r="K51" s="313"/>
      <c r="L51" s="313"/>
      <c r="M51" s="313"/>
      <c r="N51" s="155"/>
    </row>
    <row r="52" spans="2:14" x14ac:dyDescent="0.2">
      <c r="B52" s="311">
        <f>B50+1</f>
        <v>19</v>
      </c>
      <c r="C52" s="339" t="s">
        <v>389</v>
      </c>
      <c r="D52" s="280">
        <f>SUM(G52:M52)</f>
        <v>932063117.82300007</v>
      </c>
      <c r="E52" s="279"/>
      <c r="F52" s="279"/>
      <c r="G52" s="316">
        <f>G43</f>
        <v>613671517.73199999</v>
      </c>
      <c r="H52" s="316">
        <f>H43</f>
        <v>232276721.11300004</v>
      </c>
      <c r="I52" s="316">
        <f>I43</f>
        <v>86114878.978000015</v>
      </c>
      <c r="J52" s="315">
        <v>0</v>
      </c>
      <c r="K52" s="316">
        <v>0</v>
      </c>
      <c r="L52" s="315">
        <v>0</v>
      </c>
      <c r="M52" s="315">
        <v>0</v>
      </c>
      <c r="N52" s="108"/>
    </row>
    <row r="53" spans="2:14" x14ac:dyDescent="0.2">
      <c r="B53" s="311">
        <f>B52+1</f>
        <v>20</v>
      </c>
      <c r="C53" s="279" t="s">
        <v>117</v>
      </c>
      <c r="D53" s="314">
        <f>SUM(G53:M53)</f>
        <v>1</v>
      </c>
      <c r="E53" s="279"/>
      <c r="F53" s="279"/>
      <c r="G53" s="313">
        <f t="shared" ref="G53:M53" si="19">G52/$D52</f>
        <v>0.65840124557802426</v>
      </c>
      <c r="H53" s="313">
        <f t="shared" si="19"/>
        <v>0.24920707264495542</v>
      </c>
      <c r="I53" s="313">
        <f t="shared" si="19"/>
        <v>9.2391681777020312E-2</v>
      </c>
      <c r="J53" s="313">
        <f t="shared" si="19"/>
        <v>0</v>
      </c>
      <c r="K53" s="313">
        <f t="shared" si="19"/>
        <v>0</v>
      </c>
      <c r="L53" s="313">
        <f t="shared" si="19"/>
        <v>0</v>
      </c>
      <c r="M53" s="313">
        <f t="shared" si="19"/>
        <v>0</v>
      </c>
      <c r="N53" s="155"/>
    </row>
    <row r="54" spans="2:14" x14ac:dyDescent="0.2">
      <c r="B54" s="279"/>
      <c r="C54" s="279"/>
      <c r="D54" s="307"/>
      <c r="E54" s="279"/>
      <c r="F54" s="279"/>
      <c r="G54" s="279"/>
      <c r="H54" s="279"/>
      <c r="I54" s="307"/>
      <c r="J54" s="279"/>
      <c r="K54" s="279"/>
      <c r="L54" s="279"/>
      <c r="M54" s="279"/>
    </row>
    <row r="55" spans="2:14" x14ac:dyDescent="0.2">
      <c r="B55" s="311">
        <f>B53+1</f>
        <v>21</v>
      </c>
      <c r="C55" s="295" t="s">
        <v>285</v>
      </c>
      <c r="D55" s="307"/>
      <c r="E55" s="279"/>
      <c r="F55" s="279"/>
      <c r="G55" s="279"/>
      <c r="H55" s="312"/>
      <c r="I55" s="307"/>
      <c r="J55" s="282">
        <f>SUM(J25,L25:M25)</f>
        <v>94943783.702518687</v>
      </c>
      <c r="K55" s="279"/>
      <c r="L55" s="279"/>
      <c r="M55" s="279"/>
    </row>
    <row r="56" spans="2:14" x14ac:dyDescent="0.2">
      <c r="B56" s="311">
        <f>B55+1</f>
        <v>22</v>
      </c>
      <c r="C56" s="295" t="s">
        <v>286</v>
      </c>
      <c r="D56" s="307"/>
      <c r="E56" s="279"/>
      <c r="F56" s="279"/>
      <c r="G56" s="279"/>
      <c r="H56" s="279"/>
      <c r="I56" s="280"/>
      <c r="J56" s="310">
        <f>J55/D25</f>
        <v>4.7041345932611112E-2</v>
      </c>
      <c r="K56" s="279"/>
      <c r="L56" s="279"/>
      <c r="M56" s="279"/>
    </row>
    <row r="57" spans="2:14" x14ac:dyDescent="0.2">
      <c r="B57" s="279"/>
      <c r="C57" s="279"/>
      <c r="D57" s="307"/>
      <c r="E57" s="279"/>
      <c r="F57" s="279"/>
      <c r="G57" s="279"/>
      <c r="H57" s="279"/>
      <c r="I57" s="279"/>
      <c r="J57" s="279"/>
      <c r="K57" s="279"/>
      <c r="L57" s="279"/>
      <c r="M57" s="279"/>
    </row>
    <row r="58" spans="2:14" x14ac:dyDescent="0.2">
      <c r="B58" s="279"/>
      <c r="C58" s="279"/>
      <c r="D58" s="307"/>
      <c r="E58" s="279"/>
      <c r="F58" s="279"/>
      <c r="G58" s="279"/>
      <c r="H58" s="279"/>
      <c r="I58" s="279"/>
      <c r="J58" s="279"/>
      <c r="K58" s="279"/>
      <c r="L58" s="279"/>
      <c r="M58" s="279"/>
    </row>
    <row r="59" spans="2:14" x14ac:dyDescent="0.2">
      <c r="B59" s="279"/>
      <c r="C59" s="286"/>
      <c r="D59" s="308"/>
      <c r="E59" s="286"/>
      <c r="F59" s="286"/>
      <c r="G59" s="286"/>
      <c r="H59" s="286"/>
      <c r="I59" s="286"/>
      <c r="J59" s="286"/>
      <c r="K59" s="286"/>
      <c r="L59" s="286"/>
      <c r="M59" s="279"/>
    </row>
    <row r="60" spans="2:14" x14ac:dyDescent="0.2">
      <c r="B60" s="279"/>
      <c r="C60" s="286" t="s">
        <v>96</v>
      </c>
      <c r="D60" s="309">
        <f>D25-SUM(D9,D17)</f>
        <v>0</v>
      </c>
      <c r="E60" s="286"/>
      <c r="F60" s="286"/>
      <c r="G60" s="286"/>
      <c r="H60" s="286"/>
      <c r="I60" s="286"/>
      <c r="J60" s="286"/>
      <c r="K60" s="286"/>
      <c r="L60" s="286"/>
      <c r="M60" s="279"/>
    </row>
    <row r="61" spans="2:14" x14ac:dyDescent="0.2">
      <c r="C61" s="92"/>
      <c r="D61" s="92"/>
      <c r="E61" s="92"/>
      <c r="F61" s="92"/>
      <c r="G61" s="92"/>
      <c r="H61" s="159"/>
      <c r="I61" s="92"/>
      <c r="J61" s="92"/>
      <c r="K61" s="92"/>
      <c r="L61" s="92"/>
    </row>
    <row r="62" spans="2:14" x14ac:dyDescent="0.2">
      <c r="C62" s="92"/>
      <c r="D62" s="92"/>
      <c r="E62" s="158"/>
      <c r="F62" s="92"/>
      <c r="G62" s="92"/>
      <c r="H62" s="88"/>
      <c r="I62" s="92"/>
      <c r="J62" s="92"/>
      <c r="K62" s="158"/>
      <c r="L62" s="92"/>
    </row>
    <row r="63" spans="2:14" x14ac:dyDescent="0.2">
      <c r="C63" s="92"/>
      <c r="D63" s="92"/>
      <c r="E63" s="158"/>
      <c r="F63" s="92"/>
      <c r="G63" s="92"/>
      <c r="H63" s="96"/>
      <c r="I63" s="92"/>
      <c r="J63" s="92"/>
      <c r="K63" s="158"/>
      <c r="L63" s="92"/>
    </row>
    <row r="64" spans="2:14" x14ac:dyDescent="0.2">
      <c r="C64" s="92"/>
      <c r="D64" s="92"/>
      <c r="E64" s="158"/>
      <c r="F64" s="92"/>
      <c r="G64" s="92"/>
      <c r="H64" s="88"/>
      <c r="I64" s="160"/>
      <c r="J64" s="92"/>
      <c r="K64" s="158"/>
      <c r="L64" s="92"/>
    </row>
    <row r="65" spans="3:12" x14ac:dyDescent="0.2">
      <c r="C65" s="92"/>
      <c r="D65" s="92"/>
      <c r="E65" s="158"/>
      <c r="F65" s="92"/>
      <c r="G65" s="92"/>
      <c r="H65" s="88"/>
      <c r="I65" s="160"/>
      <c r="J65" s="92"/>
      <c r="K65" s="158"/>
      <c r="L65" s="161"/>
    </row>
    <row r="66" spans="3:12" x14ac:dyDescent="0.2">
      <c r="C66" s="92"/>
      <c r="D66" s="92"/>
      <c r="E66" s="158"/>
      <c r="F66" s="92"/>
      <c r="G66" s="92"/>
      <c r="H66" s="88"/>
      <c r="I66" s="158"/>
      <c r="J66" s="92"/>
      <c r="K66" s="158"/>
      <c r="L66" s="92"/>
    </row>
    <row r="67" spans="3:12" x14ac:dyDescent="0.2">
      <c r="C67" s="92"/>
      <c r="D67" s="92"/>
      <c r="E67" s="158"/>
      <c r="F67" s="92"/>
      <c r="G67" s="92"/>
      <c r="H67" s="88"/>
      <c r="I67" s="160"/>
      <c r="J67" s="92"/>
      <c r="K67" s="158"/>
      <c r="L67" s="92"/>
    </row>
    <row r="68" spans="3:12" x14ac:dyDescent="0.2">
      <c r="C68" s="92"/>
      <c r="D68" s="92"/>
      <c r="E68" s="158"/>
      <c r="F68" s="92"/>
      <c r="G68" s="92"/>
      <c r="H68" s="88"/>
      <c r="I68" s="92"/>
      <c r="J68" s="92"/>
      <c r="K68" s="158"/>
      <c r="L68" s="161"/>
    </row>
    <row r="69" spans="3:12" x14ac:dyDescent="0.2">
      <c r="C69" s="92"/>
      <c r="D69" s="92"/>
      <c r="E69" s="158"/>
      <c r="F69" s="92"/>
      <c r="G69" s="92"/>
      <c r="H69" s="88"/>
      <c r="I69" s="92"/>
      <c r="J69" s="92"/>
      <c r="K69" s="158"/>
      <c r="L69" s="92"/>
    </row>
    <row r="70" spans="3:12" x14ac:dyDescent="0.2">
      <c r="C70" s="92"/>
      <c r="D70" s="92"/>
      <c r="E70" s="92"/>
      <c r="F70" s="92"/>
      <c r="G70" s="92"/>
      <c r="H70" s="88"/>
      <c r="I70" s="92"/>
      <c r="J70" s="92"/>
      <c r="K70" s="158"/>
      <c r="L70" s="92"/>
    </row>
    <row r="71" spans="3:12" x14ac:dyDescent="0.2">
      <c r="C71" s="92"/>
      <c r="D71" s="92"/>
      <c r="E71" s="92"/>
      <c r="F71" s="92"/>
      <c r="G71" s="92"/>
      <c r="H71" s="88"/>
      <c r="I71" s="92"/>
      <c r="J71" s="92"/>
      <c r="K71" s="158"/>
      <c r="L71" s="161"/>
    </row>
    <row r="72" spans="3:12" x14ac:dyDescent="0.2">
      <c r="C72" s="92"/>
      <c r="D72" s="92"/>
      <c r="E72" s="92"/>
      <c r="F72" s="92"/>
      <c r="G72" s="92"/>
      <c r="H72" s="88"/>
      <c r="I72" s="92"/>
      <c r="J72" s="92"/>
      <c r="K72" s="158"/>
      <c r="L72" s="92"/>
    </row>
    <row r="73" spans="3:12" x14ac:dyDescent="0.2">
      <c r="C73" s="92"/>
      <c r="D73" s="92"/>
      <c r="E73" s="92"/>
      <c r="F73" s="92"/>
      <c r="G73" s="92"/>
      <c r="H73" s="88"/>
      <c r="I73" s="92"/>
      <c r="J73" s="92"/>
      <c r="K73" s="158"/>
      <c r="L73" s="92"/>
    </row>
    <row r="74" spans="3:12" x14ac:dyDescent="0.2">
      <c r="C74" s="162"/>
      <c r="D74" s="158"/>
      <c r="E74" s="92"/>
      <c r="F74" s="92"/>
      <c r="G74" s="92"/>
      <c r="H74" s="88"/>
      <c r="I74" s="92"/>
      <c r="J74" s="92"/>
      <c r="K74" s="158"/>
      <c r="L74" s="92"/>
    </row>
    <row r="75" spans="3:12" x14ac:dyDescent="0.2">
      <c r="C75" s="162"/>
      <c r="D75" s="158"/>
      <c r="E75" s="92"/>
      <c r="F75" s="92"/>
      <c r="G75" s="92"/>
      <c r="H75" s="92"/>
      <c r="I75" s="92"/>
      <c r="J75" s="92"/>
      <c r="K75" s="92"/>
      <c r="L75" s="92"/>
    </row>
    <row r="76" spans="3:12" x14ac:dyDescent="0.2">
      <c r="C76" s="162"/>
      <c r="D76" s="158"/>
      <c r="E76" s="92"/>
      <c r="F76" s="92"/>
      <c r="G76" s="92"/>
      <c r="H76" s="92"/>
      <c r="I76" s="92"/>
      <c r="J76" s="92"/>
      <c r="K76" s="92"/>
      <c r="L76" s="92"/>
    </row>
    <row r="77" spans="3:12" x14ac:dyDescent="0.2">
      <c r="C77" s="158"/>
      <c r="D77" s="158"/>
      <c r="E77" s="92"/>
      <c r="F77" s="92"/>
      <c r="G77" s="92"/>
      <c r="H77" s="92"/>
      <c r="I77" s="92"/>
      <c r="J77" s="92"/>
      <c r="K77" s="92"/>
      <c r="L77" s="92"/>
    </row>
    <row r="78" spans="3:12" x14ac:dyDescent="0.2">
      <c r="C78" s="158"/>
      <c r="D78" s="158"/>
      <c r="E78" s="92"/>
      <c r="F78" s="92"/>
      <c r="G78" s="92"/>
      <c r="H78" s="92"/>
      <c r="I78" s="92"/>
      <c r="J78" s="92"/>
      <c r="K78" s="92"/>
      <c r="L78" s="92"/>
    </row>
    <row r="79" spans="3:12" x14ac:dyDescent="0.2">
      <c r="C79" s="92"/>
      <c r="D79" s="92"/>
      <c r="E79" s="92"/>
      <c r="F79" s="92"/>
      <c r="G79" s="92"/>
      <c r="H79" s="92"/>
      <c r="I79" s="92"/>
      <c r="J79" s="92"/>
      <c r="K79" s="92"/>
      <c r="L79" s="92"/>
    </row>
    <row r="82" spans="4:4" x14ac:dyDescent="0.2">
      <c r="D82" s="56"/>
    </row>
    <row r="83" spans="4:4" x14ac:dyDescent="0.2">
      <c r="D83" s="56"/>
    </row>
  </sheetData>
  <pageMargins left="0.7" right="0.7" top="0.75" bottom="0.75" header="0.3" footer="0.3"/>
  <pageSetup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6"/>
  <sheetViews>
    <sheetView zoomScaleNormal="100" workbookViewId="0">
      <pane xSplit="6" ySplit="6" topLeftCell="G7" activePane="bottomRight" state="frozen"/>
      <selection activeCell="I38" sqref="I38"/>
      <selection pane="topRight" activeCell="I38" sqref="I38"/>
      <selection pane="bottomLeft" activeCell="I38" sqref="I38"/>
      <selection pane="bottomRight" activeCell="H37" sqref="H37"/>
    </sheetView>
  </sheetViews>
  <sheetFormatPr defaultRowHeight="12.75" x14ac:dyDescent="0.2"/>
  <cols>
    <col min="1" max="1" width="4.140625" style="279" customWidth="1"/>
    <col min="2" max="2" width="6.140625" style="279" customWidth="1"/>
    <col min="3" max="3" width="29.85546875" style="279" customWidth="1"/>
    <col min="4" max="4" width="17.7109375" style="279" bestFit="1" customWidth="1"/>
    <col min="5" max="5" width="7.42578125" style="279" bestFit="1" customWidth="1"/>
    <col min="6" max="6" width="21.7109375" style="279" bestFit="1" customWidth="1"/>
    <col min="7" max="9" width="15.140625" style="279" bestFit="1" customWidth="1"/>
    <col min="10" max="10" width="13.42578125" style="279" bestFit="1" customWidth="1"/>
    <col min="11" max="11" width="12.42578125" style="279" customWidth="1"/>
    <col min="12" max="12" width="13" style="279" customWidth="1"/>
    <col min="13" max="13" width="12.140625" style="279" customWidth="1"/>
    <col min="14" max="14" width="13.42578125" style="279" bestFit="1" customWidth="1"/>
    <col min="15" max="15" width="12.42578125" style="279" bestFit="1" customWidth="1"/>
    <col min="16" max="16" width="15" style="279" bestFit="1" customWidth="1"/>
    <col min="17" max="16384" width="9.140625" style="279"/>
  </cols>
  <sheetData>
    <row r="1" spans="2:15" x14ac:dyDescent="0.2">
      <c r="B1" s="305" t="s">
        <v>108</v>
      </c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71"/>
    </row>
    <row r="2" spans="2:15" x14ac:dyDescent="0.2">
      <c r="B2" s="401" t="s">
        <v>294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71"/>
    </row>
    <row r="3" spans="2:15" x14ac:dyDescent="0.2">
      <c r="B3" s="372" t="s">
        <v>270</v>
      </c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71"/>
    </row>
    <row r="4" spans="2:15" x14ac:dyDescent="0.2">
      <c r="N4" s="371"/>
    </row>
    <row r="6" spans="2:15" ht="38.25" x14ac:dyDescent="0.2">
      <c r="B6" s="325" t="s">
        <v>132</v>
      </c>
      <c r="C6" s="325" t="s">
        <v>271</v>
      </c>
      <c r="D6" s="325" t="s">
        <v>116</v>
      </c>
      <c r="E6" s="325" t="s">
        <v>117</v>
      </c>
      <c r="F6" s="325" t="s">
        <v>272</v>
      </c>
      <c r="G6" s="325" t="s">
        <v>89</v>
      </c>
      <c r="H6" s="325" t="s">
        <v>90</v>
      </c>
      <c r="I6" s="325" t="s">
        <v>175</v>
      </c>
      <c r="J6" s="325" t="s">
        <v>92</v>
      </c>
      <c r="K6" s="325" t="s">
        <v>93</v>
      </c>
      <c r="L6" s="325" t="s">
        <v>94</v>
      </c>
      <c r="M6" s="325" t="s">
        <v>273</v>
      </c>
      <c r="N6" s="373"/>
      <c r="O6" s="374" t="s">
        <v>96</v>
      </c>
    </row>
    <row r="8" spans="2:15" x14ac:dyDescent="0.2">
      <c r="B8" s="311"/>
      <c r="C8" s="319" t="s">
        <v>274</v>
      </c>
      <c r="E8" s="375">
        <f>1-E12</f>
        <v>0.67765351020765019</v>
      </c>
    </row>
    <row r="9" spans="2:15" x14ac:dyDescent="0.2">
      <c r="B9" s="311">
        <v>1</v>
      </c>
      <c r="C9" s="279" t="s">
        <v>275</v>
      </c>
      <c r="D9" s="376">
        <f>D$21*E8</f>
        <v>1367711467.9196515</v>
      </c>
      <c r="E9" s="322"/>
      <c r="F9" s="279" t="s">
        <v>276</v>
      </c>
      <c r="G9" s="282">
        <f>$D9*G27</f>
        <v>954600773.75820172</v>
      </c>
      <c r="H9" s="282">
        <f t="shared" ref="H9:M9" si="0">$D9*H27</f>
        <v>339615218.53860509</v>
      </c>
      <c r="I9" s="282">
        <f t="shared" si="0"/>
        <v>53934868.129861996</v>
      </c>
      <c r="J9" s="282">
        <f t="shared" si="0"/>
        <v>8576950.6538911536</v>
      </c>
      <c r="K9" s="282">
        <f t="shared" si="0"/>
        <v>950746.90635134641</v>
      </c>
      <c r="L9" s="282">
        <f t="shared" si="0"/>
        <v>3231127.0144139561</v>
      </c>
      <c r="M9" s="282">
        <f t="shared" si="0"/>
        <v>6801782.9183261609</v>
      </c>
      <c r="N9" s="282"/>
      <c r="O9" s="377">
        <f>SUM(G9:M9)-D9</f>
        <v>0</v>
      </c>
    </row>
    <row r="10" spans="2:15" x14ac:dyDescent="0.2">
      <c r="D10" s="282"/>
      <c r="E10" s="322"/>
      <c r="G10" s="282"/>
      <c r="H10" s="282"/>
      <c r="I10" s="282"/>
      <c r="J10" s="282"/>
      <c r="K10" s="282"/>
      <c r="L10" s="282"/>
      <c r="M10" s="282"/>
      <c r="N10" s="282"/>
    </row>
    <row r="11" spans="2:15" x14ac:dyDescent="0.2">
      <c r="D11" s="282"/>
      <c r="E11" s="378"/>
      <c r="G11" s="282"/>
      <c r="H11" s="282"/>
      <c r="I11" s="282"/>
      <c r="J11" s="282"/>
      <c r="K11" s="282"/>
      <c r="L11" s="282"/>
      <c r="M11" s="282"/>
      <c r="N11" s="282"/>
      <c r="O11" s="280"/>
    </row>
    <row r="12" spans="2:15" x14ac:dyDescent="0.2">
      <c r="B12" s="311"/>
      <c r="C12" s="319" t="s">
        <v>88</v>
      </c>
      <c r="D12" s="282"/>
      <c r="E12" s="323">
        <f>'Mains Allocator'!E17</f>
        <v>0.32234648979234987</v>
      </c>
      <c r="G12" s="282"/>
      <c r="H12" s="282"/>
      <c r="I12" s="282"/>
      <c r="J12" s="282"/>
      <c r="K12" s="282"/>
      <c r="L12" s="282"/>
      <c r="M12" s="282"/>
      <c r="N12" s="282"/>
      <c r="O12" s="280"/>
    </row>
    <row r="13" spans="2:15" x14ac:dyDescent="0.2">
      <c r="B13" s="311">
        <f>B9+1</f>
        <v>2</v>
      </c>
      <c r="C13" s="279" t="s">
        <v>277</v>
      </c>
      <c r="D13" s="376">
        <f>D$21*E12</f>
        <v>650593532.08034873</v>
      </c>
      <c r="G13" s="282"/>
      <c r="H13" s="282"/>
      <c r="I13" s="282"/>
      <c r="J13" s="282"/>
      <c r="K13" s="282"/>
      <c r="L13" s="282"/>
      <c r="M13" s="282"/>
      <c r="N13" s="282"/>
      <c r="O13" s="280"/>
    </row>
    <row r="14" spans="2:15" x14ac:dyDescent="0.2">
      <c r="D14" s="282"/>
      <c r="G14" s="282"/>
      <c r="H14" s="282"/>
      <c r="I14" s="282"/>
      <c r="J14" s="282"/>
      <c r="K14" s="282"/>
      <c r="L14" s="282"/>
      <c r="M14" s="282"/>
      <c r="N14" s="282"/>
      <c r="O14" s="280"/>
    </row>
    <row r="15" spans="2:15" x14ac:dyDescent="0.2">
      <c r="B15" s="311">
        <f>B13+1</f>
        <v>3</v>
      </c>
      <c r="C15" s="279" t="s">
        <v>278</v>
      </c>
      <c r="D15" s="376">
        <f>'Mains Allocator'!D19+'Mains Allocator'!D22</f>
        <v>364582236.15460348</v>
      </c>
      <c r="F15" s="279" t="s">
        <v>413</v>
      </c>
      <c r="G15" s="282">
        <f>$D15*G30</f>
        <v>187698117.40130931</v>
      </c>
      <c r="H15" s="282">
        <f t="shared" ref="H15:M15" si="1">$D15*H30</f>
        <v>71044364.956333131</v>
      </c>
      <c r="I15" s="282">
        <f t="shared" si="1"/>
        <v>26339173.641542692</v>
      </c>
      <c r="J15" s="282">
        <f t="shared" si="1"/>
        <v>27717161.920887016</v>
      </c>
      <c r="K15" s="282">
        <f t="shared" si="1"/>
        <v>2784534.5977262342</v>
      </c>
      <c r="L15" s="282">
        <f t="shared" si="1"/>
        <v>37654238.072208092</v>
      </c>
      <c r="M15" s="282">
        <f t="shared" si="1"/>
        <v>11344645.564596964</v>
      </c>
      <c r="N15" s="282"/>
      <c r="O15" s="377">
        <f>SUM(G15:M15)-D15</f>
        <v>0</v>
      </c>
    </row>
    <row r="16" spans="2:15" x14ac:dyDescent="0.2">
      <c r="B16" s="311">
        <f>B15+1</f>
        <v>4</v>
      </c>
      <c r="C16" s="279" t="s">
        <v>279</v>
      </c>
      <c r="D16" s="397">
        <f>'Mains Allocator'!D20*'Mains Allocator Old Method'!E16</f>
        <v>59866841.96298375</v>
      </c>
      <c r="E16" s="322">
        <f>1-E17</f>
        <v>0.32999999999999996</v>
      </c>
      <c r="F16" s="279" t="s">
        <v>413</v>
      </c>
      <c r="G16" s="282">
        <f>$D16*G30</f>
        <v>30821286.439333476</v>
      </c>
      <c r="H16" s="282">
        <f t="shared" ref="H16:M16" si="2">$D16*H30</f>
        <v>11665959.960259113</v>
      </c>
      <c r="I16" s="282">
        <f t="shared" si="2"/>
        <v>4325068.5015963111</v>
      </c>
      <c r="J16" s="282">
        <f t="shared" si="2"/>
        <v>4551343.3947904157</v>
      </c>
      <c r="K16" s="282">
        <f t="shared" si="2"/>
        <v>457239.20743040874</v>
      </c>
      <c r="L16" s="282">
        <f t="shared" si="2"/>
        <v>6183077.7705513947</v>
      </c>
      <c r="M16" s="282">
        <f t="shared" si="2"/>
        <v>1862866.6890226251</v>
      </c>
      <c r="N16" s="282"/>
      <c r="O16" s="377">
        <f>SUM(G16:M16)-D16</f>
        <v>0</v>
      </c>
    </row>
    <row r="17" spans="2:16" x14ac:dyDescent="0.2">
      <c r="B17" s="311">
        <f>B16+1</f>
        <v>5</v>
      </c>
      <c r="C17" s="279" t="s">
        <v>279</v>
      </c>
      <c r="D17" s="397">
        <f>'Mains Allocator'!D20*'Mains Allocator Old Method'!E17</f>
        <v>121547830.65211855</v>
      </c>
      <c r="E17" s="379">
        <v>0.67</v>
      </c>
      <c r="F17" s="279" t="s">
        <v>280</v>
      </c>
      <c r="G17" s="282">
        <f>$D17*G33</f>
        <v>72292466.651355192</v>
      </c>
      <c r="H17" s="282">
        <f>$D17*H33</f>
        <v>27362940.318636321</v>
      </c>
      <c r="I17" s="282">
        <f>$D17*I33</f>
        <v>10144608.046517339</v>
      </c>
      <c r="J17" s="282">
        <f>$D17*J33</f>
        <v>10675344.172748528</v>
      </c>
      <c r="K17" s="282">
        <f>$D17*K33</f>
        <v>1072471.4628611631</v>
      </c>
      <c r="L17" s="282">
        <f>$D17*L34</f>
        <v>0</v>
      </c>
      <c r="M17" s="282">
        <f>$D17*M34</f>
        <v>0</v>
      </c>
      <c r="N17" s="282"/>
      <c r="O17" s="377"/>
    </row>
    <row r="18" spans="2:16" x14ac:dyDescent="0.2">
      <c r="B18" s="311">
        <f>B17+1</f>
        <v>6</v>
      </c>
      <c r="C18" s="279" t="s">
        <v>281</v>
      </c>
      <c r="D18" s="380">
        <f>'Mains Allocator'!D21</f>
        <v>104596623.31064294</v>
      </c>
      <c r="F18" s="279" t="s">
        <v>414</v>
      </c>
      <c r="G18" s="381">
        <f>$D18*G36</f>
        <v>68200399.780300677</v>
      </c>
      <c r="H18" s="381">
        <f t="shared" ref="H18:M18" si="3">$D18*H36</f>
        <v>25814079.32717872</v>
      </c>
      <c r="I18" s="381">
        <f t="shared" si="3"/>
        <v>9570379.272346599</v>
      </c>
      <c r="J18" s="381">
        <f t="shared" si="3"/>
        <v>0</v>
      </c>
      <c r="K18" s="381">
        <f t="shared" si="3"/>
        <v>1011764.9308169521</v>
      </c>
      <c r="L18" s="381">
        <f t="shared" si="3"/>
        <v>0</v>
      </c>
      <c r="M18" s="381">
        <f t="shared" si="3"/>
        <v>0</v>
      </c>
      <c r="N18" s="282"/>
      <c r="O18" s="377">
        <f>SUM(G18:M18)-D18</f>
        <v>0</v>
      </c>
    </row>
    <row r="19" spans="2:16" x14ac:dyDescent="0.2">
      <c r="B19" s="311">
        <f>B18+1</f>
        <v>7</v>
      </c>
      <c r="C19" s="279" t="s">
        <v>415</v>
      </c>
      <c r="D19" s="376">
        <f>SUM(D15:D18)</f>
        <v>650593532.08034873</v>
      </c>
      <c r="G19" s="282">
        <f>SUM(G15:G18)</f>
        <v>359012270.27229863</v>
      </c>
      <c r="H19" s="282">
        <f t="shared" ref="H19:M19" si="4">SUM(H15:H18)</f>
        <v>135887344.56240728</v>
      </c>
      <c r="I19" s="282">
        <f t="shared" si="4"/>
        <v>50379229.462002948</v>
      </c>
      <c r="J19" s="282">
        <f t="shared" si="4"/>
        <v>42943849.488425955</v>
      </c>
      <c r="K19" s="282">
        <f t="shared" si="4"/>
        <v>5326010.1988347583</v>
      </c>
      <c r="L19" s="282">
        <f t="shared" si="4"/>
        <v>43837315.84275949</v>
      </c>
      <c r="M19" s="282">
        <f t="shared" si="4"/>
        <v>13207512.253619589</v>
      </c>
      <c r="N19" s="282"/>
      <c r="O19" s="377">
        <f>SUM(G19:M19)-D19</f>
        <v>0</v>
      </c>
      <c r="P19" s="280"/>
    </row>
    <row r="20" spans="2:16" x14ac:dyDescent="0.2">
      <c r="G20" s="282"/>
      <c r="H20" s="282"/>
      <c r="I20" s="282"/>
      <c r="J20" s="282"/>
      <c r="K20" s="282"/>
      <c r="L20" s="282"/>
      <c r="M20" s="282"/>
      <c r="N20" s="282"/>
      <c r="O20" s="280"/>
    </row>
    <row r="21" spans="2:16" x14ac:dyDescent="0.2">
      <c r="B21" s="311">
        <f>B19+1</f>
        <v>8</v>
      </c>
      <c r="C21" s="279" t="s">
        <v>282</v>
      </c>
      <c r="D21" s="382">
        <f>'Mains Allocator'!D25</f>
        <v>2018305000.0000002</v>
      </c>
      <c r="G21" s="282">
        <f>SUM(G19,G9)</f>
        <v>1313613044.0305004</v>
      </c>
      <c r="H21" s="282">
        <f t="shared" ref="H21:M21" si="5">SUM(H19,H9)</f>
        <v>475502563.10101235</v>
      </c>
      <c r="I21" s="282">
        <f t="shared" si="5"/>
        <v>104314097.59186494</v>
      </c>
      <c r="J21" s="282">
        <f t="shared" si="5"/>
        <v>51520800.142317109</v>
      </c>
      <c r="K21" s="282">
        <f t="shared" si="5"/>
        <v>6276757.1051861048</v>
      </c>
      <c r="L21" s="282">
        <f t="shared" si="5"/>
        <v>47068442.857173443</v>
      </c>
      <c r="M21" s="282">
        <f t="shared" si="5"/>
        <v>20009295.171945751</v>
      </c>
      <c r="N21" s="282"/>
      <c r="O21" s="377">
        <f>SUM(G21:M21)-D21</f>
        <v>0</v>
      </c>
      <c r="P21" s="282"/>
    </row>
    <row r="22" spans="2:16" x14ac:dyDescent="0.2">
      <c r="B22" s="311">
        <f>B21+1</f>
        <v>9</v>
      </c>
      <c r="C22" s="279" t="s">
        <v>117</v>
      </c>
      <c r="D22" s="314">
        <f>SUM(G22:M22)</f>
        <v>1</v>
      </c>
      <c r="G22" s="383">
        <f>G21/$D21</f>
        <v>0.65084962086032605</v>
      </c>
      <c r="H22" s="383">
        <f t="shared" ref="H22:M22" si="6">H21/$D21</f>
        <v>0.23559499832830633</v>
      </c>
      <c r="I22" s="383">
        <f t="shared" si="6"/>
        <v>5.1684010886295643E-2</v>
      </c>
      <c r="J22" s="383">
        <f t="shared" si="6"/>
        <v>2.552676634221146E-2</v>
      </c>
      <c r="K22" s="383">
        <f t="shared" si="6"/>
        <v>3.1099150550516915E-3</v>
      </c>
      <c r="L22" s="383">
        <f t="shared" si="6"/>
        <v>2.3320778007869691E-2</v>
      </c>
      <c r="M22" s="383">
        <f t="shared" si="6"/>
        <v>9.9139105199391314E-3</v>
      </c>
      <c r="N22" s="383"/>
      <c r="O22" s="377">
        <f>SUM(G22:M22)-D22</f>
        <v>0</v>
      </c>
    </row>
    <row r="23" spans="2:16" x14ac:dyDescent="0.2">
      <c r="B23" s="311"/>
      <c r="D23" s="314"/>
      <c r="G23" s="383"/>
      <c r="H23" s="383"/>
      <c r="I23" s="383"/>
      <c r="J23" s="383"/>
      <c r="K23" s="383"/>
      <c r="L23" s="383"/>
      <c r="M23" s="383"/>
      <c r="N23" s="383"/>
      <c r="O23" s="280"/>
    </row>
    <row r="24" spans="2:16" x14ac:dyDescent="0.2">
      <c r="O24" s="280"/>
    </row>
    <row r="25" spans="2:16" x14ac:dyDescent="0.2">
      <c r="B25" s="311"/>
      <c r="C25" s="319" t="s">
        <v>283</v>
      </c>
      <c r="O25" s="280"/>
    </row>
    <row r="26" spans="2:16" x14ac:dyDescent="0.2">
      <c r="B26" s="311">
        <f>B22+1</f>
        <v>10</v>
      </c>
      <c r="C26" s="279" t="s">
        <v>276</v>
      </c>
      <c r="D26" s="280">
        <f>SUM(G26:M26)</f>
        <v>10131080</v>
      </c>
      <c r="G26" s="384">
        <f>'Mains Allocator'!G30</f>
        <v>7071035.8389525395</v>
      </c>
      <c r="H26" s="384">
        <f>'Mains Allocator'!H30</f>
        <v>2515639.4670474599</v>
      </c>
      <c r="I26" s="384">
        <f>'Mains Allocator'!I30</f>
        <v>399512.96499999997</v>
      </c>
      <c r="J26" s="384">
        <f>'Mains Allocator'!J30</f>
        <v>63532.24</v>
      </c>
      <c r="K26" s="384">
        <f>'Mains Allocator'!K30</f>
        <v>7042.4889999999996</v>
      </c>
      <c r="L26" s="384">
        <f>'Mains Allocator'!L30</f>
        <v>23934</v>
      </c>
      <c r="M26" s="384">
        <f>'Mains Allocator'!M30</f>
        <v>50383</v>
      </c>
      <c r="N26" s="385"/>
      <c r="O26" s="377">
        <f>SUM(G26:M26)-D26</f>
        <v>0</v>
      </c>
    </row>
    <row r="27" spans="2:16" x14ac:dyDescent="0.2">
      <c r="B27" s="311">
        <f>B26+1</f>
        <v>11</v>
      </c>
      <c r="C27" s="279" t="s">
        <v>117</v>
      </c>
      <c r="D27" s="314">
        <f>SUM(G27:M27)</f>
        <v>0.99999999999999989</v>
      </c>
      <c r="G27" s="386">
        <f t="shared" ref="G27:M27" si="7">G26/$D26</f>
        <v>0.69795479247548531</v>
      </c>
      <c r="H27" s="386">
        <f t="shared" si="7"/>
        <v>0.2483091108793396</v>
      </c>
      <c r="I27" s="386">
        <f t="shared" si="7"/>
        <v>3.943439050920533E-2</v>
      </c>
      <c r="J27" s="386">
        <f t="shared" si="7"/>
        <v>6.27102342494581E-3</v>
      </c>
      <c r="K27" s="386">
        <f t="shared" si="7"/>
        <v>6.951370436320708E-4</v>
      </c>
      <c r="L27" s="386">
        <f t="shared" si="7"/>
        <v>2.3624332252829908E-3</v>
      </c>
      <c r="M27" s="386">
        <f t="shared" si="7"/>
        <v>4.9731124421088374E-3</v>
      </c>
      <c r="N27" s="383"/>
      <c r="O27" s="377">
        <f>SUM(G27:M27)-D27</f>
        <v>0</v>
      </c>
    </row>
    <row r="28" spans="2:16" x14ac:dyDescent="0.2">
      <c r="G28" s="295"/>
      <c r="H28" s="295"/>
      <c r="I28" s="295"/>
      <c r="J28" s="295"/>
      <c r="K28" s="295"/>
      <c r="L28" s="295"/>
      <c r="M28" s="295"/>
      <c r="O28" s="280"/>
    </row>
    <row r="29" spans="2:16" x14ac:dyDescent="0.2">
      <c r="B29" s="311">
        <f>B27+1</f>
        <v>12</v>
      </c>
      <c r="C29" s="279" t="s">
        <v>284</v>
      </c>
      <c r="D29" s="280">
        <f>SUM(G29:M29)</f>
        <v>1191987097.6690001</v>
      </c>
      <c r="G29" s="384">
        <f>'Mains Allocator'!G43</f>
        <v>613671517.73199999</v>
      </c>
      <c r="H29" s="384">
        <f>'Mains Allocator'!H43</f>
        <v>232276721.11300004</v>
      </c>
      <c r="I29" s="384">
        <f>'Mains Allocator'!I43</f>
        <v>86114878.978000015</v>
      </c>
      <c r="J29" s="384">
        <f>'Mains Allocator'!J43</f>
        <v>90620156.764000013</v>
      </c>
      <c r="K29" s="384">
        <f>'Mains Allocator'!K43</f>
        <v>9103924.943</v>
      </c>
      <c r="L29" s="384">
        <f>'Mains Allocator'!L43</f>
        <v>123109031.389</v>
      </c>
      <c r="M29" s="384">
        <f>'Mains Allocator'!M43</f>
        <v>37090866.75</v>
      </c>
      <c r="N29" s="385"/>
      <c r="O29" s="377">
        <f>SUM(G29:M29)-D29</f>
        <v>0</v>
      </c>
    </row>
    <row r="30" spans="2:16" x14ac:dyDescent="0.2">
      <c r="B30" s="311">
        <f>B29+1</f>
        <v>13</v>
      </c>
      <c r="C30" s="279" t="s">
        <v>117</v>
      </c>
      <c r="D30" s="314">
        <f>SUM(G30:M30)</f>
        <v>1</v>
      </c>
      <c r="G30" s="386">
        <f>G29/$D29</f>
        <v>0.51483067134876725</v>
      </c>
      <c r="H30" s="386">
        <f t="shared" ref="H30:M30" si="8">H29/$D$29</f>
        <v>0.19486513030823122</v>
      </c>
      <c r="I30" s="386">
        <f t="shared" si="8"/>
        <v>7.2244807973511335E-2</v>
      </c>
      <c r="J30" s="386">
        <f t="shared" si="8"/>
        <v>7.6024444342739098E-2</v>
      </c>
      <c r="K30" s="386">
        <f t="shared" si="8"/>
        <v>7.6376035955449959E-3</v>
      </c>
      <c r="L30" s="386">
        <f t="shared" si="8"/>
        <v>0.10328050666802253</v>
      </c>
      <c r="M30" s="386">
        <f t="shared" si="8"/>
        <v>3.111683576318346E-2</v>
      </c>
      <c r="N30" s="383"/>
      <c r="O30" s="377">
        <f>SUM(G30:M30)-D30</f>
        <v>0</v>
      </c>
    </row>
    <row r="31" spans="2:16" x14ac:dyDescent="0.2">
      <c r="B31" s="311"/>
      <c r="D31" s="314"/>
      <c r="G31" s="383"/>
      <c r="H31" s="383"/>
      <c r="I31" s="383"/>
      <c r="J31" s="383"/>
      <c r="K31" s="383"/>
      <c r="L31" s="383"/>
      <c r="M31" s="383"/>
      <c r="N31" s="383"/>
      <c r="O31" s="377"/>
    </row>
    <row r="32" spans="2:16" x14ac:dyDescent="0.2">
      <c r="B32" s="311">
        <f>B30+1</f>
        <v>14</v>
      </c>
      <c r="C32" s="279" t="s">
        <v>280</v>
      </c>
      <c r="D32" s="280">
        <f>SUM(G32:M32)</f>
        <v>1031787199.5300001</v>
      </c>
      <c r="G32" s="387">
        <f>G29</f>
        <v>613671517.73199999</v>
      </c>
      <c r="H32" s="387">
        <f>H29</f>
        <v>232276721.11300004</v>
      </c>
      <c r="I32" s="387">
        <f>I29</f>
        <v>86114878.978000015</v>
      </c>
      <c r="J32" s="387">
        <f>J29</f>
        <v>90620156.764000013</v>
      </c>
      <c r="K32" s="387">
        <f>K29</f>
        <v>9103924.943</v>
      </c>
      <c r="L32" s="157">
        <v>0</v>
      </c>
      <c r="M32" s="156">
        <v>0</v>
      </c>
      <c r="N32" s="383"/>
      <c r="O32" s="377">
        <f>SUM(G32:M32)-D32</f>
        <v>0</v>
      </c>
    </row>
    <row r="33" spans="2:15" x14ac:dyDescent="0.2">
      <c r="B33" s="311">
        <f>B32+1</f>
        <v>15</v>
      </c>
      <c r="C33" s="279" t="s">
        <v>117</v>
      </c>
      <c r="D33" s="314">
        <f>SUM(G33:M33)</f>
        <v>1</v>
      </c>
      <c r="G33" s="383">
        <f t="shared" ref="G33:M33" si="9">G32/$D32</f>
        <v>0.59476558539545732</v>
      </c>
      <c r="H33" s="383">
        <f t="shared" si="9"/>
        <v>0.22512076251654098</v>
      </c>
      <c r="I33" s="383">
        <f t="shared" si="9"/>
        <v>8.3461860175457772E-2</v>
      </c>
      <c r="J33" s="383">
        <f t="shared" si="9"/>
        <v>8.7828339802315178E-2</v>
      </c>
      <c r="K33" s="383">
        <f t="shared" si="9"/>
        <v>8.8234521102287574E-3</v>
      </c>
      <c r="L33" s="383">
        <f t="shared" si="9"/>
        <v>0</v>
      </c>
      <c r="M33" s="383">
        <f t="shared" si="9"/>
        <v>0</v>
      </c>
      <c r="N33" s="383"/>
      <c r="O33" s="377">
        <f>SUM(G33:M33)-D33</f>
        <v>0</v>
      </c>
    </row>
    <row r="34" spans="2:15" x14ac:dyDescent="0.2">
      <c r="B34" s="311"/>
      <c r="D34" s="314"/>
      <c r="G34" s="383"/>
      <c r="H34" s="383"/>
      <c r="I34" s="383"/>
      <c r="J34" s="383"/>
      <c r="K34" s="383"/>
      <c r="L34" s="383"/>
      <c r="M34" s="383"/>
      <c r="N34" s="383"/>
      <c r="O34" s="280"/>
    </row>
    <row r="35" spans="2:15" x14ac:dyDescent="0.2">
      <c r="B35" s="311">
        <f>B33+1</f>
        <v>16</v>
      </c>
      <c r="C35" s="279" t="s">
        <v>414</v>
      </c>
      <c r="D35" s="280">
        <f>SUM(G35:M35)</f>
        <v>941167042.76600003</v>
      </c>
      <c r="G35" s="387">
        <f>G29</f>
        <v>613671517.73199999</v>
      </c>
      <c r="H35" s="387">
        <f>H29</f>
        <v>232276721.11300004</v>
      </c>
      <c r="I35" s="387">
        <f>I29</f>
        <v>86114878.978000015</v>
      </c>
      <c r="J35" s="385">
        <v>0</v>
      </c>
      <c r="K35" s="387">
        <f>K29</f>
        <v>9103924.943</v>
      </c>
      <c r="L35" s="385">
        <v>0</v>
      </c>
      <c r="M35" s="385">
        <v>0</v>
      </c>
      <c r="N35" s="385"/>
      <c r="O35" s="377">
        <f>SUM(G35:M35)-D35</f>
        <v>0</v>
      </c>
    </row>
    <row r="36" spans="2:15" x14ac:dyDescent="0.2">
      <c r="B36" s="311">
        <f>B35+1</f>
        <v>17</v>
      </c>
      <c r="C36" s="279" t="s">
        <v>117</v>
      </c>
      <c r="D36" s="314">
        <f>SUM(G36:M36)</f>
        <v>1</v>
      </c>
      <c r="G36" s="383">
        <f t="shared" ref="G36:M36" si="10">G35/$D35</f>
        <v>0.65203251903984871</v>
      </c>
      <c r="H36" s="383">
        <f t="shared" si="10"/>
        <v>0.24679648835807186</v>
      </c>
      <c r="I36" s="383">
        <f t="shared" si="10"/>
        <v>9.1497975454937958E-2</v>
      </c>
      <c r="J36" s="383">
        <f t="shared" si="10"/>
        <v>0</v>
      </c>
      <c r="K36" s="383">
        <f t="shared" si="10"/>
        <v>9.6730171471415254E-3</v>
      </c>
      <c r="L36" s="383">
        <f t="shared" si="10"/>
        <v>0</v>
      </c>
      <c r="M36" s="383">
        <f t="shared" si="10"/>
        <v>0</v>
      </c>
      <c r="N36" s="383"/>
      <c r="O36" s="377">
        <f>SUM(G36:M36)-D36</f>
        <v>0</v>
      </c>
    </row>
    <row r="37" spans="2:15" x14ac:dyDescent="0.2">
      <c r="D37" s="388"/>
      <c r="I37" s="388"/>
    </row>
    <row r="38" spans="2:15" x14ac:dyDescent="0.2">
      <c r="B38" s="311">
        <f>B36+1</f>
        <v>18</v>
      </c>
      <c r="C38" s="295" t="s">
        <v>285</v>
      </c>
      <c r="D38" s="388"/>
      <c r="H38" s="389"/>
      <c r="I38" s="388"/>
      <c r="J38" s="282">
        <f>SUM(J21,L21:M21)</f>
        <v>118598538.17143631</v>
      </c>
    </row>
    <row r="39" spans="2:15" x14ac:dyDescent="0.2">
      <c r="B39" s="311">
        <f>B38+1</f>
        <v>19</v>
      </c>
      <c r="C39" s="295" t="s">
        <v>286</v>
      </c>
      <c r="D39" s="388"/>
      <c r="I39" s="280"/>
      <c r="J39" s="390">
        <f>J38/D21</f>
        <v>5.876145487002029E-2</v>
      </c>
    </row>
    <row r="40" spans="2:15" x14ac:dyDescent="0.2">
      <c r="D40" s="388"/>
    </row>
    <row r="41" spans="2:15" x14ac:dyDescent="0.2">
      <c r="D41" s="388"/>
    </row>
    <row r="42" spans="2:15" x14ac:dyDescent="0.2">
      <c r="C42" s="286"/>
      <c r="D42" s="391"/>
      <c r="E42" s="286"/>
      <c r="F42" s="286"/>
      <c r="G42" s="286"/>
      <c r="H42" s="286"/>
      <c r="I42" s="286"/>
      <c r="J42" s="286"/>
      <c r="K42" s="286"/>
      <c r="L42" s="286"/>
    </row>
    <row r="43" spans="2:15" x14ac:dyDescent="0.2">
      <c r="C43" s="286" t="s">
        <v>96</v>
      </c>
      <c r="D43" s="309">
        <f>D21-SUM(D9,D13)</f>
        <v>0</v>
      </c>
      <c r="E43" s="286"/>
      <c r="F43" s="286"/>
      <c r="G43" s="286"/>
      <c r="H43" s="286"/>
      <c r="I43" s="286"/>
      <c r="J43" s="286"/>
      <c r="K43" s="286"/>
      <c r="L43" s="286"/>
    </row>
    <row r="44" spans="2:15" x14ac:dyDescent="0.2">
      <c r="C44" s="286"/>
      <c r="D44" s="286"/>
      <c r="E44" s="286"/>
      <c r="F44" s="286"/>
      <c r="G44" s="286"/>
      <c r="H44" s="392"/>
      <c r="I44" s="286"/>
      <c r="J44" s="286"/>
      <c r="K44" s="286"/>
      <c r="L44" s="286"/>
    </row>
    <row r="45" spans="2:15" x14ac:dyDescent="0.2">
      <c r="C45" s="286"/>
      <c r="D45" s="286"/>
      <c r="E45" s="391"/>
      <c r="F45" s="286"/>
      <c r="G45" s="286"/>
      <c r="H45" s="290"/>
      <c r="I45" s="286"/>
      <c r="J45" s="286"/>
      <c r="K45" s="391"/>
      <c r="L45" s="286"/>
    </row>
    <row r="46" spans="2:15" x14ac:dyDescent="0.2">
      <c r="C46" s="286"/>
      <c r="D46" s="286"/>
      <c r="E46" s="391"/>
      <c r="F46" s="286"/>
      <c r="G46" s="286"/>
      <c r="H46" s="393"/>
      <c r="I46" s="286"/>
      <c r="J46" s="286"/>
      <c r="K46" s="391"/>
      <c r="L46" s="286"/>
    </row>
    <row r="47" spans="2:15" x14ac:dyDescent="0.2">
      <c r="C47" s="286"/>
      <c r="D47" s="286"/>
      <c r="E47" s="391"/>
      <c r="F47" s="286"/>
      <c r="G47" s="286"/>
      <c r="H47" s="290"/>
      <c r="I47" s="394"/>
      <c r="J47" s="286"/>
      <c r="K47" s="391"/>
      <c r="L47" s="286"/>
    </row>
    <row r="48" spans="2:15" x14ac:dyDescent="0.2">
      <c r="C48" s="286"/>
      <c r="D48" s="286"/>
      <c r="E48" s="391"/>
      <c r="F48" s="286"/>
      <c r="G48" s="286"/>
      <c r="H48" s="290"/>
      <c r="I48" s="394"/>
      <c r="J48" s="286"/>
      <c r="K48" s="391"/>
      <c r="L48" s="395"/>
    </row>
    <row r="49" spans="3:12" x14ac:dyDescent="0.2">
      <c r="C49" s="286"/>
      <c r="D49" s="286"/>
      <c r="E49" s="391"/>
      <c r="F49" s="286"/>
      <c r="G49" s="286"/>
      <c r="H49" s="290"/>
      <c r="I49" s="391"/>
      <c r="J49" s="286"/>
      <c r="K49" s="391"/>
      <c r="L49" s="286"/>
    </row>
    <row r="50" spans="3:12" x14ac:dyDescent="0.2">
      <c r="C50" s="286"/>
      <c r="D50" s="286"/>
      <c r="E50" s="391"/>
      <c r="F50" s="286"/>
      <c r="G50" s="286"/>
      <c r="H50" s="290"/>
      <c r="I50" s="394"/>
      <c r="J50" s="286"/>
      <c r="K50" s="391"/>
      <c r="L50" s="286"/>
    </row>
    <row r="51" spans="3:12" x14ac:dyDescent="0.2">
      <c r="C51" s="286"/>
      <c r="D51" s="286"/>
      <c r="E51" s="391"/>
      <c r="F51" s="286"/>
      <c r="G51" s="286"/>
      <c r="H51" s="290"/>
      <c r="I51" s="286"/>
      <c r="J51" s="286"/>
      <c r="K51" s="391"/>
      <c r="L51" s="395"/>
    </row>
    <row r="52" spans="3:12" x14ac:dyDescent="0.2">
      <c r="C52" s="286"/>
      <c r="D52" s="286"/>
      <c r="E52" s="391"/>
      <c r="F52" s="286"/>
      <c r="G52" s="286"/>
      <c r="H52" s="290"/>
      <c r="I52" s="286"/>
      <c r="J52" s="286"/>
      <c r="K52" s="391"/>
      <c r="L52" s="286"/>
    </row>
    <row r="53" spans="3:12" x14ac:dyDescent="0.2">
      <c r="C53" s="286"/>
      <c r="D53" s="286"/>
      <c r="E53" s="286"/>
      <c r="F53" s="286"/>
      <c r="G53" s="286"/>
      <c r="H53" s="290"/>
      <c r="I53" s="286"/>
      <c r="J53" s="286"/>
      <c r="K53" s="391"/>
      <c r="L53" s="286"/>
    </row>
    <row r="54" spans="3:12" x14ac:dyDescent="0.2">
      <c r="C54" s="286"/>
      <c r="D54" s="286"/>
      <c r="E54" s="286"/>
      <c r="F54" s="286"/>
      <c r="G54" s="286"/>
      <c r="H54" s="290"/>
      <c r="I54" s="286"/>
      <c r="J54" s="286"/>
      <c r="K54" s="391"/>
      <c r="L54" s="395"/>
    </row>
    <row r="55" spans="3:12" x14ac:dyDescent="0.2">
      <c r="C55" s="286"/>
      <c r="D55" s="286"/>
      <c r="E55" s="286"/>
      <c r="F55" s="286"/>
      <c r="G55" s="286"/>
      <c r="H55" s="290"/>
      <c r="I55" s="286"/>
      <c r="J55" s="286"/>
      <c r="K55" s="391"/>
      <c r="L55" s="286"/>
    </row>
    <row r="56" spans="3:12" x14ac:dyDescent="0.2">
      <c r="C56" s="286"/>
      <c r="D56" s="286"/>
      <c r="E56" s="286"/>
      <c r="F56" s="286"/>
      <c r="G56" s="286"/>
      <c r="H56" s="290"/>
      <c r="I56" s="286"/>
      <c r="J56" s="286"/>
      <c r="K56" s="391"/>
      <c r="L56" s="286"/>
    </row>
    <row r="57" spans="3:12" x14ac:dyDescent="0.2">
      <c r="C57" s="396"/>
      <c r="D57" s="391"/>
      <c r="E57" s="286"/>
      <c r="F57" s="286"/>
      <c r="G57" s="286"/>
      <c r="H57" s="290"/>
      <c r="I57" s="286"/>
      <c r="J57" s="286"/>
      <c r="K57" s="391"/>
      <c r="L57" s="286"/>
    </row>
    <row r="58" spans="3:12" x14ac:dyDescent="0.2">
      <c r="C58" s="396"/>
      <c r="D58" s="391"/>
      <c r="E58" s="286"/>
      <c r="F58" s="286"/>
      <c r="G58" s="286"/>
      <c r="H58" s="286"/>
      <c r="I58" s="286"/>
      <c r="J58" s="286"/>
      <c r="K58" s="286"/>
      <c r="L58" s="286"/>
    </row>
    <row r="59" spans="3:12" x14ac:dyDescent="0.2">
      <c r="C59" s="396"/>
      <c r="D59" s="391"/>
      <c r="E59" s="286"/>
      <c r="F59" s="286"/>
      <c r="G59" s="286"/>
      <c r="H59" s="286"/>
      <c r="I59" s="286"/>
      <c r="J59" s="286"/>
      <c r="K59" s="286"/>
      <c r="L59" s="286"/>
    </row>
    <row r="60" spans="3:12" x14ac:dyDescent="0.2">
      <c r="C60" s="391"/>
      <c r="D60" s="391"/>
      <c r="E60" s="286"/>
      <c r="F60" s="286"/>
      <c r="G60" s="286"/>
      <c r="H60" s="286"/>
      <c r="I60" s="286"/>
      <c r="J60" s="286"/>
      <c r="K60" s="286"/>
      <c r="L60" s="286"/>
    </row>
    <row r="61" spans="3:12" x14ac:dyDescent="0.2">
      <c r="C61" s="391"/>
      <c r="D61" s="391"/>
      <c r="E61" s="286"/>
      <c r="F61" s="286"/>
      <c r="G61" s="286"/>
      <c r="H61" s="286"/>
      <c r="I61" s="286"/>
      <c r="J61" s="286"/>
      <c r="K61" s="286"/>
      <c r="L61" s="286"/>
    </row>
    <row r="62" spans="3:12" x14ac:dyDescent="0.2">
      <c r="C62" s="286"/>
      <c r="D62" s="286"/>
      <c r="E62" s="286"/>
      <c r="F62" s="286"/>
      <c r="G62" s="286"/>
      <c r="H62" s="286"/>
      <c r="I62" s="286"/>
      <c r="J62" s="286"/>
      <c r="K62" s="286"/>
      <c r="L62" s="286"/>
    </row>
    <row r="65" spans="4:4" x14ac:dyDescent="0.2">
      <c r="D65" s="388"/>
    </row>
    <row r="66" spans="4:4" x14ac:dyDescent="0.2">
      <c r="D66" s="388"/>
    </row>
  </sheetData>
  <printOptions horizontalCentered="1"/>
  <pageMargins left="0.25" right="0.25" top="1" bottom="1" header="0.5" footer="0.5"/>
  <pageSetup scale="76" orientation="landscape" blackAndWhite="1" verticalDpi="300" r:id="rId1"/>
  <headerFooter alignWithMargins="0">
    <oddFooter>&amp;L&amp;F &amp;A&amp;C&amp;P&amp;R&amp;D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>
      <selection activeCell="J36" sqref="J36"/>
    </sheetView>
  </sheetViews>
  <sheetFormatPr defaultRowHeight="12.75" x14ac:dyDescent="0.2"/>
  <cols>
    <col min="1" max="1" width="9.140625" style="279"/>
    <col min="2" max="2" width="15.7109375" style="279" customWidth="1"/>
    <col min="3" max="3" width="15.5703125" style="279" bestFit="1" customWidth="1"/>
    <col min="4" max="4" width="15.140625" style="279" bestFit="1" customWidth="1"/>
    <col min="5" max="6" width="16" style="279" bestFit="1" customWidth="1"/>
    <col min="7" max="16384" width="9.140625" style="279"/>
  </cols>
  <sheetData>
    <row r="1" spans="1:6" x14ac:dyDescent="0.2">
      <c r="A1" s="401" t="s">
        <v>421</v>
      </c>
      <c r="B1" s="305"/>
      <c r="C1" s="305"/>
      <c r="D1" s="305"/>
      <c r="E1" s="305"/>
      <c r="F1" s="305"/>
    </row>
    <row r="2" spans="1:6" x14ac:dyDescent="0.2">
      <c r="A2" s="305" t="s">
        <v>380</v>
      </c>
      <c r="B2" s="305"/>
      <c r="C2" s="305"/>
      <c r="D2" s="305"/>
      <c r="E2" s="305"/>
      <c r="F2" s="305"/>
    </row>
    <row r="3" spans="1:6" x14ac:dyDescent="0.2">
      <c r="A3" s="306" t="s">
        <v>379</v>
      </c>
      <c r="B3" s="305"/>
      <c r="C3" s="305"/>
      <c r="D3" s="305"/>
      <c r="E3" s="305"/>
      <c r="F3" s="305"/>
    </row>
    <row r="4" spans="1:6" x14ac:dyDescent="0.2">
      <c r="A4" s="303"/>
      <c r="B4" s="303"/>
      <c r="C4" s="304"/>
      <c r="D4" s="303"/>
      <c r="E4" s="303"/>
    </row>
    <row r="5" spans="1:6" x14ac:dyDescent="0.2">
      <c r="A5" s="301"/>
      <c r="B5" s="301"/>
      <c r="C5" s="302" t="s">
        <v>378</v>
      </c>
      <c r="D5" s="301"/>
      <c r="E5" s="299"/>
    </row>
    <row r="6" spans="1:6" x14ac:dyDescent="0.2">
      <c r="A6" s="300" t="s">
        <v>358</v>
      </c>
      <c r="B6" s="300" t="s">
        <v>377</v>
      </c>
      <c r="C6" s="300" t="s">
        <v>379</v>
      </c>
      <c r="D6" s="300" t="s">
        <v>356</v>
      </c>
      <c r="E6" s="299"/>
    </row>
    <row r="7" spans="1:6" x14ac:dyDescent="0.2">
      <c r="A7" s="279" t="s">
        <v>355</v>
      </c>
      <c r="B7" s="295" t="s">
        <v>376</v>
      </c>
      <c r="C7" s="282">
        <f>'[10]Unit Cost'!E5</f>
        <v>2850509.3567231884</v>
      </c>
      <c r="D7" s="287">
        <f>'[10]Unit Cost'!C5</f>
        <v>79907</v>
      </c>
      <c r="E7" s="286"/>
    </row>
    <row r="8" spans="1:6" x14ac:dyDescent="0.2">
      <c r="A8" s="279" t="s">
        <v>355</v>
      </c>
      <c r="B8" s="295" t="s">
        <v>375</v>
      </c>
      <c r="C8" s="282">
        <f>'[10]Unit Cost'!E6</f>
        <v>229102384.21776438</v>
      </c>
      <c r="D8" s="287">
        <f>'[10]Unit Cost'!C6</f>
        <v>11137919</v>
      </c>
      <c r="E8" s="286"/>
    </row>
    <row r="9" spans="1:6" x14ac:dyDescent="0.2">
      <c r="A9" s="279" t="s">
        <v>353</v>
      </c>
      <c r="B9" s="295" t="s">
        <v>374</v>
      </c>
      <c r="C9" s="282">
        <f>'[10]Unit Cost'!E7</f>
        <v>879841154.6646111</v>
      </c>
      <c r="D9" s="287">
        <f>'[10]Unit Cost'!C7</f>
        <v>27407322</v>
      </c>
      <c r="E9" s="286"/>
    </row>
    <row r="10" spans="1:6" x14ac:dyDescent="0.2">
      <c r="A10" s="279" t="s">
        <v>353</v>
      </c>
      <c r="B10" s="295" t="s">
        <v>373</v>
      </c>
      <c r="C10" s="282">
        <f>'[10]Unit Cost'!E8</f>
        <v>3476910.233445222</v>
      </c>
      <c r="D10" s="287">
        <f>'[10]Unit Cost'!C8</f>
        <v>62856</v>
      </c>
      <c r="E10" s="286"/>
    </row>
    <row r="11" spans="1:6" x14ac:dyDescent="0.2">
      <c r="A11" s="279" t="s">
        <v>351</v>
      </c>
      <c r="B11" s="295" t="s">
        <v>372</v>
      </c>
      <c r="C11" s="282">
        <f>'[10]Unit Cost'!E9</f>
        <v>321308350.52471042</v>
      </c>
      <c r="D11" s="287">
        <f>'[10]Unit Cost'!C9</f>
        <v>5948402</v>
      </c>
      <c r="E11" s="286"/>
    </row>
    <row r="12" spans="1:6" x14ac:dyDescent="0.2">
      <c r="A12" s="279" t="s">
        <v>351</v>
      </c>
      <c r="B12" s="295" t="s">
        <v>371</v>
      </c>
      <c r="C12" s="282">
        <f>'[10]Unit Cost'!E10</f>
        <v>289024229.87471855</v>
      </c>
      <c r="D12" s="287">
        <f>'[10]Unit Cost'!C10</f>
        <v>2730414</v>
      </c>
      <c r="E12" s="286"/>
    </row>
    <row r="13" spans="1:6" x14ac:dyDescent="0.2">
      <c r="A13" s="279" t="s">
        <v>351</v>
      </c>
      <c r="B13" s="295" t="s">
        <v>370</v>
      </c>
      <c r="C13" s="282">
        <f>'[10]Unit Cost'!E11</f>
        <v>135390567.39881361</v>
      </c>
      <c r="D13" s="287">
        <f>'[10]Unit Cost'!C11</f>
        <v>860539</v>
      </c>
      <c r="E13" s="286"/>
    </row>
    <row r="14" spans="1:6" x14ac:dyDescent="0.2">
      <c r="A14" s="279" t="s">
        <v>355</v>
      </c>
      <c r="B14" s="295" t="s">
        <v>369</v>
      </c>
      <c r="C14" s="282">
        <f>'[10]Unit Cost'!$E$25</f>
        <v>13243.900000000001</v>
      </c>
      <c r="D14" s="287">
        <f>'[10]Unit Cost'!$C$25</f>
        <v>41</v>
      </c>
      <c r="E14" s="286"/>
    </row>
    <row r="15" spans="1:6" x14ac:dyDescent="0.2">
      <c r="A15" s="279" t="s">
        <v>355</v>
      </c>
      <c r="B15" s="295" t="s">
        <v>368</v>
      </c>
      <c r="C15" s="282">
        <f>'[10]Unit Cost'!E15</f>
        <v>1502260.5</v>
      </c>
      <c r="D15" s="287">
        <f>'[10]Unit Cost'!C15</f>
        <v>6352</v>
      </c>
      <c r="E15" s="286"/>
    </row>
    <row r="16" spans="1:6" x14ac:dyDescent="0.2">
      <c r="A16" s="279" t="s">
        <v>355</v>
      </c>
      <c r="B16" s="295" t="s">
        <v>367</v>
      </c>
      <c r="C16" s="282">
        <f>'[10]Unit Cost'!E16</f>
        <v>364813105.01034576</v>
      </c>
      <c r="D16" s="287">
        <f>'[10]Unit Cost'!C16</f>
        <v>13071713</v>
      </c>
      <c r="E16" s="286"/>
    </row>
    <row r="17" spans="1:5" x14ac:dyDescent="0.2">
      <c r="A17" s="279" t="s">
        <v>353</v>
      </c>
      <c r="B17" s="295" t="s">
        <v>366</v>
      </c>
      <c r="C17" s="282">
        <f>'[10]Unit Cost'!E17</f>
        <v>153531208.35360432</v>
      </c>
      <c r="D17" s="287">
        <f>'[10]Unit Cost'!C17</f>
        <v>3580857</v>
      </c>
      <c r="E17" s="286"/>
    </row>
    <row r="18" spans="1:5" x14ac:dyDescent="0.2">
      <c r="A18" s="279" t="s">
        <v>353</v>
      </c>
      <c r="B18" s="295" t="s">
        <v>365</v>
      </c>
      <c r="C18" s="282">
        <f>'[10]Unit Cost'!E18</f>
        <v>823259.19060804264</v>
      </c>
      <c r="D18" s="287">
        <f>'[10]Unit Cost'!C18</f>
        <v>12171</v>
      </c>
      <c r="E18" s="286"/>
    </row>
    <row r="19" spans="1:5" x14ac:dyDescent="0.2">
      <c r="A19" s="279" t="s">
        <v>351</v>
      </c>
      <c r="B19" s="295" t="s">
        <v>364</v>
      </c>
      <c r="C19" s="282">
        <f>'[10]Unit Cost'!E19</f>
        <v>203845369.38986957</v>
      </c>
      <c r="D19" s="287">
        <f>'[10]Unit Cost'!C19</f>
        <v>2804539</v>
      </c>
      <c r="E19" s="286"/>
    </row>
    <row r="20" spans="1:5" x14ac:dyDescent="0.2">
      <c r="A20" s="279" t="s">
        <v>351</v>
      </c>
      <c r="B20" s="295" t="s">
        <v>363</v>
      </c>
      <c r="C20" s="282">
        <f>'[10]Unit Cost'!E20</f>
        <v>224691998.43380311</v>
      </c>
      <c r="D20" s="287">
        <f>'[10]Unit Cost'!C20</f>
        <v>1891811</v>
      </c>
      <c r="E20" s="286"/>
    </row>
    <row r="21" spans="1:5" x14ac:dyDescent="0.2">
      <c r="A21" s="279" t="s">
        <v>351</v>
      </c>
      <c r="B21" s="295" t="s">
        <v>362</v>
      </c>
      <c r="C21" s="282">
        <f>'[10]Unit Cost'!E21</f>
        <v>191200665.90098363</v>
      </c>
      <c r="D21" s="287">
        <f>'[10]Unit Cost'!C21</f>
        <v>797344</v>
      </c>
      <c r="E21" s="286"/>
    </row>
    <row r="22" spans="1:5" x14ac:dyDescent="0.2">
      <c r="A22" s="279" t="s">
        <v>351</v>
      </c>
      <c r="B22" s="295" t="s">
        <v>361</v>
      </c>
      <c r="C22" s="282">
        <f>'[10]Unit Cost'!E22</f>
        <v>281860317.7941134</v>
      </c>
      <c r="D22" s="287">
        <f>'[10]Unit Cost'!C22</f>
        <v>743536</v>
      </c>
      <c r="E22" s="286"/>
    </row>
    <row r="23" spans="1:5" x14ac:dyDescent="0.2">
      <c r="A23" s="279" t="s">
        <v>351</v>
      </c>
      <c r="B23" s="295" t="s">
        <v>360</v>
      </c>
      <c r="C23" s="282">
        <f>'[10]Unit Cost'!E23</f>
        <v>421173344.48558247</v>
      </c>
      <c r="D23" s="287">
        <f>'[10]Unit Cost'!C23</f>
        <v>822896</v>
      </c>
      <c r="E23" s="286"/>
    </row>
    <row r="24" spans="1:5" x14ac:dyDescent="0.2">
      <c r="A24" s="279" t="s">
        <v>351</v>
      </c>
      <c r="B24" s="295" t="s">
        <v>359</v>
      </c>
      <c r="C24" s="298">
        <f>'[10]Unit Cost'!E24</f>
        <v>16876569.769158334</v>
      </c>
      <c r="D24" s="283">
        <f>'[10]Unit Cost'!C24</f>
        <v>39242</v>
      </c>
      <c r="E24" s="286"/>
    </row>
    <row r="25" spans="1:5" x14ac:dyDescent="0.2">
      <c r="B25" s="295" t="s">
        <v>4</v>
      </c>
      <c r="C25" s="297">
        <f>SUM(C7:C24)</f>
        <v>3721325448.9988556</v>
      </c>
      <c r="D25" s="296">
        <f>SUM(D7:D24)</f>
        <v>71997861</v>
      </c>
    </row>
    <row r="26" spans="1:5" x14ac:dyDescent="0.2">
      <c r="B26" s="295"/>
      <c r="C26" s="282"/>
      <c r="D26" s="294"/>
    </row>
    <row r="28" spans="1:5" x14ac:dyDescent="0.2">
      <c r="A28" s="293"/>
      <c r="B28" s="293"/>
      <c r="C28" s="293"/>
      <c r="D28" s="293" t="s">
        <v>117</v>
      </c>
    </row>
    <row r="29" spans="1:5" x14ac:dyDescent="0.2">
      <c r="A29" s="292" t="s">
        <v>358</v>
      </c>
      <c r="B29" s="292" t="s">
        <v>357</v>
      </c>
      <c r="C29" s="292" t="s">
        <v>135</v>
      </c>
      <c r="D29" s="292" t="s">
        <v>152</v>
      </c>
    </row>
    <row r="30" spans="1:5" x14ac:dyDescent="0.2">
      <c r="A30" s="290" t="s">
        <v>355</v>
      </c>
      <c r="B30" s="291" t="s">
        <v>354</v>
      </c>
      <c r="C30" s="288">
        <f>SUMIF($A$7:$A$24,$A30,C$7:C$24)</f>
        <v>598281502.98483336</v>
      </c>
      <c r="D30" s="329">
        <f>C30/C$34</f>
        <v>0.16077107772065152</v>
      </c>
    </row>
    <row r="31" spans="1:5" x14ac:dyDescent="0.2">
      <c r="A31" s="290" t="s">
        <v>353</v>
      </c>
      <c r="B31" s="289" t="s">
        <v>352</v>
      </c>
      <c r="C31" s="288">
        <f>SUMIF($A$7:$A$24,$A31,C$7:C$24)</f>
        <v>1037672532.4422686</v>
      </c>
      <c r="D31" s="329">
        <f>C31/C$34</f>
        <v>0.27884487574754657</v>
      </c>
    </row>
    <row r="32" spans="1:5" x14ac:dyDescent="0.2">
      <c r="A32" s="286" t="s">
        <v>351</v>
      </c>
      <c r="B32" s="285" t="s">
        <v>350</v>
      </c>
      <c r="C32" s="288">
        <f>SUMIF($A$7:$A$24,$A32,C$7:C$24)-C33</f>
        <v>2080477923.8717537</v>
      </c>
      <c r="D32" s="329">
        <f>C32/C$34</f>
        <v>0.55906906084536701</v>
      </c>
    </row>
    <row r="33" spans="1:4" x14ac:dyDescent="0.2">
      <c r="A33" s="286"/>
      <c r="B33" s="328" t="s">
        <v>383</v>
      </c>
      <c r="C33" s="284">
        <f>'[11]Cost Summary'!$F$11</f>
        <v>4893489.6999993157</v>
      </c>
      <c r="D33" s="330">
        <f>C33/C$34</f>
        <v>1.3149856864348715E-3</v>
      </c>
    </row>
    <row r="34" spans="1:4" x14ac:dyDescent="0.2">
      <c r="B34" s="279" t="s">
        <v>4</v>
      </c>
      <c r="C34" s="282">
        <f>SUM(C30:C33)</f>
        <v>3721325448.9988551</v>
      </c>
      <c r="D34" s="314">
        <f>SUM(D30:D33)</f>
        <v>0.99999999999999989</v>
      </c>
    </row>
    <row r="35" spans="1:4" x14ac:dyDescent="0.2">
      <c r="B35" s="279" t="s">
        <v>96</v>
      </c>
      <c r="C35" s="281">
        <f>C34-C25</f>
        <v>0</v>
      </c>
    </row>
  </sheetData>
  <printOptions horizontalCentered="1"/>
  <pageMargins left="0.75" right="0.75" top="1" bottom="1" header="0.5" footer="0.5"/>
  <pageSetup scale="98" orientation="landscape" blackAndWhite="1" horizontalDpi="300" verticalDpi="300" r:id="rId1"/>
  <headerFooter alignWithMargins="0">
    <oddFooter>&amp;L&amp;F
 &amp;A&amp;C&amp;P&amp;R&amp;D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8"/>
  <sheetViews>
    <sheetView tabSelected="1" zoomScale="85" zoomScaleNormal="8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U19" sqref="U19"/>
    </sheetView>
  </sheetViews>
  <sheetFormatPr defaultRowHeight="12.75" x14ac:dyDescent="0.2"/>
  <cols>
    <col min="1" max="1" width="19.42578125" customWidth="1"/>
    <col min="2" max="2" width="38.42578125" customWidth="1"/>
    <col min="3" max="3" width="10.140625" customWidth="1"/>
    <col min="4" max="4" width="16.42578125" customWidth="1"/>
    <col min="5" max="12" width="16" customWidth="1"/>
    <col min="13" max="19" width="0" hidden="1" customWidth="1"/>
  </cols>
  <sheetData>
    <row r="1" spans="1:21" ht="18" x14ac:dyDescent="0.2">
      <c r="A1" s="1" t="s">
        <v>0</v>
      </c>
    </row>
    <row r="2" spans="1:21" ht="15" x14ac:dyDescent="0.2">
      <c r="A2" s="3"/>
      <c r="B2" s="3"/>
      <c r="C2" s="4"/>
    </row>
    <row r="3" spans="1:21" ht="38.25" x14ac:dyDescent="0.2">
      <c r="A3" s="5" t="s">
        <v>1</v>
      </c>
      <c r="B3" s="5" t="s">
        <v>2</v>
      </c>
      <c r="C3" s="5" t="s">
        <v>3</v>
      </c>
      <c r="D3" s="5" t="s">
        <v>4</v>
      </c>
      <c r="E3" s="6" t="s">
        <v>89</v>
      </c>
      <c r="F3" s="6" t="s">
        <v>90</v>
      </c>
      <c r="G3" s="6" t="s">
        <v>91</v>
      </c>
      <c r="H3" s="6" t="s">
        <v>92</v>
      </c>
      <c r="I3" s="6" t="s">
        <v>93</v>
      </c>
      <c r="J3" s="6" t="s">
        <v>94</v>
      </c>
      <c r="K3" s="6" t="s">
        <v>95</v>
      </c>
      <c r="L3" s="6" t="s">
        <v>131</v>
      </c>
      <c r="M3" s="6" t="s">
        <v>22</v>
      </c>
      <c r="N3" s="6" t="s">
        <v>22</v>
      </c>
      <c r="O3" s="6" t="s">
        <v>22</v>
      </c>
      <c r="P3" s="6" t="s">
        <v>22</v>
      </c>
      <c r="Q3" s="6" t="s">
        <v>22</v>
      </c>
      <c r="R3" s="6" t="s">
        <v>22</v>
      </c>
      <c r="S3" s="6" t="s">
        <v>22</v>
      </c>
      <c r="U3" s="7"/>
    </row>
    <row r="4" spans="1:21" x14ac:dyDescent="0.2"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21" x14ac:dyDescent="0.2">
      <c r="A5" s="8" t="s">
        <v>5</v>
      </c>
      <c r="B5" s="9"/>
      <c r="C5" s="9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21" x14ac:dyDescent="0.2"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21" x14ac:dyDescent="0.2">
      <c r="A7" s="10" t="s">
        <v>6</v>
      </c>
      <c r="B7" s="11" t="s">
        <v>7</v>
      </c>
      <c r="C7" s="11" t="s">
        <v>8</v>
      </c>
      <c r="E7" s="12">
        <f>IF(E8=0,0,E8/$D8)</f>
        <v>0.9295532727065331</v>
      </c>
      <c r="F7" s="12">
        <f t="shared" ref="F7:S7" si="0">IF(F8=0,0,F8/$D8)</f>
        <v>6.8249342705817825E-2</v>
      </c>
      <c r="G7" s="12">
        <f t="shared" si="0"/>
        <v>1.7353950873009671E-3</v>
      </c>
      <c r="H7" s="12">
        <f t="shared" si="0"/>
        <v>1.5730717405988646E-4</v>
      </c>
      <c r="I7" s="12">
        <f t="shared" si="0"/>
        <v>2.7458529043489113E-4</v>
      </c>
      <c r="J7" s="12">
        <f t="shared" si="0"/>
        <v>1.8058221511976763E-5</v>
      </c>
      <c r="K7" s="12">
        <f t="shared" si="0"/>
        <v>1.2038814341317842E-5</v>
      </c>
      <c r="L7" s="12">
        <f t="shared" si="0"/>
        <v>0</v>
      </c>
      <c r="M7" s="12">
        <f t="shared" si="0"/>
        <v>0</v>
      </c>
      <c r="N7" s="12">
        <f t="shared" si="0"/>
        <v>0</v>
      </c>
      <c r="O7" s="12">
        <f t="shared" si="0"/>
        <v>0</v>
      </c>
      <c r="P7" s="12">
        <f t="shared" si="0"/>
        <v>0</v>
      </c>
      <c r="Q7" s="12">
        <f t="shared" si="0"/>
        <v>0</v>
      </c>
      <c r="R7" s="12">
        <f t="shared" si="0"/>
        <v>0</v>
      </c>
      <c r="S7" s="12">
        <f t="shared" si="0"/>
        <v>0</v>
      </c>
    </row>
    <row r="8" spans="1:21" x14ac:dyDescent="0.2">
      <c r="A8" s="13" t="str">
        <f>IF(A7="~","~","")</f>
        <v/>
      </c>
      <c r="B8" s="14"/>
      <c r="D8" s="13">
        <f>SUM(E8:S8)</f>
        <v>830646.58333333337</v>
      </c>
      <c r="E8" s="18">
        <f>CUST!P7</f>
        <v>772130.25</v>
      </c>
      <c r="F8" s="18">
        <f>CUST!P8</f>
        <v>56691.083333333336</v>
      </c>
      <c r="G8" s="18">
        <f>CUST!P9</f>
        <v>1441.5</v>
      </c>
      <c r="H8" s="18">
        <f>CUST!P10</f>
        <v>130.66666666666666</v>
      </c>
      <c r="I8" s="18">
        <f>CUST!P11</f>
        <v>228.08333333333334</v>
      </c>
      <c r="J8" s="18">
        <f>CUST!P12</f>
        <v>15</v>
      </c>
      <c r="K8" s="18">
        <f>CUST!P13</f>
        <v>10</v>
      </c>
      <c r="L8" s="18">
        <v>0</v>
      </c>
      <c r="M8" s="15"/>
      <c r="N8" s="15"/>
      <c r="O8" s="15"/>
      <c r="P8" s="15"/>
      <c r="Q8" s="15"/>
      <c r="R8" s="15"/>
      <c r="S8" s="15"/>
    </row>
    <row r="9" spans="1:21" x14ac:dyDescent="0.2">
      <c r="A9" s="13" t="str">
        <f>IF(A8="~","~","")</f>
        <v/>
      </c>
    </row>
    <row r="10" spans="1:21" x14ac:dyDescent="0.2">
      <c r="A10" s="10" t="s">
        <v>9</v>
      </c>
      <c r="B10" s="11" t="s">
        <v>10</v>
      </c>
      <c r="C10" s="11" t="s">
        <v>8</v>
      </c>
      <c r="E10" s="12">
        <f t="shared" ref="E10:S10" si="1">IF(E11=0,0,E11/$D11)</f>
        <v>0.9298147427846144</v>
      </c>
      <c r="F10" s="12">
        <f t="shared" si="1"/>
        <v>6.8265429370686637E-2</v>
      </c>
      <c r="G10" s="12">
        <f t="shared" si="1"/>
        <v>1.6074330885153933E-3</v>
      </c>
      <c r="H10" s="12">
        <f t="shared" si="1"/>
        <v>3.4219920288659581E-5</v>
      </c>
      <c r="I10" s="12">
        <f t="shared" si="1"/>
        <v>2.7215373555086443E-4</v>
      </c>
      <c r="J10" s="12">
        <f t="shared" si="1"/>
        <v>6.0211003440456739E-6</v>
      </c>
      <c r="K10" s="12">
        <f t="shared" si="1"/>
        <v>0</v>
      </c>
      <c r="L10" s="12">
        <f t="shared" si="1"/>
        <v>0</v>
      </c>
      <c r="M10" s="12">
        <f t="shared" si="1"/>
        <v>0</v>
      </c>
      <c r="N10" s="12">
        <f t="shared" si="1"/>
        <v>0</v>
      </c>
      <c r="O10" s="12">
        <f t="shared" si="1"/>
        <v>0</v>
      </c>
      <c r="P10" s="12">
        <f t="shared" si="1"/>
        <v>0</v>
      </c>
      <c r="Q10" s="12">
        <f t="shared" si="1"/>
        <v>0</v>
      </c>
      <c r="R10" s="12">
        <f t="shared" si="1"/>
        <v>0</v>
      </c>
      <c r="S10" s="12">
        <f t="shared" si="1"/>
        <v>0</v>
      </c>
    </row>
    <row r="11" spans="1:21" x14ac:dyDescent="0.2">
      <c r="A11" s="13" t="str">
        <f>IF(A10="~","~","")</f>
        <v/>
      </c>
      <c r="B11" s="14"/>
      <c r="D11" s="13">
        <f>SUM(E11:S11)</f>
        <v>830413</v>
      </c>
      <c r="E11" s="18">
        <f>CUST!P17</f>
        <v>772130.25</v>
      </c>
      <c r="F11" s="18">
        <f>CUST!P18</f>
        <v>56688.5</v>
      </c>
      <c r="G11" s="18">
        <f>CUST!P19</f>
        <v>1334.8333333333333</v>
      </c>
      <c r="H11" s="18">
        <f>CUST!P20</f>
        <v>28.416666666666668</v>
      </c>
      <c r="I11" s="18">
        <f>CUST!P21</f>
        <v>226</v>
      </c>
      <c r="J11" s="18">
        <f>CUST!P22</f>
        <v>5</v>
      </c>
      <c r="K11" s="18">
        <v>0</v>
      </c>
      <c r="L11" s="18">
        <v>0</v>
      </c>
      <c r="M11" s="16"/>
      <c r="N11" s="16"/>
      <c r="O11" s="16"/>
      <c r="P11" s="16"/>
      <c r="Q11" s="16"/>
      <c r="R11" s="16"/>
      <c r="S11" s="16"/>
    </row>
    <row r="12" spans="1:21" x14ac:dyDescent="0.2">
      <c r="A12" s="13" t="str">
        <f>IF(A11="~","~","")</f>
        <v/>
      </c>
    </row>
    <row r="13" spans="1:21" x14ac:dyDescent="0.2">
      <c r="A13" s="17" t="s">
        <v>11</v>
      </c>
      <c r="B13" s="11" t="s">
        <v>10</v>
      </c>
      <c r="C13" s="11" t="s">
        <v>12</v>
      </c>
      <c r="E13" s="12">
        <f t="shared" ref="E13:S13" si="2">IF(E14=0,0,E14/$D14)</f>
        <v>0.9298147427846144</v>
      </c>
      <c r="F13" s="12">
        <f t="shared" si="2"/>
        <v>6.8265429370686637E-2</v>
      </c>
      <c r="G13" s="12">
        <f t="shared" si="2"/>
        <v>1.6074330885153933E-3</v>
      </c>
      <c r="H13" s="12">
        <f t="shared" si="2"/>
        <v>3.4219920288659581E-5</v>
      </c>
      <c r="I13" s="12">
        <f t="shared" si="2"/>
        <v>2.7215373555086443E-4</v>
      </c>
      <c r="J13" s="12">
        <f t="shared" si="2"/>
        <v>6.0211003440456739E-6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2">
        <f t="shared" si="2"/>
        <v>0</v>
      </c>
      <c r="P13" s="12">
        <f t="shared" si="2"/>
        <v>0</v>
      </c>
      <c r="Q13" s="12">
        <f t="shared" si="2"/>
        <v>0</v>
      </c>
      <c r="R13" s="12">
        <f t="shared" si="2"/>
        <v>0</v>
      </c>
      <c r="S13" s="12">
        <f t="shared" si="2"/>
        <v>0</v>
      </c>
    </row>
    <row r="14" spans="1:21" x14ac:dyDescent="0.2">
      <c r="A14" s="13" t="str">
        <f>IF(A13="~","~","")</f>
        <v/>
      </c>
      <c r="B14" s="14"/>
      <c r="D14" s="13">
        <f>SUM(E14:S14)</f>
        <v>830413</v>
      </c>
      <c r="E14" s="18">
        <f>E11</f>
        <v>772130.25</v>
      </c>
      <c r="F14" s="18">
        <f t="shared" ref="F14:S14" si="3">F11</f>
        <v>56688.5</v>
      </c>
      <c r="G14" s="18">
        <f t="shared" si="3"/>
        <v>1334.8333333333333</v>
      </c>
      <c r="H14" s="18">
        <f t="shared" si="3"/>
        <v>28.416666666666668</v>
      </c>
      <c r="I14" s="18">
        <f t="shared" si="3"/>
        <v>226</v>
      </c>
      <c r="J14" s="18">
        <f t="shared" si="3"/>
        <v>5</v>
      </c>
      <c r="K14" s="18">
        <f t="shared" si="3"/>
        <v>0</v>
      </c>
      <c r="L14" s="18">
        <f t="shared" si="3"/>
        <v>0</v>
      </c>
      <c r="M14" s="18"/>
      <c r="N14" s="18"/>
      <c r="O14" s="18">
        <f t="shared" si="3"/>
        <v>0</v>
      </c>
      <c r="P14" s="18">
        <f t="shared" si="3"/>
        <v>0</v>
      </c>
      <c r="Q14" s="18">
        <f t="shared" si="3"/>
        <v>0</v>
      </c>
      <c r="R14" s="18">
        <f t="shared" si="3"/>
        <v>0</v>
      </c>
      <c r="S14" s="18">
        <f t="shared" si="3"/>
        <v>0</v>
      </c>
    </row>
    <row r="15" spans="1:21" x14ac:dyDescent="0.2">
      <c r="A15" s="13" t="str">
        <f>IF(A14="~","~","")</f>
        <v/>
      </c>
    </row>
    <row r="16" spans="1:21" x14ac:dyDescent="0.2">
      <c r="A16" s="10" t="s">
        <v>13</v>
      </c>
      <c r="B16" s="11" t="s">
        <v>14</v>
      </c>
      <c r="C16" s="11" t="s">
        <v>8</v>
      </c>
      <c r="E16" s="12">
        <f t="shared" ref="E16:S16" ca="1" si="4">IF(E17=0,0,E17/$D17)</f>
        <v>0.79183624230164151</v>
      </c>
      <c r="F16" s="12">
        <f t="shared" ca="1" si="4"/>
        <v>0.20407436061598352</v>
      </c>
      <c r="G16" s="12">
        <f t="shared" ca="1" si="4"/>
        <v>4.0454196535351485E-3</v>
      </c>
      <c r="H16" s="12">
        <f t="shared" ca="1" si="4"/>
        <v>2.2960535137603488E-5</v>
      </c>
      <c r="I16" s="12">
        <f t="shared" ca="1" si="4"/>
        <v>1.336338198979316E-5</v>
      </c>
      <c r="J16" s="12">
        <f t="shared" ca="1" si="4"/>
        <v>0</v>
      </c>
      <c r="K16" s="12">
        <f t="shared" ca="1" si="4"/>
        <v>7.6535117125344971E-6</v>
      </c>
      <c r="L16" s="12">
        <f t="shared" si="4"/>
        <v>0</v>
      </c>
      <c r="M16" s="12">
        <f t="shared" si="4"/>
        <v>0</v>
      </c>
      <c r="N16" s="12">
        <f t="shared" si="4"/>
        <v>0</v>
      </c>
      <c r="O16" s="12">
        <f t="shared" si="4"/>
        <v>0</v>
      </c>
      <c r="P16" s="12">
        <f t="shared" si="4"/>
        <v>0</v>
      </c>
      <c r="Q16" s="12">
        <f t="shared" si="4"/>
        <v>0</v>
      </c>
      <c r="R16" s="12">
        <f t="shared" si="4"/>
        <v>0</v>
      </c>
      <c r="S16" s="12">
        <f t="shared" si="4"/>
        <v>0</v>
      </c>
    </row>
    <row r="17" spans="1:19" x14ac:dyDescent="0.2">
      <c r="A17" s="13" t="str">
        <f>IF(A16="~","~","")</f>
        <v/>
      </c>
      <c r="B17" s="14"/>
      <c r="D17" s="13">
        <f ca="1">SUM(E17:S17)</f>
        <v>195367310.60999998</v>
      </c>
      <c r="E17" s="15">
        <f ca="1">OFFSET(MTRS!$B$27,COLUMN(E17)-5,0)</f>
        <v>154698917.102</v>
      </c>
      <c r="F17" s="15">
        <f ca="1">OFFSET(MTRS!$B$27,COLUMN(F17)-5,0)</f>
        <v>39869458.998000003</v>
      </c>
      <c r="G17" s="15">
        <f ca="1">OFFSET(MTRS!$B$27,COLUMN(G17)-5,0)</f>
        <v>790342.75799999991</v>
      </c>
      <c r="H17" s="15">
        <f ca="1">OFFSET(MTRS!$B$27,COLUMN(H17)-5,0)</f>
        <v>4485.7379999999994</v>
      </c>
      <c r="I17" s="15">
        <f ca="1">OFFSET(MTRS!$B$27,COLUMN(I17)-5,0)</f>
        <v>2610.768</v>
      </c>
      <c r="J17" s="15">
        <f ca="1">OFFSET(MTRS!$B$27,COLUMN(J17)-5,0)</f>
        <v>0</v>
      </c>
      <c r="K17" s="15">
        <f ca="1">OFFSET(MTRS!$B$27,COLUMN(K17)-5,0)</f>
        <v>1495.2459999999999</v>
      </c>
      <c r="L17" s="15">
        <v>0</v>
      </c>
      <c r="M17" s="15"/>
      <c r="N17" s="15"/>
      <c r="O17" s="19"/>
      <c r="P17" s="19"/>
      <c r="Q17" s="19"/>
      <c r="R17" s="19"/>
      <c r="S17" s="19"/>
    </row>
    <row r="18" spans="1:19" x14ac:dyDescent="0.2">
      <c r="A18" s="13" t="str">
        <f>IF(A17="~","~","")</f>
        <v/>
      </c>
    </row>
    <row r="19" spans="1:19" x14ac:dyDescent="0.2">
      <c r="A19" s="10" t="s">
        <v>15</v>
      </c>
      <c r="B19" s="11" t="s">
        <v>16</v>
      </c>
      <c r="C19" s="11" t="s">
        <v>8</v>
      </c>
      <c r="E19" s="12">
        <f t="shared" ref="E19:S19" ca="1" si="5">IF(E20=0,0,E20/$D20)</f>
        <v>0.92798344577357006</v>
      </c>
      <c r="F19" s="12">
        <f t="shared" ca="1" si="5"/>
        <v>7.1381597596235649E-2</v>
      </c>
      <c r="G19" s="12">
        <f t="shared" ca="1" si="5"/>
        <v>6.27019672317025E-4</v>
      </c>
      <c r="H19" s="12">
        <f t="shared" ca="1" si="5"/>
        <v>3.4015533760417274E-6</v>
      </c>
      <c r="I19" s="12">
        <f t="shared" ca="1" si="5"/>
        <v>3.4015533760417274E-6</v>
      </c>
      <c r="J19" s="12">
        <f t="shared" ca="1" si="5"/>
        <v>0</v>
      </c>
      <c r="K19" s="12">
        <f t="shared" ca="1" si="5"/>
        <v>1.1338511253472423E-6</v>
      </c>
      <c r="L19" s="12">
        <f t="shared" si="5"/>
        <v>0</v>
      </c>
      <c r="M19" s="12">
        <f t="shared" si="5"/>
        <v>0</v>
      </c>
      <c r="N19" s="12">
        <f t="shared" si="5"/>
        <v>0</v>
      </c>
      <c r="O19" s="12">
        <f t="shared" si="5"/>
        <v>0</v>
      </c>
      <c r="P19" s="12">
        <f t="shared" si="5"/>
        <v>0</v>
      </c>
      <c r="Q19" s="12">
        <f t="shared" si="5"/>
        <v>0</v>
      </c>
      <c r="R19" s="12">
        <f t="shared" si="5"/>
        <v>0</v>
      </c>
      <c r="S19" s="12">
        <f t="shared" si="5"/>
        <v>0</v>
      </c>
    </row>
    <row r="20" spans="1:19" x14ac:dyDescent="0.2">
      <c r="A20" s="13" t="str">
        <f>IF(A19="~","~","")</f>
        <v/>
      </c>
      <c r="B20" s="14"/>
      <c r="D20" s="13">
        <f ca="1">SUM(E20:S20)</f>
        <v>39708916.79999999</v>
      </c>
      <c r="E20" s="15">
        <f ca="1">OFFSET(MTRS!$C$27,COLUMN(E20)-5,0)</f>
        <v>36849217.439999998</v>
      </c>
      <c r="F20" s="15">
        <f ca="1">OFFSET(MTRS!$C$27,COLUMN(F20)-5,0)</f>
        <v>2834485.9200000004</v>
      </c>
      <c r="G20" s="15">
        <f ca="1">OFFSET(MTRS!$C$27,COLUMN(G20)-5,0)</f>
        <v>24898.272000000004</v>
      </c>
      <c r="H20" s="15">
        <f ca="1">OFFSET(MTRS!$C$27,COLUMN(H20)-5,0)</f>
        <v>135.07200000000003</v>
      </c>
      <c r="I20" s="15">
        <f ca="1">OFFSET(MTRS!$C$27,COLUMN(I20)-5,0)</f>
        <v>135.07200000000003</v>
      </c>
      <c r="J20" s="15">
        <f ca="1">OFFSET(MTRS!$C$27,COLUMN(J20)-5,0)</f>
        <v>0</v>
      </c>
      <c r="K20" s="15">
        <f ca="1">OFFSET(MTRS!$C$27,COLUMN(K20)-5,0)</f>
        <v>45.024000000000008</v>
      </c>
      <c r="L20" s="15">
        <v>0</v>
      </c>
      <c r="M20" s="15"/>
      <c r="N20" s="15"/>
      <c r="O20" s="19"/>
      <c r="P20" s="19"/>
      <c r="Q20" s="19"/>
      <c r="R20" s="19"/>
      <c r="S20" s="19"/>
    </row>
    <row r="21" spans="1:19" x14ac:dyDescent="0.2">
      <c r="A21" s="13" t="str">
        <f>IF(A20="~","~","")</f>
        <v/>
      </c>
    </row>
    <row r="22" spans="1:19" x14ac:dyDescent="0.2">
      <c r="A22" s="10" t="s">
        <v>17</v>
      </c>
      <c r="B22" s="11" t="s">
        <v>18</v>
      </c>
      <c r="C22" s="11" t="s">
        <v>8</v>
      </c>
      <c r="E22" s="12">
        <f t="shared" ref="E22:S22" ca="1" si="6">IF(E23=0,0,E23/$D23)</f>
        <v>4.480485731817526E-3</v>
      </c>
      <c r="F22" s="12">
        <f t="shared" ca="1" si="6"/>
        <v>0.52421899415455353</v>
      </c>
      <c r="G22" s="12">
        <f t="shared" ca="1" si="6"/>
        <v>0.28401543538289964</v>
      </c>
      <c r="H22" s="12">
        <f t="shared" ca="1" si="6"/>
        <v>0.11328219005821592</v>
      </c>
      <c r="I22" s="12">
        <f t="shared" ca="1" si="6"/>
        <v>2.6504629773561505E-2</v>
      </c>
      <c r="J22" s="12">
        <f t="shared" ca="1" si="6"/>
        <v>2.8584970239406794E-2</v>
      </c>
      <c r="K22" s="12">
        <f t="shared" ca="1" si="6"/>
        <v>1.8913294659544909E-2</v>
      </c>
      <c r="L22" s="12">
        <f t="shared" si="6"/>
        <v>0</v>
      </c>
      <c r="M22" s="12">
        <f t="shared" si="6"/>
        <v>0</v>
      </c>
      <c r="N22" s="12">
        <f t="shared" si="6"/>
        <v>0</v>
      </c>
      <c r="O22" s="12">
        <f t="shared" si="6"/>
        <v>0</v>
      </c>
      <c r="P22" s="12">
        <f t="shared" si="6"/>
        <v>0</v>
      </c>
      <c r="Q22" s="12">
        <f t="shared" si="6"/>
        <v>0</v>
      </c>
      <c r="R22" s="12">
        <f t="shared" si="6"/>
        <v>0</v>
      </c>
      <c r="S22" s="12">
        <f t="shared" si="6"/>
        <v>0</v>
      </c>
    </row>
    <row r="23" spans="1:19" x14ac:dyDescent="0.2">
      <c r="A23" s="13" t="str">
        <f>IF(A22="~","~","")</f>
        <v/>
      </c>
      <c r="B23" s="14"/>
      <c r="D23" s="13">
        <f ca="1">SUM(E23:S23)</f>
        <v>37545089.990000002</v>
      </c>
      <c r="E23" s="15">
        <f ca="1">OFFSET(MTRS!$D$27,COLUMN(E23)-5,0)</f>
        <v>168220.24000000002</v>
      </c>
      <c r="F23" s="15">
        <f ca="1">OFFSET(MTRS!$D$27,COLUMN(F23)-5,0)</f>
        <v>19681849.309999999</v>
      </c>
      <c r="G23" s="15">
        <f ca="1">OFFSET(MTRS!$D$27,COLUMN(G23)-5,0)</f>
        <v>10663385.079999998</v>
      </c>
      <c r="H23" s="15">
        <f ca="1">OFFSET(MTRS!$D$27,COLUMN(H23)-5,0)</f>
        <v>4253190.0200000005</v>
      </c>
      <c r="I23" s="15">
        <f ca="1">OFFSET(MTRS!$D$27,COLUMN(I23)-5,0)</f>
        <v>995118.71000000008</v>
      </c>
      <c r="J23" s="15">
        <f ca="1">OFFSET(MTRS!$D$27,COLUMN(J23)-5,0)</f>
        <v>1073225.28</v>
      </c>
      <c r="K23" s="15">
        <f ca="1">OFFSET(MTRS!$D$27,COLUMN(K23)-5,0)</f>
        <v>710101.35000000009</v>
      </c>
      <c r="L23" s="15">
        <v>0</v>
      </c>
      <c r="M23" s="15"/>
      <c r="N23" s="15"/>
      <c r="O23" s="19"/>
      <c r="P23" s="19"/>
      <c r="Q23" s="19"/>
      <c r="R23" s="19"/>
      <c r="S23" s="19"/>
    </row>
    <row r="24" spans="1:19" x14ac:dyDescent="0.2">
      <c r="A24" s="20" t="str">
        <f>IF(A23="~","~","")</f>
        <v/>
      </c>
    </row>
    <row r="25" spans="1:19" x14ac:dyDescent="0.2">
      <c r="A25" s="10" t="s">
        <v>19</v>
      </c>
      <c r="B25" s="11" t="s">
        <v>20</v>
      </c>
      <c r="C25" s="11" t="s">
        <v>8</v>
      </c>
      <c r="E25" s="12">
        <f>IF(E26=0,0,E26/$D26)</f>
        <v>0.58097753083903425</v>
      </c>
      <c r="F25" s="12">
        <f>IF(F26=0,0,F26/$D26)</f>
        <v>0.41057429535625761</v>
      </c>
      <c r="G25" s="12">
        <f>IF(G26=0,0,G26/$D26)</f>
        <v>7.2940609170870753E-3</v>
      </c>
      <c r="H25" s="12">
        <f>IF(H26=0,0,H26/$D26)</f>
        <v>0</v>
      </c>
      <c r="I25" s="12">
        <f>IF(I26=0,0,I26/$D26)</f>
        <v>1.1541128876209577E-3</v>
      </c>
      <c r="J25" s="12">
        <f t="shared" ref="J25:S25" si="7">IF(J26=0,0,J26/$D26)</f>
        <v>0</v>
      </c>
      <c r="K25" s="12">
        <f t="shared" si="7"/>
        <v>0</v>
      </c>
      <c r="L25" s="12">
        <f t="shared" si="7"/>
        <v>0</v>
      </c>
      <c r="M25" s="12">
        <f t="shared" si="7"/>
        <v>0</v>
      </c>
      <c r="N25" s="12">
        <f t="shared" si="7"/>
        <v>0</v>
      </c>
      <c r="O25" s="12">
        <f t="shared" si="7"/>
        <v>0</v>
      </c>
      <c r="P25" s="12">
        <f t="shared" si="7"/>
        <v>0</v>
      </c>
      <c r="Q25" s="12">
        <f t="shared" si="7"/>
        <v>0</v>
      </c>
      <c r="R25" s="12">
        <f t="shared" si="7"/>
        <v>0</v>
      </c>
      <c r="S25" s="12">
        <f t="shared" si="7"/>
        <v>0</v>
      </c>
    </row>
    <row r="26" spans="1:19" x14ac:dyDescent="0.2">
      <c r="A26" s="13" t="str">
        <f>IF(A25="~","~","")</f>
        <v/>
      </c>
      <c r="B26" s="21"/>
      <c r="D26" s="13">
        <f>SUM(E26:S26)</f>
        <v>1329019.1255501867</v>
      </c>
      <c r="E26" s="19">
        <f>WtCust!H10</f>
        <v>772130.25</v>
      </c>
      <c r="F26" s="19">
        <f>WtCust!H12</f>
        <v>545661.09098775755</v>
      </c>
      <c r="G26" s="19">
        <f>WtCust!H15</f>
        <v>9693.9464617368576</v>
      </c>
      <c r="H26" s="19">
        <v>0</v>
      </c>
      <c r="I26" s="19">
        <f>WtCust!H16</f>
        <v>1533.8381006922061</v>
      </c>
      <c r="J26" s="19">
        <v>0</v>
      </c>
      <c r="K26" s="19">
        <v>0</v>
      </c>
      <c r="L26" s="19">
        <v>0</v>
      </c>
      <c r="M26" s="19"/>
      <c r="N26" s="19"/>
      <c r="O26" s="19"/>
      <c r="P26" s="19"/>
      <c r="Q26" s="19"/>
      <c r="R26" s="19"/>
      <c r="S26" s="19"/>
    </row>
    <row r="27" spans="1:19" x14ac:dyDescent="0.2">
      <c r="A27" s="13" t="str">
        <f>IF(A26="~","~","")</f>
        <v/>
      </c>
    </row>
    <row r="28" spans="1:19" x14ac:dyDescent="0.2">
      <c r="A28" s="10" t="s">
        <v>345</v>
      </c>
      <c r="B28" s="11" t="s">
        <v>21</v>
      </c>
      <c r="C28" s="11" t="s">
        <v>8</v>
      </c>
      <c r="E28" s="12">
        <f t="shared" ref="E28:S28" si="8">IF(E29=0,0,E29/$D29)</f>
        <v>0</v>
      </c>
      <c r="F28" s="12">
        <f t="shared" si="8"/>
        <v>0</v>
      </c>
      <c r="G28" s="12">
        <f t="shared" si="8"/>
        <v>0</v>
      </c>
      <c r="H28" s="12">
        <f t="shared" si="8"/>
        <v>0.76663342183447758</v>
      </c>
      <c r="I28" s="12">
        <f t="shared" si="8"/>
        <v>0</v>
      </c>
      <c r="J28" s="12">
        <f t="shared" si="8"/>
        <v>9.8661729908614257E-2</v>
      </c>
      <c r="K28" s="12">
        <f t="shared" si="8"/>
        <v>0.13470484825690809</v>
      </c>
      <c r="L28" s="12">
        <f t="shared" si="8"/>
        <v>0</v>
      </c>
      <c r="M28" s="12">
        <f t="shared" si="8"/>
        <v>0</v>
      </c>
      <c r="N28" s="12">
        <f t="shared" si="8"/>
        <v>0</v>
      </c>
      <c r="O28" s="12">
        <f t="shared" si="8"/>
        <v>0</v>
      </c>
      <c r="P28" s="12">
        <f t="shared" si="8"/>
        <v>0</v>
      </c>
      <c r="Q28" s="12">
        <f t="shared" si="8"/>
        <v>0</v>
      </c>
      <c r="R28" s="12">
        <f t="shared" si="8"/>
        <v>0</v>
      </c>
      <c r="S28" s="12">
        <f t="shared" si="8"/>
        <v>0</v>
      </c>
    </row>
    <row r="29" spans="1:19" x14ac:dyDescent="0.2">
      <c r="A29" s="20" t="str">
        <f>IF(A28="~","~","")</f>
        <v/>
      </c>
      <c r="B29" s="14"/>
      <c r="D29" s="13">
        <f>SUM(E29:S29)</f>
        <v>11129875.242888613</v>
      </c>
      <c r="E29" s="15">
        <v>0</v>
      </c>
      <c r="F29" s="15">
        <v>0</v>
      </c>
      <c r="G29" s="15">
        <v>0</v>
      </c>
      <c r="H29" s="15">
        <f>'Direct 380'!G12</f>
        <v>8532534.3420465346</v>
      </c>
      <c r="I29" s="15">
        <v>0</v>
      </c>
      <c r="J29" s="15">
        <f>'Direct 380'!G16</f>
        <v>1098092.7451304488</v>
      </c>
      <c r="K29" s="15">
        <f>'Direct 380'!G17</f>
        <v>1499248.1557116287</v>
      </c>
      <c r="L29" s="15">
        <v>0</v>
      </c>
      <c r="M29" s="15"/>
      <c r="N29" s="15"/>
      <c r="O29" s="19"/>
      <c r="P29" s="19"/>
      <c r="Q29" s="19"/>
      <c r="R29" s="19"/>
      <c r="S29" s="19"/>
    </row>
    <row r="30" spans="1:19" x14ac:dyDescent="0.2">
      <c r="A30" s="20" t="str">
        <f>IF(A29="~","~","")</f>
        <v/>
      </c>
    </row>
    <row r="31" spans="1:19" x14ac:dyDescent="0.2">
      <c r="A31" s="10" t="s">
        <v>346</v>
      </c>
      <c r="B31" s="11" t="s">
        <v>23</v>
      </c>
      <c r="C31" s="11" t="s">
        <v>8</v>
      </c>
      <c r="E31" s="12">
        <f t="shared" ref="E31:S31" si="9">IF(E32=0,0,E32/$D32)</f>
        <v>0.92998291504878872</v>
      </c>
      <c r="F31" s="12">
        <f t="shared" si="9"/>
        <v>6.8280887759036943E-2</v>
      </c>
      <c r="G31" s="12">
        <f t="shared" si="9"/>
        <v>1.7361971921742853E-3</v>
      </c>
      <c r="H31" s="12">
        <f t="shared" si="9"/>
        <v>0</v>
      </c>
      <c r="I31" s="12">
        <f t="shared" si="9"/>
        <v>0</v>
      </c>
      <c r="J31" s="12">
        <f t="shared" si="9"/>
        <v>0</v>
      </c>
      <c r="K31" s="12">
        <f t="shared" si="9"/>
        <v>0</v>
      </c>
      <c r="L31" s="12">
        <f t="shared" si="9"/>
        <v>0</v>
      </c>
      <c r="M31" s="12">
        <f t="shared" si="9"/>
        <v>0</v>
      </c>
      <c r="N31" s="12">
        <f t="shared" si="9"/>
        <v>0</v>
      </c>
      <c r="O31" s="12">
        <f t="shared" si="9"/>
        <v>0</v>
      </c>
      <c r="P31" s="12">
        <f t="shared" si="9"/>
        <v>0</v>
      </c>
      <c r="Q31" s="12">
        <f t="shared" si="9"/>
        <v>0</v>
      </c>
      <c r="R31" s="12">
        <f t="shared" si="9"/>
        <v>0</v>
      </c>
      <c r="S31" s="12">
        <f t="shared" si="9"/>
        <v>0</v>
      </c>
    </row>
    <row r="32" spans="1:19" x14ac:dyDescent="0.2">
      <c r="A32" s="13" t="str">
        <f>IF(A31="~","~","")</f>
        <v/>
      </c>
      <c r="B32" s="21"/>
      <c r="D32" s="13">
        <f>SUM(E32:S32)</f>
        <v>830262.83333333337</v>
      </c>
      <c r="E32" s="23">
        <f>CUST!P35</f>
        <v>772130.25</v>
      </c>
      <c r="F32" s="23">
        <f>CUST!P36</f>
        <v>56691.083333333336</v>
      </c>
      <c r="G32" s="23">
        <f>CUST!P37</f>
        <v>1441.5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9"/>
    </row>
    <row r="33" spans="1:19" x14ac:dyDescent="0.2">
      <c r="A33" s="13" t="str">
        <f>IF(A32="~","~","")</f>
        <v/>
      </c>
    </row>
    <row r="34" spans="1:19" x14ac:dyDescent="0.2">
      <c r="A34" s="24" t="s">
        <v>347</v>
      </c>
      <c r="B34" s="11" t="s">
        <v>24</v>
      </c>
      <c r="C34" s="11" t="s">
        <v>8</v>
      </c>
      <c r="E34" s="12">
        <f t="shared" ref="E34:S34" si="10">IF(E35=0,0,E35/$D35)</f>
        <v>0</v>
      </c>
      <c r="F34" s="12">
        <f t="shared" si="10"/>
        <v>0</v>
      </c>
      <c r="G34" s="12">
        <f t="shared" si="10"/>
        <v>0</v>
      </c>
      <c r="H34" s="12">
        <f t="shared" si="10"/>
        <v>0</v>
      </c>
      <c r="I34" s="12">
        <f t="shared" si="10"/>
        <v>0</v>
      </c>
      <c r="J34" s="12">
        <f t="shared" si="10"/>
        <v>0</v>
      </c>
      <c r="K34" s="12">
        <f t="shared" si="10"/>
        <v>0</v>
      </c>
      <c r="L34" s="12">
        <f t="shared" si="10"/>
        <v>1</v>
      </c>
      <c r="M34" s="12">
        <f t="shared" si="10"/>
        <v>0</v>
      </c>
      <c r="N34" s="12">
        <f t="shared" si="10"/>
        <v>0</v>
      </c>
      <c r="O34" s="12">
        <f t="shared" si="10"/>
        <v>0</v>
      </c>
      <c r="P34" s="12">
        <f t="shared" si="10"/>
        <v>0</v>
      </c>
      <c r="Q34" s="12">
        <f t="shared" si="10"/>
        <v>0</v>
      </c>
      <c r="R34" s="12">
        <f t="shared" si="10"/>
        <v>0</v>
      </c>
      <c r="S34" s="12">
        <f t="shared" si="10"/>
        <v>0</v>
      </c>
    </row>
    <row r="35" spans="1:19" x14ac:dyDescent="0.2">
      <c r="A35" s="13" t="str">
        <f>IF(A34="~","~","")</f>
        <v/>
      </c>
      <c r="B35" s="21"/>
      <c r="D35" s="13">
        <f>SUM(E35:S35)</f>
        <v>1</v>
      </c>
      <c r="E35" s="15"/>
      <c r="F35" s="15"/>
      <c r="G35" s="15"/>
      <c r="H35" s="15"/>
      <c r="I35" s="15"/>
      <c r="J35" s="15"/>
      <c r="K35" s="15"/>
      <c r="L35" s="15">
        <v>1</v>
      </c>
      <c r="M35" s="15"/>
      <c r="N35" s="15"/>
      <c r="O35" s="15"/>
      <c r="P35" s="19"/>
      <c r="Q35" s="19"/>
      <c r="R35" s="19"/>
      <c r="S35" s="19"/>
    </row>
    <row r="36" spans="1:19" x14ac:dyDescent="0.2">
      <c r="A36" s="20" t="str">
        <f>IF(A35="~","~","")</f>
        <v/>
      </c>
    </row>
    <row r="37" spans="1:19" x14ac:dyDescent="0.2">
      <c r="A37" s="11" t="s">
        <v>322</v>
      </c>
      <c r="B37" s="11" t="s">
        <v>34</v>
      </c>
      <c r="C37" s="16" t="s">
        <v>8</v>
      </c>
      <c r="E37" s="12">
        <f t="shared" ref="E37:S37" si="11">IF(E38=0,0,E38/$D38)</f>
        <v>0</v>
      </c>
      <c r="F37" s="12">
        <f t="shared" si="11"/>
        <v>0</v>
      </c>
      <c r="G37" s="12">
        <f t="shared" si="11"/>
        <v>0</v>
      </c>
      <c r="H37" s="12">
        <f t="shared" si="11"/>
        <v>0</v>
      </c>
      <c r="I37" s="12">
        <f t="shared" si="11"/>
        <v>0</v>
      </c>
      <c r="J37" s="12">
        <f t="shared" si="11"/>
        <v>0</v>
      </c>
      <c r="K37" s="12">
        <f t="shared" si="11"/>
        <v>0</v>
      </c>
      <c r="L37" s="12">
        <f t="shared" si="11"/>
        <v>1</v>
      </c>
      <c r="M37" s="12">
        <f t="shared" si="11"/>
        <v>0</v>
      </c>
      <c r="N37" s="12">
        <f t="shared" si="11"/>
        <v>0</v>
      </c>
      <c r="O37" s="12">
        <f t="shared" si="11"/>
        <v>0</v>
      </c>
      <c r="P37" s="12">
        <f t="shared" si="11"/>
        <v>0</v>
      </c>
      <c r="Q37" s="12">
        <f t="shared" si="11"/>
        <v>0</v>
      </c>
      <c r="R37" s="12">
        <f t="shared" si="11"/>
        <v>0</v>
      </c>
      <c r="S37" s="12">
        <f t="shared" si="11"/>
        <v>0</v>
      </c>
    </row>
    <row r="38" spans="1:19" x14ac:dyDescent="0.2">
      <c r="A38" s="13" t="str">
        <f>IF(A37="~","~","")</f>
        <v/>
      </c>
      <c r="B38" s="21"/>
      <c r="D38" s="13">
        <f>SUM(E38:S38)</f>
        <v>127083.78306</v>
      </c>
      <c r="E38" s="22">
        <f>'Direct Assignment'!B20</f>
        <v>0</v>
      </c>
      <c r="F38" s="22">
        <f>'Direct Assignment'!C20</f>
        <v>0</v>
      </c>
      <c r="G38" s="22">
        <f>'Direct Assignment'!D20</f>
        <v>0</v>
      </c>
      <c r="H38" s="22">
        <f>'Direct Assignment'!E20</f>
        <v>0</v>
      </c>
      <c r="I38" s="22">
        <f>'Direct Assignment'!F20</f>
        <v>0</v>
      </c>
      <c r="J38" s="22">
        <f>'Direct Assignment'!G20</f>
        <v>0</v>
      </c>
      <c r="K38" s="22">
        <f>'Direct Assignment'!H20</f>
        <v>0</v>
      </c>
      <c r="L38" s="22">
        <f>'Direct Assignment'!I20</f>
        <v>127083.78306</v>
      </c>
      <c r="M38" s="22"/>
      <c r="N38" s="22"/>
      <c r="O38" s="22"/>
      <c r="P38" s="22"/>
      <c r="Q38" s="22"/>
      <c r="R38" s="22"/>
      <c r="S38" s="22"/>
    </row>
    <row r="39" spans="1:19" x14ac:dyDescent="0.2">
      <c r="A39" s="13" t="str">
        <f>IF(A38="~","~","")</f>
        <v/>
      </c>
    </row>
    <row r="40" spans="1:19" x14ac:dyDescent="0.2">
      <c r="A40" s="11" t="s">
        <v>25</v>
      </c>
      <c r="B40" s="16" t="s">
        <v>26</v>
      </c>
      <c r="C40" s="16" t="s">
        <v>12</v>
      </c>
      <c r="E40" s="12">
        <f t="shared" ref="E40:S40" si="12">IF(E41=0,0,E41/$D41)</f>
        <v>6.3074053263342481E-3</v>
      </c>
      <c r="F40" s="12">
        <f t="shared" si="12"/>
        <v>0.56223313375461637</v>
      </c>
      <c r="G40" s="12">
        <f t="shared" si="12"/>
        <v>0.17181025273496281</v>
      </c>
      <c r="H40" s="12">
        <f t="shared" si="12"/>
        <v>9.0222319247201185E-3</v>
      </c>
      <c r="I40" s="12">
        <f t="shared" si="12"/>
        <v>2.7396676918762731E-2</v>
      </c>
      <c r="J40" s="12">
        <f t="shared" si="12"/>
        <v>1.3982791883907614E-3</v>
      </c>
      <c r="K40" s="12">
        <f t="shared" si="12"/>
        <v>0</v>
      </c>
      <c r="L40" s="12">
        <f t="shared" si="12"/>
        <v>0.22183202015221307</v>
      </c>
      <c r="M40" s="12">
        <f t="shared" si="12"/>
        <v>0</v>
      </c>
      <c r="N40" s="12">
        <f t="shared" si="12"/>
        <v>0</v>
      </c>
      <c r="O40" s="12">
        <f t="shared" si="12"/>
        <v>0</v>
      </c>
      <c r="P40" s="12">
        <f t="shared" si="12"/>
        <v>0</v>
      </c>
      <c r="Q40" s="12">
        <f t="shared" si="12"/>
        <v>0</v>
      </c>
      <c r="R40" s="12">
        <f t="shared" si="12"/>
        <v>0</v>
      </c>
      <c r="S40" s="12">
        <f t="shared" si="12"/>
        <v>0</v>
      </c>
    </row>
    <row r="41" spans="1:19" x14ac:dyDescent="0.2">
      <c r="A41" s="13" t="str">
        <f>IF(A40="~","~","")</f>
        <v/>
      </c>
      <c r="B41" s="21"/>
      <c r="D41" s="13">
        <f>SUM(E41:S41)</f>
        <v>1455992.060020817</v>
      </c>
      <c r="E41" s="22">
        <f>'Direct Assignment'!B8</f>
        <v>9183.5320744756755</v>
      </c>
      <c r="F41" s="22">
        <f>'Direct Assignment'!C8</f>
        <v>818606.97862734343</v>
      </c>
      <c r="G41" s="22">
        <f>'Direct Assignment'!D8</f>
        <v>250154.3638122757</v>
      </c>
      <c r="H41" s="22">
        <f>'Direct Assignment'!E8</f>
        <v>13136.298046058826</v>
      </c>
      <c r="I41" s="22">
        <f>'Direct Assignment'!F8</f>
        <v>39889.344064674115</v>
      </c>
      <c r="J41" s="22">
        <f>'Direct Assignment'!G8</f>
        <v>2035.8833959893009</v>
      </c>
      <c r="K41" s="22">
        <f>'Direct Assignment'!H8</f>
        <v>0</v>
      </c>
      <c r="L41" s="22">
        <f>'Direct Assignment'!I8</f>
        <v>322985.66000000009</v>
      </c>
      <c r="M41" s="22"/>
      <c r="N41" s="22"/>
      <c r="O41" s="22"/>
      <c r="P41" s="22"/>
      <c r="Q41" s="22"/>
      <c r="R41" s="22"/>
      <c r="S41" s="22"/>
    </row>
    <row r="42" spans="1:19" x14ac:dyDescent="0.2">
      <c r="A42" s="13" t="str">
        <f>IF(A41="~","~","")</f>
        <v/>
      </c>
    </row>
    <row r="43" spans="1:19" x14ac:dyDescent="0.2">
      <c r="A43" s="11" t="s">
        <v>27</v>
      </c>
      <c r="B43" s="16" t="s">
        <v>28</v>
      </c>
      <c r="C43" s="16" t="s">
        <v>29</v>
      </c>
      <c r="E43" s="12">
        <f t="shared" ref="E43:S43" si="13">IF(E44=0,0,E44/$D44)</f>
        <v>0</v>
      </c>
      <c r="F43" s="12">
        <f t="shared" si="13"/>
        <v>7.2991203194509536E-3</v>
      </c>
      <c r="G43" s="12">
        <f t="shared" si="13"/>
        <v>0.38553176081159779</v>
      </c>
      <c r="H43" s="12">
        <f t="shared" si="13"/>
        <v>0.47027498081238372</v>
      </c>
      <c r="I43" s="12">
        <f t="shared" si="13"/>
        <v>1.364266061628697E-2</v>
      </c>
      <c r="J43" s="12">
        <f t="shared" si="13"/>
        <v>5.1215854268385957E-2</v>
      </c>
      <c r="K43" s="12">
        <f t="shared" si="13"/>
        <v>7.2035623171894603E-2</v>
      </c>
      <c r="L43" s="12">
        <f t="shared" si="13"/>
        <v>0</v>
      </c>
      <c r="M43" s="12">
        <f t="shared" si="13"/>
        <v>0</v>
      </c>
      <c r="N43" s="12">
        <f t="shared" si="13"/>
        <v>0</v>
      </c>
      <c r="O43" s="12">
        <f t="shared" si="13"/>
        <v>0</v>
      </c>
      <c r="P43" s="12">
        <f t="shared" si="13"/>
        <v>0</v>
      </c>
      <c r="Q43" s="12">
        <f t="shared" si="13"/>
        <v>0</v>
      </c>
      <c r="R43" s="12">
        <f t="shared" si="13"/>
        <v>0</v>
      </c>
      <c r="S43" s="12">
        <f t="shared" si="13"/>
        <v>0</v>
      </c>
    </row>
    <row r="44" spans="1:19" x14ac:dyDescent="0.2">
      <c r="A44" s="13" t="str">
        <f>IF(A43="~","~","")</f>
        <v/>
      </c>
      <c r="B44" s="21"/>
      <c r="D44" s="13">
        <f>SUM(E44:S44)</f>
        <v>108368.92997918309</v>
      </c>
      <c r="E44" s="22">
        <f>'Direct Assignment'!B11</f>
        <v>0</v>
      </c>
      <c r="F44" s="22">
        <f>'Direct Assignment'!C11</f>
        <v>790.99785880821287</v>
      </c>
      <c r="G44" s="22">
        <f>'Direct Assignment'!D11</f>
        <v>41779.664392143204</v>
      </c>
      <c r="H44" s="22">
        <f>'Direct Assignment'!E11</f>
        <v>50963.19646661888</v>
      </c>
      <c r="I44" s="22">
        <f>'Direct Assignment'!F11</f>
        <v>1478.4405330561615</v>
      </c>
      <c r="J44" s="22">
        <f>'Direct Assignment'!G11</f>
        <v>5550.207325034763</v>
      </c>
      <c r="K44" s="22">
        <f>'Direct Assignment'!H11</f>
        <v>7806.4234035218651</v>
      </c>
      <c r="L44" s="22">
        <f>'Direct Assignment'!I11</f>
        <v>0</v>
      </c>
      <c r="M44" s="22"/>
      <c r="N44" s="22"/>
      <c r="O44" s="22"/>
      <c r="P44" s="22"/>
      <c r="Q44" s="22"/>
      <c r="R44" s="22"/>
      <c r="S44" s="22"/>
    </row>
    <row r="45" spans="1:19" x14ac:dyDescent="0.2">
      <c r="A45" s="20" t="str">
        <f>IF(A44="~","~","")</f>
        <v/>
      </c>
    </row>
    <row r="46" spans="1:19" x14ac:dyDescent="0.2">
      <c r="A46" s="11" t="s">
        <v>30</v>
      </c>
      <c r="B46" s="16" t="s">
        <v>31</v>
      </c>
      <c r="C46" s="16" t="s">
        <v>12</v>
      </c>
      <c r="E46" s="12">
        <f t="shared" ref="E46:S46" si="14">IF(E47=0,0,E47/$D47)</f>
        <v>0.87963708832018705</v>
      </c>
      <c r="F46" s="12">
        <f t="shared" si="14"/>
        <v>8.6062528116443937E-2</v>
      </c>
      <c r="G46" s="12">
        <f t="shared" si="14"/>
        <v>1.0394050761575081E-2</v>
      </c>
      <c r="H46" s="12">
        <f t="shared" si="14"/>
        <v>3.9655727516048414E-3</v>
      </c>
      <c r="I46" s="12">
        <f t="shared" si="14"/>
        <v>1.509399515918006E-3</v>
      </c>
      <c r="J46" s="12">
        <f t="shared" si="14"/>
        <v>8.21777215846063E-3</v>
      </c>
      <c r="K46" s="12">
        <f t="shared" si="14"/>
        <v>0</v>
      </c>
      <c r="L46" s="12">
        <f t="shared" si="14"/>
        <v>1.0213588375810344E-2</v>
      </c>
      <c r="M46" s="12">
        <f t="shared" si="14"/>
        <v>0</v>
      </c>
      <c r="N46" s="12">
        <f t="shared" si="14"/>
        <v>0</v>
      </c>
      <c r="O46" s="12">
        <f t="shared" si="14"/>
        <v>0</v>
      </c>
      <c r="P46" s="12">
        <f t="shared" si="14"/>
        <v>0</v>
      </c>
      <c r="Q46" s="12">
        <f t="shared" si="14"/>
        <v>0</v>
      </c>
      <c r="R46" s="12">
        <f t="shared" si="14"/>
        <v>0</v>
      </c>
      <c r="S46" s="12">
        <f t="shared" si="14"/>
        <v>0</v>
      </c>
    </row>
    <row r="47" spans="1:19" x14ac:dyDescent="0.2">
      <c r="A47" s="13" t="str">
        <f>IF(A46="~","~","")</f>
        <v/>
      </c>
      <c r="B47" s="21"/>
      <c r="D47" s="13">
        <f>SUM(E47:S47)</f>
        <v>5789976.6849422483</v>
      </c>
      <c r="E47" s="22">
        <f>'Direct Assignment'!B14</f>
        <v>5093078.2325843684</v>
      </c>
      <c r="F47" s="22">
        <f>'Direct Assignment'!C14</f>
        <v>498300.03124139714</v>
      </c>
      <c r="G47" s="22">
        <f>'Direct Assignment'!D14</f>
        <v>60181.311571625934</v>
      </c>
      <c r="H47" s="22">
        <f>'Direct Assignment'!E14</f>
        <v>22960.573774234308</v>
      </c>
      <c r="I47" s="22">
        <f>'Direct Assignment'!F14</f>
        <v>8739.3880054283709</v>
      </c>
      <c r="J47" s="22">
        <f>'Direct Assignment'!G14</f>
        <v>47580.709199654579</v>
      </c>
      <c r="K47" s="22">
        <f>'Direct Assignment'!H14</f>
        <v>0</v>
      </c>
      <c r="L47" s="22">
        <f>'Direct Assignment'!I14</f>
        <v>59136.438565539058</v>
      </c>
      <c r="M47" s="22">
        <v>0</v>
      </c>
      <c r="N47" s="22">
        <v>0</v>
      </c>
      <c r="O47" s="22">
        <v>0</v>
      </c>
      <c r="P47" s="22"/>
      <c r="Q47" s="22"/>
      <c r="R47" s="22"/>
      <c r="S47" s="22"/>
    </row>
    <row r="48" spans="1:19" x14ac:dyDescent="0.2">
      <c r="A48" s="13" t="str">
        <f>IF(A47="~","~","")</f>
        <v/>
      </c>
    </row>
    <row r="49" spans="1:20" x14ac:dyDescent="0.2">
      <c r="A49" s="11" t="s">
        <v>32</v>
      </c>
      <c r="B49" s="16" t="s">
        <v>33</v>
      </c>
      <c r="C49" s="16" t="s">
        <v>29</v>
      </c>
      <c r="E49" s="12">
        <f t="shared" ref="E49:S49" si="15">IF(E50=0,0,E50/$D50)</f>
        <v>0</v>
      </c>
      <c r="F49" s="12">
        <f t="shared" si="15"/>
        <v>1.9610179843533251E-4</v>
      </c>
      <c r="G49" s="12">
        <f t="shared" si="15"/>
        <v>4.7322257572672589E-2</v>
      </c>
      <c r="H49" s="12">
        <f t="shared" si="15"/>
        <v>0.16547259152049903</v>
      </c>
      <c r="I49" s="12">
        <f t="shared" si="15"/>
        <v>1.7045624964032989E-3</v>
      </c>
      <c r="J49" s="12">
        <f t="shared" si="15"/>
        <v>0.52135387796496235</v>
      </c>
      <c r="K49" s="12">
        <f t="shared" si="15"/>
        <v>0.2639506086470273</v>
      </c>
      <c r="L49" s="12">
        <f t="shared" si="15"/>
        <v>0</v>
      </c>
      <c r="M49" s="12">
        <f t="shared" si="15"/>
        <v>0</v>
      </c>
      <c r="N49" s="12">
        <f t="shared" si="15"/>
        <v>0</v>
      </c>
      <c r="O49" s="12">
        <f t="shared" si="15"/>
        <v>0</v>
      </c>
      <c r="P49" s="12">
        <f t="shared" si="15"/>
        <v>0</v>
      </c>
      <c r="Q49" s="12">
        <f t="shared" si="15"/>
        <v>0</v>
      </c>
      <c r="R49" s="12">
        <f t="shared" si="15"/>
        <v>0</v>
      </c>
      <c r="S49" s="12">
        <f t="shared" si="15"/>
        <v>0</v>
      </c>
    </row>
    <row r="50" spans="1:20" x14ac:dyDescent="0.2">
      <c r="A50" s="13" t="str">
        <f>IF(A49="~","~","")</f>
        <v/>
      </c>
      <c r="B50" s="21"/>
      <c r="D50" s="13">
        <f>SUM(E50:S50)</f>
        <v>281427.75823275198</v>
      </c>
      <c r="E50" s="22">
        <f>'Direct Assignment'!B17</f>
        <v>0</v>
      </c>
      <c r="F50" s="22">
        <f>'Direct Assignment'!C17</f>
        <v>55.188489519066614</v>
      </c>
      <c r="G50" s="22">
        <f>'Direct Assignment'!D17</f>
        <v>13317.796863190119</v>
      </c>
      <c r="H50" s="22">
        <f>'Direct Assignment'!E17</f>
        <v>46568.580480577926</v>
      </c>
      <c r="I50" s="22">
        <f>'Direct Assignment'!F17</f>
        <v>479.71120213040376</v>
      </c>
      <c r="J50" s="22">
        <f>'Direct Assignment'!G17</f>
        <v>146723.45312163112</v>
      </c>
      <c r="K50" s="22">
        <f>'Direct Assignment'!H17</f>
        <v>74283.028075703332</v>
      </c>
      <c r="L50" s="22">
        <f>'Direct Assignment'!I17</f>
        <v>0</v>
      </c>
      <c r="M50" s="22"/>
      <c r="N50" s="22"/>
      <c r="O50" s="22"/>
      <c r="P50" s="22"/>
      <c r="Q50" s="22"/>
      <c r="R50" s="22"/>
      <c r="S50" s="22"/>
    </row>
    <row r="51" spans="1:20" x14ac:dyDescent="0.2">
      <c r="A51" s="13" t="str">
        <f>IF(A50="~","~","")</f>
        <v/>
      </c>
    </row>
    <row r="52" spans="1:20" x14ac:dyDescent="0.2">
      <c r="A52" s="17" t="s">
        <v>35</v>
      </c>
      <c r="B52" s="16" t="s">
        <v>36</v>
      </c>
      <c r="C52" s="16" t="s">
        <v>29</v>
      </c>
      <c r="E52" s="12">
        <f t="shared" ref="E52:S52" si="16">IF(E53=0,0,E53/$D53)</f>
        <v>0</v>
      </c>
      <c r="F52" s="12">
        <f t="shared" si="16"/>
        <v>1.1059579022486183E-2</v>
      </c>
      <c r="G52" s="12">
        <f t="shared" si="16"/>
        <v>0.4566535854441624</v>
      </c>
      <c r="H52" s="12">
        <f t="shared" si="16"/>
        <v>0.43774527292186466</v>
      </c>
      <c r="I52" s="12">
        <f t="shared" si="16"/>
        <v>8.9190153407063301E-3</v>
      </c>
      <c r="J52" s="12">
        <f t="shared" si="16"/>
        <v>4.2811273635390196E-2</v>
      </c>
      <c r="K52" s="12">
        <f t="shared" si="16"/>
        <v>4.2811273635390196E-2</v>
      </c>
      <c r="L52" s="12">
        <f t="shared" si="16"/>
        <v>0</v>
      </c>
      <c r="M52" s="12">
        <f t="shared" si="16"/>
        <v>0</v>
      </c>
      <c r="N52" s="12">
        <f t="shared" si="16"/>
        <v>0</v>
      </c>
      <c r="O52" s="12">
        <f t="shared" si="16"/>
        <v>0</v>
      </c>
      <c r="P52" s="12">
        <f t="shared" si="16"/>
        <v>0</v>
      </c>
      <c r="Q52" s="12">
        <f t="shared" si="16"/>
        <v>0</v>
      </c>
      <c r="R52" s="12">
        <f t="shared" si="16"/>
        <v>0</v>
      </c>
      <c r="S52" s="12">
        <f t="shared" si="16"/>
        <v>0</v>
      </c>
    </row>
    <row r="53" spans="1:20" x14ac:dyDescent="0.2">
      <c r="A53" s="13" t="str">
        <f>IF(A52="~","~","")</f>
        <v/>
      </c>
      <c r="B53" s="21"/>
      <c r="D53" s="13">
        <f>SUM(E53:S53)</f>
        <v>233.58333333333584</v>
      </c>
      <c r="E53" s="25">
        <f t="shared" ref="E53:L53" si="17">E8-E11</f>
        <v>0</v>
      </c>
      <c r="F53" s="25">
        <f t="shared" si="17"/>
        <v>2.5833333333357587</v>
      </c>
      <c r="G53" s="25">
        <f t="shared" si="17"/>
        <v>106.66666666666674</v>
      </c>
      <c r="H53" s="25">
        <f t="shared" si="17"/>
        <v>102.24999999999999</v>
      </c>
      <c r="I53" s="25">
        <f t="shared" si="17"/>
        <v>2.0833333333333428</v>
      </c>
      <c r="J53" s="25">
        <f t="shared" si="17"/>
        <v>10</v>
      </c>
      <c r="K53" s="25">
        <f t="shared" si="17"/>
        <v>10</v>
      </c>
      <c r="L53" s="25">
        <f t="shared" si="17"/>
        <v>0</v>
      </c>
      <c r="M53" s="25"/>
      <c r="N53" s="25"/>
      <c r="O53" s="25">
        <f>O8-O11</f>
        <v>0</v>
      </c>
      <c r="P53" s="25">
        <f>P8-P11</f>
        <v>0</v>
      </c>
      <c r="Q53" s="25">
        <f>Q8-Q11</f>
        <v>0</v>
      </c>
      <c r="R53" s="25">
        <f>R8-R11</f>
        <v>0</v>
      </c>
      <c r="S53" s="25">
        <f>S8-S11</f>
        <v>0</v>
      </c>
    </row>
    <row r="54" spans="1:20" x14ac:dyDescent="0.2">
      <c r="A54" s="13" t="str">
        <f>IF(A53="~","~","")</f>
        <v/>
      </c>
    </row>
    <row r="55" spans="1:20" x14ac:dyDescent="0.2">
      <c r="A55" s="11" t="s">
        <v>37</v>
      </c>
      <c r="B55" s="16" t="s">
        <v>38</v>
      </c>
      <c r="C55" s="16" t="s">
        <v>12</v>
      </c>
      <c r="E55" s="12">
        <f t="shared" ref="E55:S55" si="18">IF(E56=0,0,E56/$D56)</f>
        <v>0.92085871968405586</v>
      </c>
      <c r="F55" s="12">
        <f t="shared" si="18"/>
        <v>7.6898842776211923E-2</v>
      </c>
      <c r="G55" s="12">
        <f t="shared" si="18"/>
        <v>1.8778867304630579E-3</v>
      </c>
      <c r="H55" s="12">
        <f t="shared" si="18"/>
        <v>6.7509409123896642E-6</v>
      </c>
      <c r="I55" s="12">
        <f t="shared" si="18"/>
        <v>3.5554955471918891E-4</v>
      </c>
      <c r="J55" s="12">
        <f t="shared" si="18"/>
        <v>2.2503136374632212E-6</v>
      </c>
      <c r="K55" s="12">
        <f t="shared" si="18"/>
        <v>0</v>
      </c>
      <c r="L55" s="12">
        <f t="shared" si="18"/>
        <v>0</v>
      </c>
      <c r="M55" s="12">
        <f t="shared" si="18"/>
        <v>0</v>
      </c>
      <c r="N55" s="12">
        <f t="shared" si="18"/>
        <v>0</v>
      </c>
      <c r="O55" s="12">
        <f t="shared" si="18"/>
        <v>0</v>
      </c>
      <c r="P55" s="12">
        <f t="shared" si="18"/>
        <v>0</v>
      </c>
      <c r="Q55" s="12">
        <f t="shared" si="18"/>
        <v>0</v>
      </c>
      <c r="R55" s="12">
        <f t="shared" si="18"/>
        <v>0</v>
      </c>
      <c r="S55" s="12">
        <f t="shared" si="18"/>
        <v>0</v>
      </c>
    </row>
    <row r="56" spans="1:20" x14ac:dyDescent="0.2">
      <c r="A56" s="13" t="str">
        <f>IF(A55="~","~","")</f>
        <v/>
      </c>
      <c r="B56" s="21"/>
      <c r="D56" s="13">
        <f>SUM(E56:S56)</f>
        <v>8016464.8706671298</v>
      </c>
      <c r="E56" s="22">
        <f>'Direct Assignment'!B23</f>
        <v>7382031.5771947438</v>
      </c>
      <c r="F56" s="22">
        <f>'Direct Assignment'!C23</f>
        <v>616456.87171045761</v>
      </c>
      <c r="G56" s="22">
        <f>'Direct Assignment'!D23</f>
        <v>15054.013005849058</v>
      </c>
      <c r="H56" s="22">
        <f>'Direct Assignment'!E23</f>
        <v>54.118680668121243</v>
      </c>
      <c r="I56" s="22">
        <f>'Direct Assignment'!F23</f>
        <v>2850.2505151877185</v>
      </c>
      <c r="J56" s="22">
        <f>'Direct Assignment'!G23</f>
        <v>18.039560222707081</v>
      </c>
      <c r="K56" s="22">
        <f>'Direct Assignment'!H23</f>
        <v>0</v>
      </c>
      <c r="L56" s="22">
        <f>'Direct Assignment'!I23</f>
        <v>0</v>
      </c>
      <c r="M56" s="22"/>
      <c r="N56" s="22"/>
      <c r="O56" s="22"/>
      <c r="P56" s="22"/>
      <c r="Q56" s="22"/>
      <c r="R56" s="22"/>
      <c r="S56" s="22"/>
    </row>
    <row r="57" spans="1:20" x14ac:dyDescent="0.2">
      <c r="A57" s="13" t="str">
        <f>IF(A56="~","~","")</f>
        <v/>
      </c>
    </row>
    <row r="58" spans="1:20" x14ac:dyDescent="0.2">
      <c r="A58" s="11" t="s">
        <v>39</v>
      </c>
      <c r="B58" s="16" t="s">
        <v>40</v>
      </c>
      <c r="C58" s="16" t="s">
        <v>29</v>
      </c>
      <c r="E58" s="12">
        <f t="shared" ref="E58:S58" si="19">IF(E59=0,0,E59/$D59)</f>
        <v>0</v>
      </c>
      <c r="F58" s="12">
        <f t="shared" si="19"/>
        <v>7.7922077922077931E-3</v>
      </c>
      <c r="G58" s="12">
        <f t="shared" si="19"/>
        <v>0.37922077922077924</v>
      </c>
      <c r="H58" s="12">
        <f t="shared" si="19"/>
        <v>0.46753246753246752</v>
      </c>
      <c r="I58" s="12">
        <f t="shared" si="19"/>
        <v>1.8181818181818181E-2</v>
      </c>
      <c r="J58" s="12">
        <f t="shared" si="19"/>
        <v>4.9350649350649353E-2</v>
      </c>
      <c r="K58" s="12">
        <f t="shared" si="19"/>
        <v>7.792207792207792E-2</v>
      </c>
      <c r="L58" s="12">
        <f t="shared" si="19"/>
        <v>0</v>
      </c>
      <c r="M58" s="12">
        <f t="shared" si="19"/>
        <v>0</v>
      </c>
      <c r="N58" s="12">
        <f t="shared" si="19"/>
        <v>0</v>
      </c>
      <c r="O58" s="12">
        <f t="shared" si="19"/>
        <v>0</v>
      </c>
      <c r="P58" s="12">
        <f t="shared" si="19"/>
        <v>0</v>
      </c>
      <c r="Q58" s="12">
        <f t="shared" si="19"/>
        <v>0</v>
      </c>
      <c r="R58" s="12">
        <f t="shared" si="19"/>
        <v>0</v>
      </c>
      <c r="S58" s="12">
        <f t="shared" si="19"/>
        <v>0</v>
      </c>
    </row>
    <row r="59" spans="1:20" x14ac:dyDescent="0.2">
      <c r="A59" s="20" t="str">
        <f>IF(A58="~","~","")</f>
        <v/>
      </c>
      <c r="B59" s="26"/>
      <c r="D59" s="27">
        <f>SUM(E59:S59)</f>
        <v>3472.6153428711127</v>
      </c>
      <c r="E59" s="22">
        <f>'Direct Assignment'!B26</f>
        <v>0</v>
      </c>
      <c r="F59" s="22">
        <f>'Direct Assignment'!C26</f>
        <v>27.059340334060622</v>
      </c>
      <c r="G59" s="22">
        <f>'Direct Assignment'!D26</f>
        <v>1316.8878962576168</v>
      </c>
      <c r="H59" s="22">
        <f>'Direct Assignment'!E26</f>
        <v>1623.5604200436371</v>
      </c>
      <c r="I59" s="22">
        <f>'Direct Assignment'!F26</f>
        <v>63.138460779474777</v>
      </c>
      <c r="J59" s="22">
        <f>'Direct Assignment'!G26</f>
        <v>171.37582211571726</v>
      </c>
      <c r="K59" s="22">
        <f>'Direct Assignment'!H26</f>
        <v>270.59340334060619</v>
      </c>
      <c r="L59" s="22">
        <f>'Direct Assignment'!I26</f>
        <v>0</v>
      </c>
      <c r="M59" s="28"/>
      <c r="N59" s="28"/>
      <c r="O59" s="29"/>
      <c r="P59" s="29"/>
      <c r="Q59" s="29"/>
      <c r="R59" s="29"/>
      <c r="S59" s="29"/>
    </row>
    <row r="60" spans="1:20" x14ac:dyDescent="0.2">
      <c r="A60" s="20" t="str">
        <f>IF(A59="~","~","")</f>
        <v/>
      </c>
    </row>
    <row r="61" spans="1:20" x14ac:dyDescent="0.2">
      <c r="A61" s="10" t="s">
        <v>348</v>
      </c>
      <c r="B61" s="11" t="s">
        <v>41</v>
      </c>
      <c r="C61" s="11" t="s">
        <v>8</v>
      </c>
      <c r="E61" s="12">
        <f>IF(E62=0,0,E62/$D62)</f>
        <v>0.84945258744907004</v>
      </c>
      <c r="F61" s="12">
        <f>IF(F62=0,0,F62/$D62)</f>
        <v>9.4893678505428777E-2</v>
      </c>
      <c r="G61" s="12">
        <f t="shared" ref="G61:S61" si="20">IF(G62=0,0,G62/$D62)</f>
        <v>0</v>
      </c>
      <c r="H61" s="12">
        <f t="shared" si="20"/>
        <v>0</v>
      </c>
      <c r="I61" s="12">
        <f t="shared" si="20"/>
        <v>3.4116132989397018E-5</v>
      </c>
      <c r="J61" s="12">
        <f t="shared" si="20"/>
        <v>0</v>
      </c>
      <c r="K61" s="12">
        <f t="shared" si="20"/>
        <v>0</v>
      </c>
      <c r="L61" s="12">
        <f t="shared" si="20"/>
        <v>5.5619617912511743E-2</v>
      </c>
      <c r="M61" s="12">
        <f t="shared" si="20"/>
        <v>0</v>
      </c>
      <c r="N61" s="12">
        <f t="shared" si="20"/>
        <v>0</v>
      </c>
      <c r="O61" s="12">
        <f t="shared" si="20"/>
        <v>0</v>
      </c>
      <c r="P61" s="12">
        <f t="shared" si="20"/>
        <v>0</v>
      </c>
      <c r="Q61" s="12">
        <f t="shared" si="20"/>
        <v>0</v>
      </c>
      <c r="R61" s="12">
        <f t="shared" si="20"/>
        <v>0</v>
      </c>
      <c r="S61" s="12">
        <f t="shared" si="20"/>
        <v>0</v>
      </c>
    </row>
    <row r="62" spans="1:20" x14ac:dyDescent="0.2">
      <c r="A62" s="13" t="str">
        <f>IF(A61="~","~","")</f>
        <v/>
      </c>
      <c r="B62" s="21"/>
      <c r="D62" s="13">
        <f>SUM(E62:S62)</f>
        <v>4878337.18</v>
      </c>
      <c r="E62" s="15">
        <f>Uncollectible!B7</f>
        <v>4143916.1399999997</v>
      </c>
      <c r="F62" s="15">
        <f>Uncollectible!B8</f>
        <v>462923.36</v>
      </c>
      <c r="G62" s="15">
        <f>Uncollectible!B9</f>
        <v>0</v>
      </c>
      <c r="H62" s="15">
        <f>Uncollectible!B10</f>
        <v>0</v>
      </c>
      <c r="I62" s="15">
        <f>Uncollectible!B11</f>
        <v>166.43</v>
      </c>
      <c r="J62" s="15">
        <f>Uncollectible!B12</f>
        <v>0</v>
      </c>
      <c r="K62" s="15">
        <f>Uncollectible!B13</f>
        <v>0</v>
      </c>
      <c r="L62" s="15">
        <f>Uncollectible!B14</f>
        <v>271331.25</v>
      </c>
      <c r="M62" s="19"/>
      <c r="N62" s="19"/>
      <c r="O62" s="19"/>
      <c r="P62" s="19"/>
      <c r="Q62" s="19"/>
      <c r="R62" s="19"/>
      <c r="S62" s="19"/>
      <c r="T62" s="30"/>
    </row>
    <row r="63" spans="1:20" x14ac:dyDescent="0.2">
      <c r="A63" s="20" t="str">
        <f>IF(A62="~","~","")</f>
        <v/>
      </c>
    </row>
    <row r="64" spans="1:20" x14ac:dyDescent="0.2">
      <c r="A64" s="17" t="s">
        <v>349</v>
      </c>
      <c r="B64" s="16" t="s">
        <v>42</v>
      </c>
      <c r="C64" s="22" t="s">
        <v>8</v>
      </c>
      <c r="E64" s="12">
        <f t="shared" ref="E64:S64" si="21">IF(E65=0,0,E65/$D65)</f>
        <v>0.76234961982999894</v>
      </c>
      <c r="F64" s="12">
        <f t="shared" si="21"/>
        <v>0.21244217171304325</v>
      </c>
      <c r="G64" s="12">
        <f t="shared" si="21"/>
        <v>1.0939915764433202E-2</v>
      </c>
      <c r="H64" s="12">
        <f t="shared" si="21"/>
        <v>0</v>
      </c>
      <c r="I64" s="12">
        <f t="shared" si="21"/>
        <v>1.9047519341625285E-3</v>
      </c>
      <c r="J64" s="12">
        <f t="shared" si="21"/>
        <v>0</v>
      </c>
      <c r="K64" s="12">
        <f t="shared" si="21"/>
        <v>0</v>
      </c>
      <c r="L64" s="12">
        <f t="shared" si="21"/>
        <v>1.2363540758361961E-2</v>
      </c>
      <c r="M64" s="12">
        <f t="shared" si="21"/>
        <v>0</v>
      </c>
      <c r="N64" s="12">
        <f t="shared" si="21"/>
        <v>0</v>
      </c>
      <c r="O64" s="12">
        <f t="shared" si="21"/>
        <v>0</v>
      </c>
      <c r="P64" s="12">
        <f t="shared" si="21"/>
        <v>0</v>
      </c>
      <c r="Q64" s="12">
        <f t="shared" si="21"/>
        <v>0</v>
      </c>
      <c r="R64" s="12">
        <f t="shared" si="21"/>
        <v>0</v>
      </c>
      <c r="S64" s="12">
        <f t="shared" si="21"/>
        <v>0</v>
      </c>
    </row>
    <row r="65" spans="1:19" x14ac:dyDescent="0.2">
      <c r="A65" s="13" t="str">
        <f>IF(A64="~","~","")</f>
        <v/>
      </c>
      <c r="B65" s="21"/>
      <c r="D65" s="13">
        <f>SUM(E65:S65)</f>
        <v>5209602.2700000005</v>
      </c>
      <c r="E65" s="15">
        <f>Deposit!C6</f>
        <v>3971538.31</v>
      </c>
      <c r="F65" s="15">
        <f>Deposit!C7</f>
        <v>1106739.22</v>
      </c>
      <c r="G65" s="15">
        <f>Deposit!C8</f>
        <v>56992.61</v>
      </c>
      <c r="H65" s="15">
        <f>Deposit!C9</f>
        <v>0</v>
      </c>
      <c r="I65" s="15">
        <f>Deposit!C10</f>
        <v>9923</v>
      </c>
      <c r="J65" s="15">
        <f>Deposit!C11</f>
        <v>0</v>
      </c>
      <c r="K65" s="15">
        <f>Deposit!C12</f>
        <v>0</v>
      </c>
      <c r="L65" s="15">
        <f>Deposit!C13</f>
        <v>64409.13</v>
      </c>
      <c r="M65" s="22"/>
      <c r="N65" s="22"/>
      <c r="O65" s="22"/>
      <c r="P65" s="22"/>
      <c r="Q65" s="22"/>
      <c r="R65" s="22"/>
      <c r="S65" s="22"/>
    </row>
    <row r="66" spans="1:19" x14ac:dyDescent="0.2">
      <c r="A66" s="13" t="str">
        <f>IF(A65="~","~","")</f>
        <v/>
      </c>
    </row>
    <row r="67" spans="1:19" x14ac:dyDescent="0.2">
      <c r="A67" s="11" t="s">
        <v>43</v>
      </c>
      <c r="B67" s="11" t="s">
        <v>44</v>
      </c>
      <c r="C67" s="11" t="s">
        <v>29</v>
      </c>
      <c r="E67" s="12">
        <f t="shared" ref="E67:S67" si="22">IF(E68=0,0,E68/$D68)</f>
        <v>0</v>
      </c>
      <c r="F67" s="12">
        <f t="shared" si="22"/>
        <v>0</v>
      </c>
      <c r="G67" s="12">
        <f t="shared" si="22"/>
        <v>0</v>
      </c>
      <c r="H67" s="12">
        <f t="shared" si="22"/>
        <v>0</v>
      </c>
      <c r="I67" s="12">
        <f t="shared" si="22"/>
        <v>0</v>
      </c>
      <c r="J67" s="12">
        <f t="shared" si="22"/>
        <v>0</v>
      </c>
      <c r="K67" s="12">
        <f t="shared" si="22"/>
        <v>0</v>
      </c>
      <c r="L67" s="12">
        <f t="shared" si="22"/>
        <v>0</v>
      </c>
      <c r="M67" s="12">
        <f t="shared" si="22"/>
        <v>0</v>
      </c>
      <c r="N67" s="12">
        <f t="shared" si="22"/>
        <v>0</v>
      </c>
      <c r="O67" s="12">
        <f t="shared" si="22"/>
        <v>0</v>
      </c>
      <c r="P67" s="12">
        <f t="shared" si="22"/>
        <v>0</v>
      </c>
      <c r="Q67" s="12">
        <f t="shared" si="22"/>
        <v>0</v>
      </c>
      <c r="R67" s="12">
        <f t="shared" si="22"/>
        <v>0</v>
      </c>
      <c r="S67" s="12">
        <f t="shared" si="22"/>
        <v>0</v>
      </c>
    </row>
    <row r="68" spans="1:19" x14ac:dyDescent="0.2">
      <c r="A68" s="13" t="str">
        <f>IF(A67="~","~","")</f>
        <v/>
      </c>
      <c r="B68" s="21"/>
      <c r="D68" s="13">
        <f>SUM(E68:S68)</f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8"/>
      <c r="N68" s="18"/>
      <c r="O68" s="15"/>
      <c r="P68" s="19"/>
      <c r="Q68" s="19"/>
      <c r="R68" s="19"/>
      <c r="S68" s="19"/>
    </row>
    <row r="69" spans="1:19" x14ac:dyDescent="0.2">
      <c r="A69" s="20" t="str">
        <f>IF(A68="~","~","")</f>
        <v/>
      </c>
    </row>
    <row r="70" spans="1:19" x14ac:dyDescent="0.2">
      <c r="A70" s="16" t="s">
        <v>45</v>
      </c>
      <c r="B70" s="11" t="s">
        <v>46</v>
      </c>
      <c r="C70" s="22" t="s">
        <v>29</v>
      </c>
      <c r="E70" s="12">
        <f t="shared" ref="E70:S70" si="23">IF(E71=0,0,E71/$D71)</f>
        <v>0</v>
      </c>
      <c r="F70" s="12">
        <f t="shared" si="23"/>
        <v>0</v>
      </c>
      <c r="G70" s="12">
        <f t="shared" si="23"/>
        <v>0</v>
      </c>
      <c r="H70" s="12">
        <f t="shared" si="23"/>
        <v>0</v>
      </c>
      <c r="I70" s="12">
        <f t="shared" si="23"/>
        <v>0</v>
      </c>
      <c r="J70" s="12">
        <f t="shared" si="23"/>
        <v>0</v>
      </c>
      <c r="K70" s="12">
        <f t="shared" si="23"/>
        <v>0</v>
      </c>
      <c r="L70" s="12">
        <f t="shared" si="23"/>
        <v>0</v>
      </c>
      <c r="M70" s="12">
        <f t="shared" si="23"/>
        <v>0</v>
      </c>
      <c r="N70" s="12">
        <f t="shared" si="23"/>
        <v>0</v>
      </c>
      <c r="O70" s="12">
        <f t="shared" si="23"/>
        <v>0</v>
      </c>
      <c r="P70" s="12">
        <f t="shared" si="23"/>
        <v>0</v>
      </c>
      <c r="Q70" s="12">
        <f t="shared" si="23"/>
        <v>0</v>
      </c>
      <c r="R70" s="12">
        <f t="shared" si="23"/>
        <v>0</v>
      </c>
      <c r="S70" s="12">
        <f t="shared" si="23"/>
        <v>0</v>
      </c>
    </row>
    <row r="71" spans="1:19" x14ac:dyDescent="0.2">
      <c r="A71" s="13" t="str">
        <f>IF(A70="~","~","")</f>
        <v/>
      </c>
      <c r="B71" s="21"/>
      <c r="D71" s="13">
        <f>SUM(E71:S71)</f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22"/>
      <c r="N71" s="22"/>
      <c r="O71" s="22"/>
      <c r="P71" s="22"/>
      <c r="Q71" s="22"/>
      <c r="R71" s="22"/>
      <c r="S71" s="22"/>
    </row>
    <row r="72" spans="1:19" x14ac:dyDescent="0.2">
      <c r="A72" s="13" t="str">
        <f>IF(A71="~","~","")</f>
        <v/>
      </c>
    </row>
    <row r="73" spans="1:19" x14ac:dyDescent="0.2">
      <c r="A73" s="11" t="s">
        <v>47</v>
      </c>
      <c r="B73" s="11" t="s">
        <v>48</v>
      </c>
      <c r="C73" s="16" t="s">
        <v>12</v>
      </c>
      <c r="E73" s="12">
        <f t="shared" ref="E73:S73" si="24">IF(E74=0,0,E74/$D74)</f>
        <v>0.57957562765478099</v>
      </c>
      <c r="F73" s="12">
        <f t="shared" si="24"/>
        <v>0.29444011983838997</v>
      </c>
      <c r="G73" s="12">
        <f t="shared" si="24"/>
        <v>8.679094362956627E-2</v>
      </c>
      <c r="H73" s="12">
        <f t="shared" si="24"/>
        <v>1.0691686793876307E-2</v>
      </c>
      <c r="I73" s="12">
        <f t="shared" si="24"/>
        <v>1.367713852594663E-2</v>
      </c>
      <c r="J73" s="12">
        <f t="shared" si="24"/>
        <v>1.4824483557439838E-2</v>
      </c>
      <c r="K73" s="12">
        <f t="shared" si="24"/>
        <v>0</v>
      </c>
      <c r="L73" s="12">
        <f t="shared" si="24"/>
        <v>0</v>
      </c>
      <c r="M73" s="12">
        <f t="shared" si="24"/>
        <v>0</v>
      </c>
      <c r="N73" s="12">
        <f t="shared" si="24"/>
        <v>0</v>
      </c>
      <c r="O73" s="12">
        <f t="shared" si="24"/>
        <v>0</v>
      </c>
      <c r="P73" s="12">
        <f t="shared" si="24"/>
        <v>0</v>
      </c>
      <c r="Q73" s="12">
        <f t="shared" si="24"/>
        <v>0</v>
      </c>
      <c r="R73" s="12">
        <f t="shared" si="24"/>
        <v>0</v>
      </c>
      <c r="S73" s="12">
        <f t="shared" si="24"/>
        <v>0</v>
      </c>
    </row>
    <row r="74" spans="1:19" x14ac:dyDescent="0.2">
      <c r="A74" s="13" t="str">
        <f>IF(A73="~","~","")</f>
        <v/>
      </c>
      <c r="B74" s="21"/>
      <c r="D74" s="13">
        <f>SUM(E74:S74)</f>
        <v>799286.36755140801</v>
      </c>
      <c r="E74" s="15">
        <f>'Direct Assignment'!B29</f>
        <v>463246.89814951725</v>
      </c>
      <c r="F74" s="15">
        <f>'Direct Assignment'!C29</f>
        <v>235341.97384702798</v>
      </c>
      <c r="G74" s="15">
        <f>'Direct Assignment'!D29</f>
        <v>69370.818070035035</v>
      </c>
      <c r="H74" s="15">
        <f>'Direct Assignment'!E29</f>
        <v>8545.7195004747537</v>
      </c>
      <c r="I74" s="15">
        <f>'Direct Assignment'!F29</f>
        <v>10931.950370901301</v>
      </c>
      <c r="J74" s="15">
        <f>'Direct Assignment'!G29</f>
        <v>11849.007613451664</v>
      </c>
      <c r="K74" s="15">
        <f>'Direct Assignment'!H29</f>
        <v>0</v>
      </c>
      <c r="L74" s="15">
        <f>'Direct Assignment'!I29</f>
        <v>0</v>
      </c>
      <c r="M74" s="15"/>
      <c r="N74" s="15"/>
      <c r="O74" s="15"/>
      <c r="P74" s="19"/>
      <c r="Q74" s="19"/>
      <c r="R74" s="19"/>
      <c r="S74" s="19"/>
    </row>
    <row r="75" spans="1:19" x14ac:dyDescent="0.2">
      <c r="A75" s="13" t="str">
        <f>IF(A74="~","~","")</f>
        <v/>
      </c>
    </row>
    <row r="76" spans="1:19" x14ac:dyDescent="0.2">
      <c r="A76" s="11" t="s">
        <v>49</v>
      </c>
      <c r="B76" s="11" t="s">
        <v>50</v>
      </c>
      <c r="C76" s="16" t="s">
        <v>29</v>
      </c>
      <c r="E76" s="12">
        <f t="shared" ref="E76:S76" si="25">IF(E77=0,0,E77/$D77)</f>
        <v>0</v>
      </c>
      <c r="F76" s="12">
        <f t="shared" si="25"/>
        <v>2.1240418953942836E-3</v>
      </c>
      <c r="G76" s="12">
        <f t="shared" si="25"/>
        <v>0.13950699879452833</v>
      </c>
      <c r="H76" s="12">
        <f t="shared" si="25"/>
        <v>0.24856354198423689</v>
      </c>
      <c r="I76" s="12">
        <f t="shared" si="25"/>
        <v>4.9182064693781636E-3</v>
      </c>
      <c r="J76" s="12">
        <f t="shared" si="25"/>
        <v>0.39319706442893576</v>
      </c>
      <c r="K76" s="12">
        <f t="shared" si="25"/>
        <v>0.21169014642752654</v>
      </c>
      <c r="L76" s="12">
        <f t="shared" si="25"/>
        <v>0</v>
      </c>
      <c r="M76" s="12">
        <f t="shared" si="25"/>
        <v>0</v>
      </c>
      <c r="N76" s="12">
        <f t="shared" si="25"/>
        <v>0</v>
      </c>
      <c r="O76" s="12">
        <f t="shared" si="25"/>
        <v>0</v>
      </c>
      <c r="P76" s="12">
        <f t="shared" si="25"/>
        <v>0</v>
      </c>
      <c r="Q76" s="12">
        <f t="shared" si="25"/>
        <v>0</v>
      </c>
      <c r="R76" s="12">
        <f t="shared" si="25"/>
        <v>0</v>
      </c>
      <c r="S76" s="12">
        <f t="shared" si="25"/>
        <v>0</v>
      </c>
    </row>
    <row r="77" spans="1:19" x14ac:dyDescent="0.2">
      <c r="A77" s="13" t="str">
        <f>IF(A76="~","~","")</f>
        <v/>
      </c>
      <c r="B77" s="21"/>
      <c r="D77" s="13">
        <f>SUM(E77:S77)</f>
        <v>92481.453512402222</v>
      </c>
      <c r="E77" s="15">
        <f>'Direct Assignment'!B32</f>
        <v>0</v>
      </c>
      <c r="F77" s="15">
        <f>'Direct Assignment'!C32</f>
        <v>196.43448180730115</v>
      </c>
      <c r="G77" s="15">
        <f>'Direct Assignment'!D32</f>
        <v>12901.810023670923</v>
      </c>
      <c r="H77" s="15">
        <f>'Direct Assignment'!E32</f>
        <v>22987.517652893242</v>
      </c>
      <c r="I77" s="15">
        <f>'Direct Assignment'!F32</f>
        <v>454.8428829621925</v>
      </c>
      <c r="J77" s="15">
        <f>'Direct Assignment'!G32</f>
        <v>36363.436035197643</v>
      </c>
      <c r="K77" s="15">
        <f>'Direct Assignment'!H32</f>
        <v>19577.412435870916</v>
      </c>
      <c r="L77" s="15">
        <f>'Direct Assignment'!I32</f>
        <v>0</v>
      </c>
      <c r="M77" s="15"/>
      <c r="N77" s="15"/>
      <c r="O77" s="15"/>
      <c r="P77" s="19"/>
      <c r="Q77" s="19"/>
      <c r="R77" s="19"/>
      <c r="S77" s="19"/>
    </row>
    <row r="78" spans="1:19" x14ac:dyDescent="0.2">
      <c r="A78" s="13" t="str">
        <f>IF(A77="~","~","")</f>
        <v/>
      </c>
    </row>
    <row r="79" spans="1:19" x14ac:dyDescent="0.2">
      <c r="A79" s="11" t="s">
        <v>51</v>
      </c>
      <c r="B79" s="16" t="s">
        <v>52</v>
      </c>
      <c r="C79" s="16" t="s">
        <v>12</v>
      </c>
      <c r="E79" s="12">
        <f t="shared" ref="E79:S79" si="26">IF(E80=0,0,E80/$D80)</f>
        <v>0.57991381719571899</v>
      </c>
      <c r="F79" s="12">
        <f t="shared" si="26"/>
        <v>0.29423491164802479</v>
      </c>
      <c r="G79" s="12">
        <f t="shared" si="26"/>
        <v>8.6691163814522285E-2</v>
      </c>
      <c r="H79" s="12">
        <f t="shared" si="26"/>
        <v>1.0681008480228599E-2</v>
      </c>
      <c r="I79" s="12">
        <f t="shared" si="26"/>
        <v>1.3662703754833826E-2</v>
      </c>
      <c r="J79" s="12">
        <f t="shared" si="26"/>
        <v>1.4816395106671527E-2</v>
      </c>
      <c r="K79" s="12">
        <f t="shared" si="26"/>
        <v>0</v>
      </c>
      <c r="L79" s="12">
        <f t="shared" si="26"/>
        <v>0</v>
      </c>
      <c r="M79" s="12">
        <f t="shared" si="26"/>
        <v>0</v>
      </c>
      <c r="N79" s="12">
        <f t="shared" si="26"/>
        <v>0</v>
      </c>
      <c r="O79" s="12">
        <f t="shared" si="26"/>
        <v>0</v>
      </c>
      <c r="P79" s="12">
        <f t="shared" si="26"/>
        <v>0</v>
      </c>
      <c r="Q79" s="12">
        <f t="shared" si="26"/>
        <v>0</v>
      </c>
      <c r="R79" s="12">
        <f t="shared" si="26"/>
        <v>0</v>
      </c>
      <c r="S79" s="12">
        <f t="shared" si="26"/>
        <v>0</v>
      </c>
    </row>
    <row r="80" spans="1:19" x14ac:dyDescent="0.2">
      <c r="A80" s="13" t="str">
        <f>IF(A79="~","~","")</f>
        <v/>
      </c>
      <c r="B80" s="21"/>
      <c r="D80" s="13">
        <f>SUM(E80:S80)</f>
        <v>213764.86315897084</v>
      </c>
      <c r="E80" s="22">
        <f>'Direct Assignment'!B38</f>
        <v>123965.1977768393</v>
      </c>
      <c r="F80" s="22">
        <f>'Direct Assignment'!C38</f>
        <v>62897.08562503189</v>
      </c>
      <c r="G80" s="22">
        <f>'Direct Assignment'!D38</f>
        <v>18531.524769903281</v>
      </c>
      <c r="H80" s="22">
        <f>'Direct Assignment'!E38</f>
        <v>2283.2243161758734</v>
      </c>
      <c r="I80" s="22">
        <f>'Direct Assignment'!F38</f>
        <v>2920.6059985336096</v>
      </c>
      <c r="J80" s="22">
        <f>'Direct Assignment'!G38</f>
        <v>3167.2246724868842</v>
      </c>
      <c r="K80" s="22">
        <f>'Direct Assignment'!H38</f>
        <v>0</v>
      </c>
      <c r="L80" s="22">
        <f>'Direct Assignment'!I38</f>
        <v>0</v>
      </c>
      <c r="M80" s="22"/>
      <c r="N80" s="22"/>
      <c r="O80" s="22"/>
      <c r="P80" s="22"/>
      <c r="Q80" s="22"/>
      <c r="R80" s="22"/>
      <c r="S80" s="22"/>
    </row>
    <row r="81" spans="1:19" x14ac:dyDescent="0.2">
      <c r="A81" s="13" t="str">
        <f>IF(A80="~","~","")</f>
        <v/>
      </c>
    </row>
    <row r="82" spans="1:19" x14ac:dyDescent="0.2">
      <c r="A82" s="11" t="s">
        <v>53</v>
      </c>
      <c r="B82" s="16" t="s">
        <v>54</v>
      </c>
      <c r="C82" s="16" t="s">
        <v>29</v>
      </c>
      <c r="E82" s="12">
        <f t="shared" ref="E82:S82" si="27">IF(E83=0,0,E83/$D83)</f>
        <v>0</v>
      </c>
      <c r="F82" s="12">
        <f t="shared" si="27"/>
        <v>2.1218763637783815E-3</v>
      </c>
      <c r="G82" s="12">
        <f t="shared" si="27"/>
        <v>0.13940030592963806</v>
      </c>
      <c r="H82" s="12">
        <f t="shared" si="27"/>
        <v>0.24848079336920717</v>
      </c>
      <c r="I82" s="12">
        <f t="shared" si="27"/>
        <v>4.9155487700107796E-3</v>
      </c>
      <c r="J82" s="12">
        <f t="shared" si="27"/>
        <v>0.3933351280083755</v>
      </c>
      <c r="K82" s="12">
        <f t="shared" si="27"/>
        <v>0.21174634755899013</v>
      </c>
      <c r="L82" s="12">
        <f t="shared" si="27"/>
        <v>0</v>
      </c>
      <c r="M82" s="12">
        <f t="shared" si="27"/>
        <v>0</v>
      </c>
      <c r="N82" s="12">
        <f t="shared" si="27"/>
        <v>0</v>
      </c>
      <c r="O82" s="12">
        <f t="shared" si="27"/>
        <v>0</v>
      </c>
      <c r="P82" s="12">
        <f t="shared" si="27"/>
        <v>0</v>
      </c>
      <c r="Q82" s="12">
        <f t="shared" si="27"/>
        <v>0</v>
      </c>
      <c r="R82" s="12">
        <f t="shared" si="27"/>
        <v>0</v>
      </c>
      <c r="S82" s="12">
        <f t="shared" si="27"/>
        <v>0</v>
      </c>
    </row>
    <row r="83" spans="1:19" x14ac:dyDescent="0.2">
      <c r="A83" s="13" t="str">
        <f>IF(A82="~","~","")</f>
        <v/>
      </c>
      <c r="B83" s="21"/>
      <c r="D83" s="13">
        <f>SUM(E83:S83)</f>
        <v>24711.720680539755</v>
      </c>
      <c r="E83" s="22">
        <f>'Direct Assignment'!B41</f>
        <v>0</v>
      </c>
      <c r="F83" s="22">
        <f>'Direct Assignment'!C41</f>
        <v>52.435216020330728</v>
      </c>
      <c r="G83" s="22">
        <f>'Direct Assignment'!D41</f>
        <v>3444.8214229150053</v>
      </c>
      <c r="H83" s="22">
        <f>'Direct Assignment'!E41</f>
        <v>6140.3879602187626</v>
      </c>
      <c r="I83" s="22">
        <f>'Direct Assignment'!F41</f>
        <v>121.47166819607713</v>
      </c>
      <c r="J83" s="22">
        <f>'Direct Assignment'!G41</f>
        <v>9719.9878171873243</v>
      </c>
      <c r="K83" s="22">
        <f>'Direct Assignment'!H41</f>
        <v>5232.6165960022554</v>
      </c>
      <c r="L83" s="22">
        <f>'Direct Assignment'!I41</f>
        <v>0</v>
      </c>
      <c r="M83" s="22"/>
      <c r="N83" s="22"/>
      <c r="O83" s="22"/>
      <c r="P83" s="22"/>
      <c r="Q83" s="22"/>
      <c r="R83" s="22"/>
      <c r="S83" s="22"/>
    </row>
    <row r="84" spans="1:19" x14ac:dyDescent="0.2">
      <c r="B84" s="31"/>
      <c r="C84" s="32"/>
    </row>
    <row r="85" spans="1:19" x14ac:dyDescent="0.2">
      <c r="A85" s="8" t="s">
        <v>55</v>
      </c>
      <c r="B85" s="33"/>
      <c r="C85" s="33"/>
    </row>
    <row r="86" spans="1:19" x14ac:dyDescent="0.2">
      <c r="A86" s="13"/>
    </row>
    <row r="87" spans="1:19" x14ac:dyDescent="0.2">
      <c r="A87" s="17" t="s">
        <v>56</v>
      </c>
      <c r="B87" s="16" t="s">
        <v>57</v>
      </c>
      <c r="C87" s="16" t="s">
        <v>58</v>
      </c>
      <c r="E87" s="12">
        <f t="shared" ref="E87:S87" si="28">IF(E88=0,0,E88/$D88)</f>
        <v>0.9544633555457076</v>
      </c>
      <c r="F87" s="12">
        <f t="shared" si="28"/>
        <v>3.8081276242225494E-2</v>
      </c>
      <c r="G87" s="12">
        <f t="shared" si="28"/>
        <v>-3.456381878607629E-3</v>
      </c>
      <c r="H87" s="12">
        <f t="shared" si="28"/>
        <v>-2.8342422321951003E-2</v>
      </c>
      <c r="I87" s="12">
        <f t="shared" si="28"/>
        <v>-3.1925549223916912E-5</v>
      </c>
      <c r="J87" s="12">
        <f t="shared" si="28"/>
        <v>0</v>
      </c>
      <c r="K87" s="12">
        <f t="shared" si="28"/>
        <v>0</v>
      </c>
      <c r="L87" s="12">
        <f t="shared" si="28"/>
        <v>3.9286097961849474E-2</v>
      </c>
      <c r="M87" s="12">
        <f t="shared" si="28"/>
        <v>0</v>
      </c>
      <c r="N87" s="12">
        <f t="shared" si="28"/>
        <v>0</v>
      </c>
      <c r="O87" s="12">
        <f t="shared" si="28"/>
        <v>0</v>
      </c>
      <c r="P87" s="12">
        <f t="shared" si="28"/>
        <v>0</v>
      </c>
      <c r="Q87" s="12">
        <f t="shared" si="28"/>
        <v>0</v>
      </c>
      <c r="R87" s="12">
        <f t="shared" si="28"/>
        <v>0</v>
      </c>
      <c r="S87" s="12">
        <f t="shared" si="28"/>
        <v>0</v>
      </c>
    </row>
    <row r="88" spans="1:19" x14ac:dyDescent="0.2">
      <c r="A88" s="13" t="str">
        <f>IF(A87="~","~","")</f>
        <v/>
      </c>
      <c r="B88" s="21"/>
      <c r="D88" s="13">
        <f>SUM(E88:S88)</f>
        <v>3546060.0961769978</v>
      </c>
      <c r="E88" s="11">
        <f>OtherRev!H23</f>
        <v>3384584.4183638319</v>
      </c>
      <c r="F88" s="11">
        <f>OtherRev!H24</f>
        <v>135038.49409404895</v>
      </c>
      <c r="G88" s="11">
        <f>OtherRev!H25</f>
        <v>-12256.537856879801</v>
      </c>
      <c r="H88" s="11">
        <f>OtherRev!H26</f>
        <v>-100503.93282486666</v>
      </c>
      <c r="I88" s="11">
        <f>OtherRev!H27</f>
        <v>-113.20991615146629</v>
      </c>
      <c r="J88" s="11">
        <f>OtherRev!H28</f>
        <v>0</v>
      </c>
      <c r="K88" s="11">
        <f>OtherRev!H29</f>
        <v>0</v>
      </c>
      <c r="L88" s="11">
        <f>OtherRev!H30</f>
        <v>139310.8643170149</v>
      </c>
      <c r="M88" s="24"/>
      <c r="N88" s="24"/>
      <c r="O88" s="24"/>
      <c r="P88" s="24"/>
      <c r="Q88" s="22"/>
      <c r="R88" s="22"/>
      <c r="S88" s="22"/>
    </row>
    <row r="89" spans="1:19" x14ac:dyDescent="0.2">
      <c r="A89" s="13" t="str">
        <f>IF(A88="~","~","")</f>
        <v/>
      </c>
      <c r="D89" s="34"/>
    </row>
    <row r="90" spans="1:19" x14ac:dyDescent="0.2">
      <c r="A90" s="24" t="s">
        <v>59</v>
      </c>
      <c r="B90" s="11" t="s">
        <v>60</v>
      </c>
      <c r="C90" s="11" t="s">
        <v>58</v>
      </c>
      <c r="E90" s="12">
        <f t="shared" ref="E90:S90" si="29">IF(E91=0,0,E91/$D91)</f>
        <v>0.73710166311305159</v>
      </c>
      <c r="F90" s="12">
        <f t="shared" si="29"/>
        <v>0.21657174571336174</v>
      </c>
      <c r="G90" s="12">
        <f t="shared" si="29"/>
        <v>3.5762531318541166E-2</v>
      </c>
      <c r="H90" s="12">
        <f t="shared" si="29"/>
        <v>3.6253314796989276E-3</v>
      </c>
      <c r="I90" s="12">
        <f t="shared" si="29"/>
        <v>4.4290095435744695E-3</v>
      </c>
      <c r="J90" s="12">
        <f t="shared" si="29"/>
        <v>2.5097188317719558E-3</v>
      </c>
      <c r="K90" s="12">
        <f t="shared" si="29"/>
        <v>0</v>
      </c>
      <c r="L90" s="12">
        <f t="shared" si="29"/>
        <v>0</v>
      </c>
      <c r="M90" s="12">
        <f t="shared" si="29"/>
        <v>0</v>
      </c>
      <c r="N90" s="12">
        <f t="shared" si="29"/>
        <v>0</v>
      </c>
      <c r="O90" s="12">
        <f t="shared" si="29"/>
        <v>0</v>
      </c>
      <c r="P90" s="12">
        <f t="shared" si="29"/>
        <v>0</v>
      </c>
      <c r="Q90" s="12">
        <f t="shared" si="29"/>
        <v>0</v>
      </c>
      <c r="R90" s="12">
        <f t="shared" si="29"/>
        <v>0</v>
      </c>
      <c r="S90" s="12">
        <f t="shared" si="29"/>
        <v>0</v>
      </c>
    </row>
    <row r="91" spans="1:19" x14ac:dyDescent="0.2">
      <c r="A91" s="13" t="str">
        <f>IF(A90="~","~","")</f>
        <v/>
      </c>
      <c r="B91" s="21"/>
      <c r="D91" s="13">
        <f>SUM(E91:S91)</f>
        <v>428387393.84650224</v>
      </c>
      <c r="E91" s="15">
        <f>SUM('Proforma Rev'!F11:F13)</f>
        <v>315765060.46092266</v>
      </c>
      <c r="F91" s="15">
        <f>'Proforma Rev'!F14</f>
        <v>92776605.726934433</v>
      </c>
      <c r="G91" s="15">
        <f>'Proforma Rev'!F16</f>
        <v>15320217.588903766</v>
      </c>
      <c r="H91" s="15">
        <f>'Proforma Rev'!F19</f>
        <v>1553046.3044179073</v>
      </c>
      <c r="I91" s="15">
        <f>'Proforma Rev'!F21</f>
        <v>1897331.8556931536</v>
      </c>
      <c r="J91" s="15">
        <f>'Proforma Rev'!F23</f>
        <v>1075131.9096302763</v>
      </c>
      <c r="K91" s="15">
        <v>0</v>
      </c>
      <c r="L91" s="15">
        <v>0</v>
      </c>
      <c r="M91" s="15"/>
      <c r="N91" s="19"/>
      <c r="O91" s="19"/>
      <c r="P91" s="19"/>
      <c r="Q91" s="19"/>
      <c r="R91" s="19"/>
      <c r="S91" s="19"/>
    </row>
    <row r="92" spans="1:19" x14ac:dyDescent="0.2">
      <c r="A92" s="13" t="str">
        <f>IF(A91="~","~","")</f>
        <v/>
      </c>
    </row>
    <row r="93" spans="1:19" x14ac:dyDescent="0.2">
      <c r="A93" s="11" t="s">
        <v>61</v>
      </c>
      <c r="B93" s="11" t="s">
        <v>62</v>
      </c>
      <c r="C93" s="11" t="s">
        <v>58</v>
      </c>
      <c r="E93" s="12">
        <f t="shared" ref="E93:S93" si="30">IF(E94=0,0,E94/$D94)</f>
        <v>0.70152751200731622</v>
      </c>
      <c r="F93" s="12">
        <f t="shared" si="30"/>
        <v>0.20616450694021768</v>
      </c>
      <c r="G93" s="12">
        <f t="shared" si="30"/>
        <v>4.3222259385988698E-2</v>
      </c>
      <c r="H93" s="12">
        <f t="shared" si="30"/>
        <v>1.8868408910176014E-2</v>
      </c>
      <c r="I93" s="12">
        <f t="shared" si="30"/>
        <v>4.3728979481234571E-3</v>
      </c>
      <c r="J93" s="12">
        <f t="shared" si="30"/>
        <v>1.0226932850692325E-2</v>
      </c>
      <c r="K93" s="12">
        <f t="shared" si="30"/>
        <v>3.8195390570599764E-3</v>
      </c>
      <c r="L93" s="12">
        <f t="shared" si="30"/>
        <v>1.1797942900425571E-2</v>
      </c>
      <c r="M93" s="12">
        <f t="shared" si="30"/>
        <v>0</v>
      </c>
      <c r="N93" s="12">
        <f t="shared" si="30"/>
        <v>0</v>
      </c>
      <c r="O93" s="12">
        <f t="shared" si="30"/>
        <v>0</v>
      </c>
      <c r="P93" s="12">
        <f t="shared" si="30"/>
        <v>0</v>
      </c>
      <c r="Q93" s="12">
        <f t="shared" si="30"/>
        <v>0</v>
      </c>
      <c r="R93" s="12">
        <f t="shared" si="30"/>
        <v>0</v>
      </c>
      <c r="S93" s="12">
        <f t="shared" si="30"/>
        <v>0</v>
      </c>
    </row>
    <row r="94" spans="1:19" x14ac:dyDescent="0.2">
      <c r="A94" s="13" t="str">
        <f>IF(A93="~","~","")</f>
        <v/>
      </c>
      <c r="B94" s="21"/>
      <c r="D94" s="13">
        <f>SUM(E94:S94)</f>
        <v>450110729.88058317</v>
      </c>
      <c r="E94" s="25">
        <f>E100</f>
        <v>315765060.46092266</v>
      </c>
      <c r="F94" s="25">
        <f t="shared" ref="F94:K94" si="31">F100</f>
        <v>92796856.694331929</v>
      </c>
      <c r="G94" s="25">
        <f t="shared" si="31"/>
        <v>19454802.719315261</v>
      </c>
      <c r="H94" s="25">
        <f t="shared" si="31"/>
        <v>8492873.3062446248</v>
      </c>
      <c r="I94" s="25">
        <f t="shared" si="31"/>
        <v>1968288.2871231537</v>
      </c>
      <c r="J94" s="25">
        <f t="shared" si="31"/>
        <v>4603252.2098648353</v>
      </c>
      <c r="K94" s="25">
        <f t="shared" si="31"/>
        <v>1719215.5127806603</v>
      </c>
      <c r="L94" s="35">
        <f>'Proforma Rev'!F30</f>
        <v>5310380.6899999985</v>
      </c>
      <c r="M94" s="22"/>
      <c r="N94" s="22"/>
      <c r="O94" s="22"/>
      <c r="P94" s="22"/>
      <c r="Q94" s="22"/>
      <c r="R94" s="22"/>
      <c r="S94" s="22"/>
    </row>
    <row r="95" spans="1:19" x14ac:dyDescent="0.2">
      <c r="A95" s="13" t="str">
        <f>IF(A94="~","~","")</f>
        <v/>
      </c>
    </row>
    <row r="96" spans="1:19" x14ac:dyDescent="0.2">
      <c r="A96" s="11" t="s">
        <v>63</v>
      </c>
      <c r="B96" s="11" t="s">
        <v>64</v>
      </c>
      <c r="C96" s="11" t="s">
        <v>58</v>
      </c>
      <c r="E96" s="12">
        <f t="shared" ref="E96:S96" si="32">IF(E97=0,0,E97/$D97)</f>
        <v>0</v>
      </c>
      <c r="F96" s="12">
        <f t="shared" si="32"/>
        <v>1.2338404006444329E-3</v>
      </c>
      <c r="G96" s="12">
        <f t="shared" si="32"/>
        <v>0.2519098507084262</v>
      </c>
      <c r="H96" s="12">
        <f t="shared" si="32"/>
        <v>0.42282616727702577</v>
      </c>
      <c r="I96" s="12">
        <f t="shared" si="32"/>
        <v>4.3231965202165318E-3</v>
      </c>
      <c r="J96" s="12">
        <f t="shared" si="32"/>
        <v>0.21495947720999065</v>
      </c>
      <c r="K96" s="12">
        <f t="shared" si="32"/>
        <v>0.10474746788369639</v>
      </c>
      <c r="L96" s="12">
        <f t="shared" si="32"/>
        <v>0</v>
      </c>
      <c r="M96" s="12">
        <f t="shared" si="32"/>
        <v>0</v>
      </c>
      <c r="N96" s="12">
        <f t="shared" si="32"/>
        <v>0</v>
      </c>
      <c r="O96" s="12">
        <f t="shared" si="32"/>
        <v>0</v>
      </c>
      <c r="P96" s="12">
        <f t="shared" si="32"/>
        <v>0</v>
      </c>
      <c r="Q96" s="12">
        <f t="shared" si="32"/>
        <v>0</v>
      </c>
      <c r="R96" s="12">
        <f t="shared" si="32"/>
        <v>0</v>
      </c>
      <c r="S96" s="12">
        <f t="shared" si="32"/>
        <v>0</v>
      </c>
    </row>
    <row r="97" spans="1:19" x14ac:dyDescent="0.2">
      <c r="A97" s="13" t="str">
        <f>IF(A96="~","~","")</f>
        <v/>
      </c>
      <c r="B97" s="21"/>
      <c r="D97" s="13">
        <f>SUM(E97:S97)</f>
        <v>16412955.344080931</v>
      </c>
      <c r="E97" s="15">
        <v>0</v>
      </c>
      <c r="F97" s="15">
        <f>'Proforma Rev'!F15</f>
        <v>20250.967397500001</v>
      </c>
      <c r="G97" s="15">
        <f>'Proforma Rev'!F17</f>
        <v>4134585.1304114936</v>
      </c>
      <c r="H97" s="15">
        <f>'Proforma Rev'!F20</f>
        <v>6939827.0018267175</v>
      </c>
      <c r="I97" s="15">
        <f>'Proforma Rev'!F22</f>
        <v>70956.431430000011</v>
      </c>
      <c r="J97" s="15">
        <f>'Proforma Rev'!F24</f>
        <v>3528120.300234559</v>
      </c>
      <c r="K97" s="15">
        <f>'Proforma Rev'!F25</f>
        <v>1719215.5127806603</v>
      </c>
      <c r="L97" s="15">
        <v>0</v>
      </c>
      <c r="M97" s="15"/>
      <c r="N97" s="15"/>
      <c r="O97" s="15"/>
      <c r="P97" s="19"/>
      <c r="Q97" s="19"/>
      <c r="R97" s="19"/>
      <c r="S97" s="19"/>
    </row>
    <row r="98" spans="1:19" x14ac:dyDescent="0.2">
      <c r="A98" s="13" t="str">
        <f>IF(A97="~","~","")</f>
        <v/>
      </c>
    </row>
    <row r="99" spans="1:19" x14ac:dyDescent="0.2">
      <c r="A99" s="11" t="s">
        <v>65</v>
      </c>
      <c r="B99" s="11" t="s">
        <v>66</v>
      </c>
      <c r="C99" s="11" t="s">
        <v>58</v>
      </c>
      <c r="E99" s="12">
        <f t="shared" ref="E99:S99" si="33">IF(E100=0,0,E100/$D100)</f>
        <v>0.70990290595663874</v>
      </c>
      <c r="F99" s="12">
        <f t="shared" si="33"/>
        <v>0.20862586295895949</v>
      </c>
      <c r="G99" s="12">
        <f t="shared" si="33"/>
        <v>4.3738281129315125E-2</v>
      </c>
      <c r="H99" s="12">
        <f t="shared" si="33"/>
        <v>1.9093674997556469E-2</v>
      </c>
      <c r="I99" s="12">
        <f t="shared" si="33"/>
        <v>4.4251050852475906E-3</v>
      </c>
      <c r="J99" s="12">
        <f t="shared" si="33"/>
        <v>1.034903011708852E-2</v>
      </c>
      <c r="K99" s="12">
        <f t="shared" si="33"/>
        <v>3.8651397551939188E-3</v>
      </c>
      <c r="L99" s="12">
        <f t="shared" si="33"/>
        <v>0</v>
      </c>
      <c r="M99" s="12">
        <f t="shared" si="33"/>
        <v>0</v>
      </c>
      <c r="N99" s="12">
        <f t="shared" si="33"/>
        <v>0</v>
      </c>
      <c r="O99" s="12">
        <f t="shared" si="33"/>
        <v>0</v>
      </c>
      <c r="P99" s="12">
        <f t="shared" si="33"/>
        <v>0</v>
      </c>
      <c r="Q99" s="12">
        <f t="shared" si="33"/>
        <v>0</v>
      </c>
      <c r="R99" s="12">
        <f t="shared" si="33"/>
        <v>0</v>
      </c>
      <c r="S99" s="12">
        <f t="shared" si="33"/>
        <v>0</v>
      </c>
    </row>
    <row r="100" spans="1:19" x14ac:dyDescent="0.2">
      <c r="A100" s="13" t="str">
        <f>IF(A99="~","~","")</f>
        <v/>
      </c>
      <c r="B100" s="21"/>
      <c r="D100" s="13">
        <f>SUM(E100:S100)</f>
        <v>444800349.19058317</v>
      </c>
      <c r="E100" s="18">
        <f t="shared" ref="E100:L100" si="34">E91+E97</f>
        <v>315765060.46092266</v>
      </c>
      <c r="F100" s="18">
        <f t="shared" si="34"/>
        <v>92796856.694331929</v>
      </c>
      <c r="G100" s="18">
        <f t="shared" si="34"/>
        <v>19454802.719315261</v>
      </c>
      <c r="H100" s="18">
        <f t="shared" si="34"/>
        <v>8492873.3062446248</v>
      </c>
      <c r="I100" s="18">
        <f t="shared" si="34"/>
        <v>1968288.2871231537</v>
      </c>
      <c r="J100" s="18">
        <f t="shared" si="34"/>
        <v>4603252.2098648353</v>
      </c>
      <c r="K100" s="18">
        <f t="shared" si="34"/>
        <v>1719215.5127806603</v>
      </c>
      <c r="L100" s="18">
        <f t="shared" si="34"/>
        <v>0</v>
      </c>
      <c r="M100" s="18"/>
      <c r="N100" s="18"/>
      <c r="O100" s="18"/>
      <c r="P100" s="18"/>
      <c r="Q100" s="18"/>
      <c r="R100" s="18"/>
      <c r="S100" s="18"/>
    </row>
    <row r="101" spans="1:19" x14ac:dyDescent="0.2">
      <c r="A101" s="13" t="str">
        <f>IF(A100="~","~","")</f>
        <v/>
      </c>
      <c r="E101" s="21"/>
      <c r="F101" s="21"/>
      <c r="G101" s="21"/>
      <c r="H101" s="21"/>
      <c r="I101" s="21"/>
      <c r="J101" s="21"/>
      <c r="K101" s="21"/>
      <c r="L101" s="21"/>
    </row>
    <row r="102" spans="1:19" x14ac:dyDescent="0.2">
      <c r="A102" s="10" t="s">
        <v>344</v>
      </c>
      <c r="B102" s="11" t="s">
        <v>68</v>
      </c>
      <c r="C102" s="11" t="s">
        <v>58</v>
      </c>
      <c r="E102" s="12">
        <f t="shared" ref="E102:S102" si="35">IF(E103=0,0,E103/$D103)</f>
        <v>0.51483067134876725</v>
      </c>
      <c r="F102" s="12">
        <f t="shared" si="35"/>
        <v>0.19486513030823122</v>
      </c>
      <c r="G102" s="12">
        <f t="shared" si="35"/>
        <v>7.2244807973511335E-2</v>
      </c>
      <c r="H102" s="12">
        <f t="shared" si="35"/>
        <v>7.6024444342739098E-2</v>
      </c>
      <c r="I102" s="12">
        <f t="shared" si="35"/>
        <v>7.6376035955449959E-3</v>
      </c>
      <c r="J102" s="12">
        <f t="shared" si="35"/>
        <v>0.10328050666802253</v>
      </c>
      <c r="K102" s="12">
        <f t="shared" si="35"/>
        <v>3.111683576318346E-2</v>
      </c>
      <c r="L102" s="12">
        <f t="shared" si="35"/>
        <v>0</v>
      </c>
      <c r="M102" s="12">
        <f t="shared" si="35"/>
        <v>0</v>
      </c>
      <c r="N102" s="12">
        <f t="shared" si="35"/>
        <v>0</v>
      </c>
      <c r="O102" s="12">
        <f t="shared" si="35"/>
        <v>0</v>
      </c>
      <c r="P102" s="12">
        <f t="shared" si="35"/>
        <v>0</v>
      </c>
      <c r="Q102" s="12">
        <f t="shared" si="35"/>
        <v>0</v>
      </c>
      <c r="R102" s="12">
        <f t="shared" si="35"/>
        <v>0</v>
      </c>
      <c r="S102" s="12">
        <f t="shared" si="35"/>
        <v>0</v>
      </c>
    </row>
    <row r="103" spans="1:19" x14ac:dyDescent="0.2">
      <c r="A103" s="14" t="str">
        <f>IF(A102="~","~","")</f>
        <v/>
      </c>
      <c r="B103" s="14"/>
      <c r="D103" s="13">
        <f>SUM(E103:S103)</f>
        <v>1191987097.6690001</v>
      </c>
      <c r="E103" s="15">
        <f>'Demand Allocator'!D13</f>
        <v>613671517.73199999</v>
      </c>
      <c r="F103" s="15">
        <f>'Demand Allocator'!E13</f>
        <v>232276721.11300004</v>
      </c>
      <c r="G103" s="15">
        <f>'Demand Allocator'!F13</f>
        <v>86114878.978000015</v>
      </c>
      <c r="H103" s="15">
        <f>'Demand Allocator'!G13</f>
        <v>90620156.764000013</v>
      </c>
      <c r="I103" s="15">
        <f>'Demand Allocator'!H13</f>
        <v>9103924.943</v>
      </c>
      <c r="J103" s="15">
        <f>'Demand Allocator'!I13</f>
        <v>123109031.389</v>
      </c>
      <c r="K103" s="15">
        <f>'Demand Allocator'!J13</f>
        <v>37090866.75</v>
      </c>
      <c r="L103" s="15">
        <v>0</v>
      </c>
      <c r="M103" s="19"/>
      <c r="N103" s="19"/>
      <c r="O103" s="19"/>
      <c r="P103" s="19"/>
      <c r="Q103" s="19"/>
      <c r="R103" s="19"/>
      <c r="S103" s="19"/>
    </row>
    <row r="104" spans="1:19" x14ac:dyDescent="0.2">
      <c r="A104" s="2" t="str">
        <f>IF(A103="~","~","")</f>
        <v/>
      </c>
    </row>
    <row r="105" spans="1:19" x14ac:dyDescent="0.2">
      <c r="A105" s="17" t="s">
        <v>69</v>
      </c>
      <c r="B105" s="36" t="s">
        <v>70</v>
      </c>
      <c r="C105" s="11" t="s">
        <v>58</v>
      </c>
      <c r="E105" s="12">
        <f t="shared" ref="E105:S105" si="36">IF(E106=0,0,E106/$D106)</f>
        <v>0.64001654154484255</v>
      </c>
      <c r="F105" s="12">
        <f t="shared" si="36"/>
        <v>0.24221555027033681</v>
      </c>
      <c r="G105" s="12">
        <f t="shared" si="36"/>
        <v>6.8309699149652708E-2</v>
      </c>
      <c r="H105" s="12">
        <f t="shared" si="36"/>
        <v>1.6465780047590355E-2</v>
      </c>
      <c r="I105" s="12">
        <f t="shared" si="36"/>
        <v>9.1283889960498549E-3</v>
      </c>
      <c r="J105" s="12">
        <f t="shared" si="36"/>
        <v>2.3864039991527756E-2</v>
      </c>
      <c r="K105" s="12">
        <f t="shared" si="36"/>
        <v>0</v>
      </c>
      <c r="L105" s="12">
        <f t="shared" si="36"/>
        <v>0</v>
      </c>
      <c r="M105" s="12">
        <f t="shared" si="36"/>
        <v>0</v>
      </c>
      <c r="N105" s="12">
        <f t="shared" si="36"/>
        <v>0</v>
      </c>
      <c r="O105" s="12">
        <f t="shared" si="36"/>
        <v>0</v>
      </c>
      <c r="P105" s="12">
        <f t="shared" si="36"/>
        <v>0</v>
      </c>
      <c r="Q105" s="12">
        <f t="shared" si="36"/>
        <v>0</v>
      </c>
      <c r="R105" s="12">
        <f t="shared" si="36"/>
        <v>0</v>
      </c>
      <c r="S105" s="12">
        <f t="shared" si="36"/>
        <v>0</v>
      </c>
    </row>
    <row r="106" spans="1:19" x14ac:dyDescent="0.2">
      <c r="A106" s="14" t="str">
        <f>IF(A105="~","~","")</f>
        <v/>
      </c>
      <c r="B106" s="14"/>
      <c r="D106" s="13">
        <f>SUM(E106:S106)</f>
        <v>958836964.199</v>
      </c>
      <c r="E106" s="15">
        <f>'Demand Allocator'!D19</f>
        <v>613671517.73199999</v>
      </c>
      <c r="F106" s="15">
        <f>'Demand Allocator'!E19</f>
        <v>232245222.90300003</v>
      </c>
      <c r="G106" s="15">
        <f>'Demand Allocator'!F19</f>
        <v>65497864.558000013</v>
      </c>
      <c r="H106" s="15">
        <f>'Demand Allocator'!G19</f>
        <v>15787998.554000001</v>
      </c>
      <c r="I106" s="15">
        <f>'Demand Allocator'!H19</f>
        <v>8752636.7929999996</v>
      </c>
      <c r="J106" s="15">
        <f>'Demand Allocator'!I19</f>
        <v>22881723.659000002</v>
      </c>
      <c r="K106" s="15">
        <v>0</v>
      </c>
      <c r="L106" s="15">
        <v>0</v>
      </c>
      <c r="M106" s="15"/>
      <c r="N106" s="15"/>
      <c r="O106" s="37"/>
      <c r="P106" s="37"/>
      <c r="Q106" s="37"/>
      <c r="R106" s="37"/>
      <c r="S106" s="37"/>
    </row>
    <row r="107" spans="1:19" x14ac:dyDescent="0.2">
      <c r="A107" s="2" t="str">
        <f>IF(A106="~","~","")</f>
        <v/>
      </c>
    </row>
    <row r="108" spans="1:19" x14ac:dyDescent="0.2">
      <c r="A108" s="17" t="s">
        <v>75</v>
      </c>
      <c r="B108" s="11" t="s">
        <v>76</v>
      </c>
      <c r="C108" s="16" t="s">
        <v>58</v>
      </c>
      <c r="E108" s="12">
        <f t="shared" ref="E108:S108" si="37">IF(E109=0,0,E109/$D109)</f>
        <v>0.5687689847888856</v>
      </c>
      <c r="F108" s="12">
        <f t="shared" si="37"/>
        <v>0.21528096227406701</v>
      </c>
      <c r="G108" s="12">
        <f t="shared" si="37"/>
        <v>7.9813826902953827E-2</v>
      </c>
      <c r="H108" s="12">
        <f t="shared" si="37"/>
        <v>6.8358428882139152E-2</v>
      </c>
      <c r="I108" s="12">
        <f t="shared" si="37"/>
        <v>6.8674567335512112E-3</v>
      </c>
      <c r="J108" s="12">
        <f t="shared" si="37"/>
        <v>5.9595354731968343E-2</v>
      </c>
      <c r="K108" s="12">
        <f t="shared" si="37"/>
        <v>1.3149856864348715E-3</v>
      </c>
      <c r="L108" s="12">
        <f t="shared" si="37"/>
        <v>0</v>
      </c>
      <c r="M108" s="12">
        <f t="shared" si="37"/>
        <v>0</v>
      </c>
      <c r="N108" s="12">
        <f t="shared" si="37"/>
        <v>0</v>
      </c>
      <c r="O108" s="12">
        <f t="shared" si="37"/>
        <v>0</v>
      </c>
      <c r="P108" s="12">
        <f t="shared" si="37"/>
        <v>0</v>
      </c>
      <c r="Q108" s="12">
        <f t="shared" si="37"/>
        <v>0</v>
      </c>
      <c r="R108" s="12">
        <f t="shared" si="37"/>
        <v>0</v>
      </c>
      <c r="S108" s="12">
        <f t="shared" si="37"/>
        <v>0</v>
      </c>
    </row>
    <row r="109" spans="1:19" x14ac:dyDescent="0.2">
      <c r="A109" s="14" t="str">
        <f>IF(A108="~","~","")</f>
        <v/>
      </c>
      <c r="B109" s="21"/>
      <c r="D109" s="13">
        <f>SUM(E109:S109)</f>
        <v>650593532.08034873</v>
      </c>
      <c r="E109" s="42">
        <f>IF('Scenario Choice'!$B$3='Scenario Choice'!$A$7, 'Mains Allocator'!G23, 'Mains Allocator Old Method'!G19)</f>
        <v>370037422.7515552</v>
      </c>
      <c r="F109" s="42">
        <f>IF('Scenario Choice'!$B$3='Scenario Choice'!$A$7, 'Mains Allocator'!H23, 'Mains Allocator Old Method'!H19)</f>
        <v>140060401.63554156</v>
      </c>
      <c r="G109" s="42">
        <f>IF('Scenario Choice'!$B$3='Scenario Choice'!$A$7, 'Mains Allocator'!I23, 'Mains Allocator Old Method'!I19)</f>
        <v>51926359.553642295</v>
      </c>
      <c r="H109" s="42">
        <f>IF('Scenario Choice'!$B$3='Scenario Choice'!$A$7, 'Mains Allocator'!J23, 'Mains Allocator Old Method'!J19)</f>
        <v>44473551.693894237</v>
      </c>
      <c r="I109" s="42">
        <f>IF('Scenario Choice'!$B$3='Scenario Choice'!$A$7, 'Mains Allocator'!K23, 'Mains Allocator Old Method'!K19)</f>
        <v>4467922.932690057</v>
      </c>
      <c r="J109" s="42">
        <f>IF('Scenario Choice'!$B$3='Scenario Choice'!$A$7, 'Mains Allocator'!L23, 'Mains Allocator Old Method'!L19)</f>
        <v>38772352.330652609</v>
      </c>
      <c r="K109" s="42">
        <f>IF('Scenario Choice'!$B$3='Scenario Choice'!$A$7, 'Mains Allocator'!M23, 'Mains Allocator Old Method'!M19)</f>
        <v>855521.18237276492</v>
      </c>
      <c r="L109" s="42">
        <f>IF('Scenario Choice'!$B$3='Scenario Choice'!$A$7, 'Mains Allocator'!N23, 'Mains Allocator Old Method'!N19)</f>
        <v>0</v>
      </c>
      <c r="M109" s="24"/>
      <c r="N109" s="24"/>
      <c r="O109" s="24"/>
      <c r="P109" s="22"/>
      <c r="Q109" s="22"/>
      <c r="R109" s="22"/>
      <c r="S109" s="22"/>
    </row>
    <row r="110" spans="1:19" x14ac:dyDescent="0.2">
      <c r="A110" s="2" t="str">
        <f>IF(A109="~","~","")</f>
        <v/>
      </c>
    </row>
    <row r="111" spans="1:19" x14ac:dyDescent="0.2">
      <c r="A111" s="20"/>
    </row>
    <row r="112" spans="1:19" x14ac:dyDescent="0.2">
      <c r="A112" s="43" t="s">
        <v>77</v>
      </c>
      <c r="B112" s="44"/>
      <c r="C112" s="33"/>
    </row>
    <row r="113" spans="1:19" x14ac:dyDescent="0.2">
      <c r="A113" s="20"/>
    </row>
    <row r="114" spans="1:19" x14ac:dyDescent="0.2">
      <c r="A114" s="17" t="s">
        <v>78</v>
      </c>
      <c r="B114" s="11" t="s">
        <v>79</v>
      </c>
      <c r="C114" s="11" t="s">
        <v>80</v>
      </c>
      <c r="E114" s="12">
        <f t="shared" ref="E114:S114" si="38">IF(E115=0,0,E115/$D115)</f>
        <v>0.63901059236799995</v>
      </c>
      <c r="F114" s="12">
        <f t="shared" si="38"/>
        <v>0.23108669744508853</v>
      </c>
      <c r="G114" s="12">
        <f t="shared" si="38"/>
        <v>4.9872964865189072E-2</v>
      </c>
      <c r="H114" s="12">
        <f t="shared" si="38"/>
        <v>2.8767550338526786E-2</v>
      </c>
      <c r="I114" s="12">
        <f t="shared" si="38"/>
        <v>2.9241907795672139E-3</v>
      </c>
      <c r="J114" s="12">
        <f t="shared" si="38"/>
        <v>3.4924760820048105E-2</v>
      </c>
      <c r="K114" s="12">
        <f t="shared" si="38"/>
        <v>1.3413243383580332E-2</v>
      </c>
      <c r="L114" s="12">
        <f t="shared" si="38"/>
        <v>0</v>
      </c>
      <c r="M114" s="12">
        <f t="shared" si="38"/>
        <v>0</v>
      </c>
      <c r="N114" s="12">
        <f t="shared" si="38"/>
        <v>0</v>
      </c>
      <c r="O114" s="12">
        <f t="shared" si="38"/>
        <v>0</v>
      </c>
      <c r="P114" s="12">
        <f t="shared" si="38"/>
        <v>0</v>
      </c>
      <c r="Q114" s="12">
        <f t="shared" si="38"/>
        <v>0</v>
      </c>
      <c r="R114" s="12">
        <f t="shared" si="38"/>
        <v>0</v>
      </c>
      <c r="S114" s="12">
        <f t="shared" si="38"/>
        <v>0</v>
      </c>
    </row>
    <row r="115" spans="1:19" x14ac:dyDescent="0.2">
      <c r="A115" s="14" t="str">
        <f>IF(A114="~","~","")</f>
        <v/>
      </c>
      <c r="B115" s="14"/>
      <c r="D115" s="38">
        <f>SUM(E115:S115)</f>
        <v>1</v>
      </c>
      <c r="E115" s="41">
        <f>'Demand Allocator'!D16</f>
        <v>0.63901059236799995</v>
      </c>
      <c r="F115" s="41">
        <f>'Demand Allocator'!E16</f>
        <v>0.23108669744508853</v>
      </c>
      <c r="G115" s="41">
        <f>'Demand Allocator'!F16</f>
        <v>4.9872964865189072E-2</v>
      </c>
      <c r="H115" s="41">
        <f>'Demand Allocator'!G16</f>
        <v>2.8767550338526786E-2</v>
      </c>
      <c r="I115" s="41">
        <f>'Demand Allocator'!H16</f>
        <v>2.9241907795672139E-3</v>
      </c>
      <c r="J115" s="41">
        <f>'Demand Allocator'!I16</f>
        <v>3.4924760820048105E-2</v>
      </c>
      <c r="K115" s="41">
        <f>'Demand Allocator'!J16</f>
        <v>1.3413243383580332E-2</v>
      </c>
      <c r="L115" s="41">
        <v>0</v>
      </c>
      <c r="M115" s="41"/>
      <c r="N115" s="41"/>
      <c r="O115" s="22"/>
      <c r="P115" s="22"/>
      <c r="Q115" s="22"/>
      <c r="R115" s="22"/>
      <c r="S115" s="22"/>
    </row>
    <row r="116" spans="1:19" x14ac:dyDescent="0.2">
      <c r="A116" s="2" t="str">
        <f>IF(A115="~","~","")</f>
        <v/>
      </c>
    </row>
    <row r="117" spans="1:19" x14ac:dyDescent="0.2">
      <c r="A117" s="365" t="s">
        <v>404</v>
      </c>
      <c r="B117" s="11" t="s">
        <v>81</v>
      </c>
      <c r="C117" s="11" t="s">
        <v>80</v>
      </c>
      <c r="E117" s="12">
        <f t="shared" ref="E117:S117" si="39">IF(E118=0,0,E118/$D118)</f>
        <v>0.70205351816956685</v>
      </c>
      <c r="F117" s="12">
        <f t="shared" si="39"/>
        <v>0.24976730121459895</v>
      </c>
      <c r="G117" s="12">
        <f t="shared" si="39"/>
        <v>3.9665968186374453E-2</v>
      </c>
      <c r="H117" s="12">
        <f t="shared" si="39"/>
        <v>5.2850225148687764E-3</v>
      </c>
      <c r="I117" s="12">
        <f t="shared" si="39"/>
        <v>5.8583977088979861E-4</v>
      </c>
      <c r="J117" s="366">
        <f t="shared" si="39"/>
        <v>1.3273644572664983E-3</v>
      </c>
      <c r="K117" s="366">
        <f t="shared" si="39"/>
        <v>1.3149856864348719E-3</v>
      </c>
      <c r="L117" s="12">
        <f t="shared" si="39"/>
        <v>0</v>
      </c>
      <c r="M117" s="12">
        <f t="shared" si="39"/>
        <v>0</v>
      </c>
      <c r="N117" s="12">
        <f t="shared" si="39"/>
        <v>0</v>
      </c>
      <c r="O117" s="12">
        <f t="shared" si="39"/>
        <v>0</v>
      </c>
      <c r="P117" s="12">
        <f t="shared" si="39"/>
        <v>0</v>
      </c>
      <c r="Q117" s="12">
        <f t="shared" si="39"/>
        <v>0</v>
      </c>
      <c r="R117" s="12">
        <f t="shared" si="39"/>
        <v>0</v>
      </c>
      <c r="S117" s="12">
        <f t="shared" si="39"/>
        <v>0</v>
      </c>
    </row>
    <row r="118" spans="1:19" x14ac:dyDescent="0.2">
      <c r="A118" s="14" t="str">
        <f>IF(A117="~","~","")</f>
        <v/>
      </c>
      <c r="B118" s="21"/>
      <c r="D118" s="45">
        <f>SUM(E118:S118)</f>
        <v>1367711467.919651</v>
      </c>
      <c r="E118" s="42">
        <f>IF('Scenario Choice'!$B$3='Scenario Choice'!$A$7,'Mains Allocator'!G15, 'Mains Allocator Old Method'!G9)</f>
        <v>960206647.89385366</v>
      </c>
      <c r="F118" s="42">
        <f>IF('Scenario Choice'!$B$3='Scenario Choice'!$A$7,'Mains Allocator'!H15, 'Mains Allocator Old Method'!H9)</f>
        <v>341609602.18254876</v>
      </c>
      <c r="G118" s="42">
        <f>IF('Scenario Choice'!$B$3='Scenario Choice'!$A$7,'Mains Allocator'!I15, 'Mains Allocator Old Method'!I9)</f>
        <v>54251599.574640386</v>
      </c>
      <c r="H118" s="42">
        <f>IF('Scenario Choice'!$B$3='Scenario Choice'!$A$7,'Mains Allocator'!J15, 'Mains Allocator Old Method'!J9)</f>
        <v>7228385.9017995801</v>
      </c>
      <c r="I118" s="42">
        <f>IF('Scenario Choice'!$B$3='Scenario Choice'!$A$7,'Mains Allocator'!K15, 'Mains Allocator Old Method'!K9)</f>
        <v>801259.77300939849</v>
      </c>
      <c r="J118" s="42">
        <f>IF('Scenario Choice'!$B$3='Scenario Choice'!$A$7,'Mains Allocator'!L15, 'Mains Allocator Old Method'!L9)</f>
        <v>1815451.5903123333</v>
      </c>
      <c r="K118" s="42">
        <f>IF('Scenario Choice'!$B$3='Scenario Choice'!$A$7,'Mains Allocator'!M15, 'Mains Allocator Old Method'!M9)</f>
        <v>1798521.0034871686</v>
      </c>
      <c r="L118" s="42">
        <f>IF('Scenario Choice'!$B$3='Scenario Choice'!$A$7,'Mains Allocator'!N15, 'Mains Allocator Old Method'!N9)</f>
        <v>0</v>
      </c>
      <c r="M118" s="46"/>
      <c r="N118" s="39"/>
      <c r="O118" s="47"/>
      <c r="P118" s="19"/>
      <c r="Q118" s="19"/>
      <c r="R118" s="19"/>
      <c r="S118" s="19"/>
    </row>
    <row r="119" spans="1:19" x14ac:dyDescent="0.2">
      <c r="A119" s="2" t="str">
        <f>IF(A118="~","~","")</f>
        <v/>
      </c>
    </row>
    <row r="120" spans="1:19" x14ac:dyDescent="0.2">
      <c r="A120" s="10" t="s">
        <v>82</v>
      </c>
      <c r="B120" s="11" t="s">
        <v>83</v>
      </c>
      <c r="C120" s="11" t="s">
        <v>80</v>
      </c>
      <c r="E120" s="12">
        <f t="shared" ref="E120:S120" si="40">IF(E121=0,0,E121/$D121)</f>
        <v>0.69795479247548531</v>
      </c>
      <c r="F120" s="12">
        <f t="shared" si="40"/>
        <v>0.2483091108793396</v>
      </c>
      <c r="G120" s="12">
        <f t="shared" si="40"/>
        <v>3.943439050920533E-2</v>
      </c>
      <c r="H120" s="12">
        <f t="shared" si="40"/>
        <v>6.27102342494581E-3</v>
      </c>
      <c r="I120" s="12">
        <f t="shared" si="40"/>
        <v>6.951370436320708E-4</v>
      </c>
      <c r="J120" s="12">
        <f t="shared" si="40"/>
        <v>2.3624332252829908E-3</v>
      </c>
      <c r="K120" s="12">
        <f t="shared" si="40"/>
        <v>4.9731124421088374E-3</v>
      </c>
      <c r="L120" s="12">
        <f t="shared" si="40"/>
        <v>0</v>
      </c>
      <c r="M120" s="12">
        <f t="shared" si="40"/>
        <v>0</v>
      </c>
      <c r="N120" s="12">
        <f t="shared" si="40"/>
        <v>0</v>
      </c>
      <c r="O120" s="12">
        <f t="shared" si="40"/>
        <v>0</v>
      </c>
      <c r="P120" s="12">
        <f t="shared" si="40"/>
        <v>0</v>
      </c>
      <c r="Q120" s="12">
        <f t="shared" si="40"/>
        <v>0</v>
      </c>
      <c r="R120" s="12">
        <f t="shared" si="40"/>
        <v>0</v>
      </c>
      <c r="S120" s="12">
        <f t="shared" si="40"/>
        <v>0</v>
      </c>
    </row>
    <row r="121" spans="1:19" x14ac:dyDescent="0.2">
      <c r="A121" s="14" t="str">
        <f>IF(A120="~","~","")</f>
        <v/>
      </c>
      <c r="B121" s="14"/>
      <c r="D121" s="13">
        <f>SUM(E121:S121)</f>
        <v>10131080</v>
      </c>
      <c r="E121" s="15">
        <f>'Demand Allocator'!D7</f>
        <v>7071035.8389525395</v>
      </c>
      <c r="F121" s="15">
        <f>'Demand Allocator'!E7</f>
        <v>2515639.4670474599</v>
      </c>
      <c r="G121" s="15">
        <f>'Demand Allocator'!F7</f>
        <v>399512.96499999997</v>
      </c>
      <c r="H121" s="15">
        <f>'Demand Allocator'!G7</f>
        <v>63532.24</v>
      </c>
      <c r="I121" s="15">
        <f>'Demand Allocator'!H7</f>
        <v>7042.4889999999996</v>
      </c>
      <c r="J121" s="15">
        <f>'Demand Allocator'!I7</f>
        <v>23934</v>
      </c>
      <c r="K121" s="15">
        <f>'Demand Allocator'!J7</f>
        <v>50383</v>
      </c>
      <c r="L121" s="15">
        <v>0</v>
      </c>
      <c r="M121" s="15"/>
      <c r="N121" s="15"/>
      <c r="O121" s="19"/>
      <c r="P121" s="19"/>
      <c r="Q121" s="19"/>
      <c r="R121" s="19"/>
      <c r="S121" s="19"/>
    </row>
    <row r="122" spans="1:19" x14ac:dyDescent="0.2">
      <c r="A122" s="2" t="str">
        <f>IF(A121="~","~","")</f>
        <v/>
      </c>
      <c r="G122" s="48"/>
    </row>
    <row r="123" spans="1:19" x14ac:dyDescent="0.2">
      <c r="A123" s="10" t="s">
        <v>84</v>
      </c>
      <c r="B123" s="11" t="s">
        <v>73</v>
      </c>
      <c r="C123" s="11" t="s">
        <v>80</v>
      </c>
      <c r="E123" s="12">
        <f t="shared" ref="E123:S123" si="41">IF(E124=0,0,E124/$D124)</f>
        <v>0.7141661154441038</v>
      </c>
      <c r="F123" s="12">
        <f t="shared" si="41"/>
        <v>0.25407656062810952</v>
      </c>
      <c r="G123" s="12">
        <f t="shared" si="41"/>
        <v>3.0436893022477884E-2</v>
      </c>
      <c r="H123" s="12">
        <f t="shared" si="41"/>
        <v>6.8489708424552057E-4</v>
      </c>
      <c r="I123" s="12">
        <f t="shared" si="41"/>
        <v>6.355338210632587E-4</v>
      </c>
      <c r="J123" s="12">
        <f t="shared" si="41"/>
        <v>0</v>
      </c>
      <c r="K123" s="12">
        <f t="shared" si="41"/>
        <v>0</v>
      </c>
      <c r="L123" s="12">
        <f t="shared" si="41"/>
        <v>0</v>
      </c>
      <c r="M123" s="12">
        <f t="shared" si="41"/>
        <v>0</v>
      </c>
      <c r="N123" s="12">
        <f t="shared" si="41"/>
        <v>0</v>
      </c>
      <c r="O123" s="12">
        <f t="shared" si="41"/>
        <v>0</v>
      </c>
      <c r="P123" s="12">
        <f t="shared" si="41"/>
        <v>0</v>
      </c>
      <c r="Q123" s="12">
        <f t="shared" si="41"/>
        <v>0</v>
      </c>
      <c r="R123" s="12">
        <f t="shared" si="41"/>
        <v>0</v>
      </c>
      <c r="S123" s="12">
        <f t="shared" si="41"/>
        <v>0</v>
      </c>
    </row>
    <row r="124" spans="1:19" x14ac:dyDescent="0.2">
      <c r="A124" s="14" t="str">
        <f>IF(A123="~","~","")</f>
        <v/>
      </c>
      <c r="B124" s="14"/>
      <c r="D124" s="13">
        <f>SUM(E124:S124)</f>
        <v>9901108</v>
      </c>
      <c r="E124" s="15">
        <f>'Demand Allocator'!D10</f>
        <v>7071035.8389525395</v>
      </c>
      <c r="F124" s="15">
        <f>'Demand Allocator'!E10</f>
        <v>2515639.4670474599</v>
      </c>
      <c r="G124" s="15">
        <f>'Demand Allocator'!F10</f>
        <v>301358.96499999997</v>
      </c>
      <c r="H124" s="15">
        <f>'Demand Allocator'!G10</f>
        <v>6781.239999999998</v>
      </c>
      <c r="I124" s="15">
        <f>'Demand Allocator'!H10</f>
        <v>6292.4889999999996</v>
      </c>
      <c r="J124" s="15">
        <f>'Demand Allocator'!I10</f>
        <v>0</v>
      </c>
      <c r="K124" s="15">
        <f>'Demand Allocator'!J10</f>
        <v>0</v>
      </c>
      <c r="L124" s="15">
        <f>'Demand Allocator'!K10</f>
        <v>0</v>
      </c>
      <c r="M124" s="15"/>
      <c r="N124" s="15"/>
      <c r="O124" s="19"/>
      <c r="P124" s="19"/>
      <c r="Q124" s="19"/>
      <c r="R124" s="19"/>
      <c r="S124" s="19"/>
    </row>
    <row r="125" spans="1:19" x14ac:dyDescent="0.2">
      <c r="A125" s="2" t="str">
        <f>IF(A124="~","~","")</f>
        <v/>
      </c>
      <c r="G125" s="48"/>
    </row>
    <row r="126" spans="1:19" x14ac:dyDescent="0.2">
      <c r="A126" s="10" t="s">
        <v>85</v>
      </c>
      <c r="B126" s="11" t="s">
        <v>72</v>
      </c>
      <c r="C126" s="11" t="s">
        <v>80</v>
      </c>
      <c r="E126" s="12">
        <f>IF(E127=0,0,E127/$D127)</f>
        <v>0.70878582428351433</v>
      </c>
      <c r="F126" s="12">
        <f t="shared" ref="F126:S126" si="42">IF(F127=0,0,F127/$D127)</f>
        <v>0.21939561208775826</v>
      </c>
      <c r="G126" s="12">
        <f t="shared" si="42"/>
        <v>4.2499150016999665E-2</v>
      </c>
      <c r="H126" s="12">
        <f t="shared" si="42"/>
        <v>9.3298134037319257E-3</v>
      </c>
      <c r="I126" s="12">
        <f t="shared" si="42"/>
        <v>8.3398332033359345E-3</v>
      </c>
      <c r="J126" s="12">
        <f t="shared" si="42"/>
        <v>1.1649767004659908E-2</v>
      </c>
      <c r="K126" s="12">
        <f t="shared" si="42"/>
        <v>0</v>
      </c>
      <c r="L126" s="12">
        <f t="shared" si="42"/>
        <v>0</v>
      </c>
      <c r="M126" s="12">
        <f t="shared" si="42"/>
        <v>0</v>
      </c>
      <c r="N126" s="12">
        <f t="shared" si="42"/>
        <v>0</v>
      </c>
      <c r="O126" s="12">
        <f t="shared" si="42"/>
        <v>0</v>
      </c>
      <c r="P126" s="12">
        <f t="shared" si="42"/>
        <v>0</v>
      </c>
      <c r="Q126" s="12">
        <f t="shared" si="42"/>
        <v>0</v>
      </c>
      <c r="R126" s="12">
        <f t="shared" si="42"/>
        <v>0</v>
      </c>
      <c r="S126" s="12">
        <f t="shared" si="42"/>
        <v>0</v>
      </c>
    </row>
    <row r="127" spans="1:19" x14ac:dyDescent="0.2">
      <c r="A127" s="14" t="str">
        <f>IF(A126="~","~","")</f>
        <v/>
      </c>
      <c r="B127" s="14"/>
      <c r="D127" s="38">
        <f>SUM(E127:S127)</f>
        <v>1.0000199999999999</v>
      </c>
      <c r="E127" s="39">
        <f>'Demand Allocator'!D32</f>
        <v>0.70879999999999999</v>
      </c>
      <c r="F127" s="39">
        <f>'Demand Allocator'!E32</f>
        <v>0.21940000000000001</v>
      </c>
      <c r="G127" s="39">
        <f>'Demand Allocator'!F32</f>
        <v>4.2500000000000003E-2</v>
      </c>
      <c r="H127" s="39">
        <f>'Demand Allocator'!G32</f>
        <v>9.3299999999999998E-3</v>
      </c>
      <c r="I127" s="39">
        <f>'Demand Allocator'!H32</f>
        <v>8.3400000000000002E-3</v>
      </c>
      <c r="J127" s="39">
        <f>'Demand Allocator'!I32</f>
        <v>1.1650000000000001E-2</v>
      </c>
      <c r="K127" s="39">
        <f>'Demand Allocator'!J32</f>
        <v>0</v>
      </c>
      <c r="L127" s="39">
        <f>'Demand Allocator'!K32</f>
        <v>0</v>
      </c>
      <c r="M127" s="49"/>
      <c r="N127" s="49"/>
      <c r="O127" s="50"/>
      <c r="P127" s="40"/>
      <c r="Q127" s="40"/>
      <c r="R127" s="40"/>
      <c r="S127" s="40"/>
    </row>
    <row r="128" spans="1:19" x14ac:dyDescent="0.2">
      <c r="A128" s="2" t="str">
        <f>IF(A127="~","~","")</f>
        <v/>
      </c>
    </row>
  </sheetData>
  <pageMargins left="0.7" right="0.7" top="0.75" bottom="0.75" header="0.3" footer="0.3"/>
  <pageSetup scale="5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workbookViewId="0">
      <selection activeCell="F40" sqref="F40"/>
    </sheetView>
  </sheetViews>
  <sheetFormatPr defaultRowHeight="12.75" x14ac:dyDescent="0.2"/>
  <cols>
    <col min="1" max="1" width="54.7109375" bestFit="1" customWidth="1"/>
  </cols>
  <sheetData>
    <row r="1" spans="1:16" x14ac:dyDescent="0.2">
      <c r="A1" s="230" t="s">
        <v>108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</row>
    <row r="2" spans="1:16" x14ac:dyDescent="0.2">
      <c r="A2" s="230" t="s">
        <v>287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</row>
    <row r="3" spans="1:16" x14ac:dyDescent="0.2">
      <c r="A3" s="230" t="s">
        <v>288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</row>
    <row r="4" spans="1:16" x14ac:dyDescent="0.2">
      <c r="A4" s="230" t="s">
        <v>289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</row>
    <row r="5" spans="1:16" x14ac:dyDescent="0.2">
      <c r="A5" s="51" t="s">
        <v>290</v>
      </c>
    </row>
    <row r="6" spans="1:16" x14ac:dyDescent="0.2">
      <c r="A6" s="53" t="s">
        <v>87</v>
      </c>
      <c r="C6" s="175">
        <v>43101</v>
      </c>
      <c r="D6" s="175">
        <f>EDATE(C6,1)</f>
        <v>43132</v>
      </c>
      <c r="E6" s="175">
        <f>EDATE(D6,1)</f>
        <v>43160</v>
      </c>
      <c r="F6" s="175">
        <f t="shared" ref="F6:N6" si="0">EDATE(E6,1)</f>
        <v>43191</v>
      </c>
      <c r="G6" s="175">
        <f t="shared" si="0"/>
        <v>43221</v>
      </c>
      <c r="H6" s="175">
        <f t="shared" si="0"/>
        <v>43252</v>
      </c>
      <c r="I6" s="175">
        <f t="shared" si="0"/>
        <v>43282</v>
      </c>
      <c r="J6" s="175">
        <f t="shared" si="0"/>
        <v>43313</v>
      </c>
      <c r="K6" s="175">
        <f t="shared" si="0"/>
        <v>43344</v>
      </c>
      <c r="L6" s="175">
        <f t="shared" si="0"/>
        <v>43374</v>
      </c>
      <c r="M6" s="175">
        <f t="shared" si="0"/>
        <v>43405</v>
      </c>
      <c r="N6" s="175">
        <f t="shared" si="0"/>
        <v>43435</v>
      </c>
      <c r="O6" s="176" t="s">
        <v>4</v>
      </c>
      <c r="P6" s="176" t="s">
        <v>88</v>
      </c>
    </row>
    <row r="7" spans="1:16" x14ac:dyDescent="0.2">
      <c r="A7" s="53" t="s">
        <v>89</v>
      </c>
      <c r="C7" s="52">
        <f>'[1]Customer Summary'!B57</f>
        <v>768045</v>
      </c>
      <c r="D7" s="52">
        <f>'[1]Customer Summary'!C57</f>
        <v>769188</v>
      </c>
      <c r="E7" s="52">
        <f>'[1]Customer Summary'!D57</f>
        <v>769910</v>
      </c>
      <c r="F7" s="52">
        <f>'[1]Customer Summary'!E57</f>
        <v>770300</v>
      </c>
      <c r="G7" s="52">
        <f>'[1]Customer Summary'!F57</f>
        <v>770946</v>
      </c>
      <c r="H7" s="52">
        <f>'[1]Customer Summary'!G57</f>
        <v>771263</v>
      </c>
      <c r="I7" s="52">
        <f>'[1]Customer Summary'!H57</f>
        <v>771479</v>
      </c>
      <c r="J7" s="52">
        <f>'[1]Customer Summary'!I57</f>
        <v>772033</v>
      </c>
      <c r="K7" s="52">
        <f>'[1]Customer Summary'!J57</f>
        <v>772621</v>
      </c>
      <c r="L7" s="52">
        <f>'[1]Customer Summary'!K57</f>
        <v>774710</v>
      </c>
      <c r="M7" s="52">
        <f>'[1]Customer Summary'!L57</f>
        <v>776870</v>
      </c>
      <c r="N7" s="52">
        <f>'[1]Customer Summary'!M57</f>
        <v>778198</v>
      </c>
      <c r="O7" s="52">
        <f>'[1]Customer Summary'!N57</f>
        <v>9265563</v>
      </c>
      <c r="P7" s="52">
        <f>'[1]Customer Summary'!O57</f>
        <v>772130.25</v>
      </c>
    </row>
    <row r="8" spans="1:16" x14ac:dyDescent="0.2">
      <c r="A8" s="53" t="s">
        <v>90</v>
      </c>
      <c r="C8" s="52">
        <f>'[1]Customer Summary'!B58</f>
        <v>56661</v>
      </c>
      <c r="D8" s="52">
        <f>'[1]Customer Summary'!C58</f>
        <v>56664</v>
      </c>
      <c r="E8" s="52">
        <f>'[1]Customer Summary'!D58</f>
        <v>56741</v>
      </c>
      <c r="F8" s="52">
        <f>'[1]Customer Summary'!E58</f>
        <v>56703</v>
      </c>
      <c r="G8" s="52">
        <f>'[1]Customer Summary'!F58</f>
        <v>56687</v>
      </c>
      <c r="H8" s="52">
        <f>'[1]Customer Summary'!G58</f>
        <v>56612</v>
      </c>
      <c r="I8" s="52">
        <f>'[1]Customer Summary'!H58</f>
        <v>56584</v>
      </c>
      <c r="J8" s="52">
        <f>'[1]Customer Summary'!I58</f>
        <v>56567</v>
      </c>
      <c r="K8" s="52">
        <f>'[1]Customer Summary'!J58</f>
        <v>56551</v>
      </c>
      <c r="L8" s="52">
        <f>'[1]Customer Summary'!K58</f>
        <v>56701</v>
      </c>
      <c r="M8" s="52">
        <f>'[1]Customer Summary'!L58</f>
        <v>56844</v>
      </c>
      <c r="N8" s="52">
        <f>'[1]Customer Summary'!M58</f>
        <v>56978</v>
      </c>
      <c r="O8" s="52">
        <f>'[1]Customer Summary'!N58</f>
        <v>680293</v>
      </c>
      <c r="P8" s="52">
        <f>'[1]Customer Summary'!O58</f>
        <v>56691.083333333336</v>
      </c>
    </row>
    <row r="9" spans="1:16" x14ac:dyDescent="0.2">
      <c r="A9" s="53" t="s">
        <v>91</v>
      </c>
      <c r="C9" s="52">
        <f>'[1]Customer Summary'!B59</f>
        <v>1465</v>
      </c>
      <c r="D9" s="52">
        <f>'[1]Customer Summary'!C59</f>
        <v>1462</v>
      </c>
      <c r="E9" s="52">
        <f>'[1]Customer Summary'!D59</f>
        <v>1465</v>
      </c>
      <c r="F9" s="52">
        <f>'[1]Customer Summary'!E59</f>
        <v>1468</v>
      </c>
      <c r="G9" s="52">
        <f>'[1]Customer Summary'!F59</f>
        <v>1466</v>
      </c>
      <c r="H9" s="52">
        <f>'[1]Customer Summary'!G59</f>
        <v>1461</v>
      </c>
      <c r="I9" s="52">
        <f>'[1]Customer Summary'!H59</f>
        <v>1424</v>
      </c>
      <c r="J9" s="52">
        <f>'[1]Customer Summary'!I59</f>
        <v>1411</v>
      </c>
      <c r="K9" s="52">
        <f>'[1]Customer Summary'!J59</f>
        <v>1410</v>
      </c>
      <c r="L9" s="52">
        <f>'[1]Customer Summary'!K59</f>
        <v>1417</v>
      </c>
      <c r="M9" s="52">
        <f>'[1]Customer Summary'!L59</f>
        <v>1424</v>
      </c>
      <c r="N9" s="52">
        <f>'[1]Customer Summary'!M59</f>
        <v>1425</v>
      </c>
      <c r="O9" s="52">
        <f>'[1]Customer Summary'!N59</f>
        <v>17298</v>
      </c>
      <c r="P9" s="52">
        <f>'[1]Customer Summary'!O59</f>
        <v>1441.5</v>
      </c>
    </row>
    <row r="10" spans="1:16" x14ac:dyDescent="0.2">
      <c r="A10" s="53" t="s">
        <v>92</v>
      </c>
      <c r="C10" s="52">
        <f>'[1]Customer Summary'!B60</f>
        <v>130</v>
      </c>
      <c r="D10" s="52">
        <f>'[1]Customer Summary'!C60</f>
        <v>130</v>
      </c>
      <c r="E10" s="52">
        <f>'[1]Customer Summary'!D60</f>
        <v>130</v>
      </c>
      <c r="F10" s="52">
        <f>'[1]Customer Summary'!E60</f>
        <v>130</v>
      </c>
      <c r="G10" s="52">
        <f>'[1]Customer Summary'!F60</f>
        <v>131</v>
      </c>
      <c r="H10" s="52">
        <f>'[1]Customer Summary'!G60</f>
        <v>131</v>
      </c>
      <c r="I10" s="52">
        <f>'[1]Customer Summary'!H60</f>
        <v>131</v>
      </c>
      <c r="J10" s="52">
        <f>'[1]Customer Summary'!I60</f>
        <v>131</v>
      </c>
      <c r="K10" s="52">
        <f>'[1]Customer Summary'!J60</f>
        <v>131</v>
      </c>
      <c r="L10" s="52">
        <f>'[1]Customer Summary'!K60</f>
        <v>131</v>
      </c>
      <c r="M10" s="52">
        <f>'[1]Customer Summary'!L60</f>
        <v>131</v>
      </c>
      <c r="N10" s="52">
        <f>'[1]Customer Summary'!M60</f>
        <v>131</v>
      </c>
      <c r="O10" s="52">
        <f>'[1]Customer Summary'!N60</f>
        <v>1568</v>
      </c>
      <c r="P10" s="52">
        <f>'[1]Customer Summary'!O60</f>
        <v>130.66666666666666</v>
      </c>
    </row>
    <row r="11" spans="1:16" x14ac:dyDescent="0.2">
      <c r="A11" s="53" t="s">
        <v>93</v>
      </c>
      <c r="C11" s="52">
        <f>'[1]Customer Summary'!B61</f>
        <v>230</v>
      </c>
      <c r="D11" s="52">
        <f>'[1]Customer Summary'!C61</f>
        <v>230</v>
      </c>
      <c r="E11" s="52">
        <f>'[1]Customer Summary'!D61</f>
        <v>230</v>
      </c>
      <c r="F11" s="52">
        <f>'[1]Customer Summary'!E61</f>
        <v>230</v>
      </c>
      <c r="G11" s="52">
        <f>'[1]Customer Summary'!F61</f>
        <v>229</v>
      </c>
      <c r="H11" s="52">
        <f>'[1]Customer Summary'!G61</f>
        <v>229</v>
      </c>
      <c r="I11" s="52">
        <f>'[1]Customer Summary'!H61</f>
        <v>228</v>
      </c>
      <c r="J11" s="52">
        <f>'[1]Customer Summary'!I61</f>
        <v>228</v>
      </c>
      <c r="K11" s="52">
        <f>'[1]Customer Summary'!J61</f>
        <v>228</v>
      </c>
      <c r="L11" s="52">
        <f>'[1]Customer Summary'!K61</f>
        <v>228</v>
      </c>
      <c r="M11" s="52">
        <f>'[1]Customer Summary'!L61</f>
        <v>225</v>
      </c>
      <c r="N11" s="52">
        <f>'[1]Customer Summary'!M61</f>
        <v>222</v>
      </c>
      <c r="O11" s="52">
        <f>'[1]Customer Summary'!N61</f>
        <v>2737</v>
      </c>
      <c r="P11" s="52">
        <f>'[1]Customer Summary'!O61</f>
        <v>228.08333333333334</v>
      </c>
    </row>
    <row r="12" spans="1:16" x14ac:dyDescent="0.2">
      <c r="A12" s="53" t="s">
        <v>94</v>
      </c>
      <c r="C12" s="52">
        <f>'[1]Customer Summary'!B62</f>
        <v>15</v>
      </c>
      <c r="D12" s="52">
        <f>'[1]Customer Summary'!C62</f>
        <v>15</v>
      </c>
      <c r="E12" s="52">
        <f>'[1]Customer Summary'!D62</f>
        <v>15</v>
      </c>
      <c r="F12" s="52">
        <f>'[1]Customer Summary'!E62</f>
        <v>15</v>
      </c>
      <c r="G12" s="52">
        <f>'[1]Customer Summary'!F62</f>
        <v>15</v>
      </c>
      <c r="H12" s="52">
        <f>'[1]Customer Summary'!G62</f>
        <v>15</v>
      </c>
      <c r="I12" s="52">
        <f>'[1]Customer Summary'!H62</f>
        <v>15</v>
      </c>
      <c r="J12" s="52">
        <f>'[1]Customer Summary'!I62</f>
        <v>15</v>
      </c>
      <c r="K12" s="52">
        <f>'[1]Customer Summary'!J62</f>
        <v>15</v>
      </c>
      <c r="L12" s="52">
        <f>'[1]Customer Summary'!K62</f>
        <v>15</v>
      </c>
      <c r="M12" s="52">
        <f>'[1]Customer Summary'!L62</f>
        <v>15</v>
      </c>
      <c r="N12" s="52">
        <f>'[1]Customer Summary'!M62</f>
        <v>15</v>
      </c>
      <c r="O12" s="52">
        <f>'[1]Customer Summary'!N62</f>
        <v>180</v>
      </c>
      <c r="P12" s="52">
        <f>'[1]Customer Summary'!O62</f>
        <v>15</v>
      </c>
    </row>
    <row r="13" spans="1:16" x14ac:dyDescent="0.2">
      <c r="A13" s="53" t="s">
        <v>95</v>
      </c>
      <c r="C13" s="52">
        <f>'[1]Customer Summary'!B63</f>
        <v>10</v>
      </c>
      <c r="D13" s="52">
        <f>'[1]Customer Summary'!C63</f>
        <v>10</v>
      </c>
      <c r="E13" s="52">
        <f>'[1]Customer Summary'!D63</f>
        <v>10</v>
      </c>
      <c r="F13" s="52">
        <f>'[1]Customer Summary'!E63</f>
        <v>10</v>
      </c>
      <c r="G13" s="52">
        <f>'[1]Customer Summary'!F63</f>
        <v>10</v>
      </c>
      <c r="H13" s="52">
        <f>'[1]Customer Summary'!G63</f>
        <v>10</v>
      </c>
      <c r="I13" s="52">
        <f>'[1]Customer Summary'!H63</f>
        <v>10</v>
      </c>
      <c r="J13" s="52">
        <f>'[1]Customer Summary'!I63</f>
        <v>10</v>
      </c>
      <c r="K13" s="52">
        <f>'[1]Customer Summary'!J63</f>
        <v>10</v>
      </c>
      <c r="L13" s="52">
        <f>'[1]Customer Summary'!K63</f>
        <v>10</v>
      </c>
      <c r="M13" s="52">
        <f>'[1]Customer Summary'!L63</f>
        <v>10</v>
      </c>
      <c r="N13" s="52">
        <f>'[1]Customer Summary'!M63</f>
        <v>10</v>
      </c>
      <c r="O13" s="52">
        <f>'[1]Customer Summary'!N63</f>
        <v>120</v>
      </c>
      <c r="P13" s="52">
        <f>'[1]Customer Summary'!O63</f>
        <v>10</v>
      </c>
    </row>
    <row r="14" spans="1:16" x14ac:dyDescent="0.2">
      <c r="A14" s="53" t="s">
        <v>4</v>
      </c>
      <c r="C14" s="52">
        <f t="shared" ref="C14:N14" si="1">SUM(C7:C13)</f>
        <v>826556</v>
      </c>
      <c r="D14" s="52">
        <f t="shared" si="1"/>
        <v>827699</v>
      </c>
      <c r="E14" s="52">
        <f t="shared" si="1"/>
        <v>828501</v>
      </c>
      <c r="F14" s="52">
        <f t="shared" si="1"/>
        <v>828856</v>
      </c>
      <c r="G14" s="52">
        <f t="shared" si="1"/>
        <v>829484</v>
      </c>
      <c r="H14" s="52">
        <f t="shared" si="1"/>
        <v>829721</v>
      </c>
      <c r="I14" s="52">
        <f t="shared" si="1"/>
        <v>829871</v>
      </c>
      <c r="J14" s="52">
        <f t="shared" si="1"/>
        <v>830395</v>
      </c>
      <c r="K14" s="52">
        <f t="shared" si="1"/>
        <v>830966</v>
      </c>
      <c r="L14" s="52">
        <f t="shared" si="1"/>
        <v>833212</v>
      </c>
      <c r="M14" s="52">
        <f t="shared" si="1"/>
        <v>835519</v>
      </c>
      <c r="N14" s="52">
        <f t="shared" si="1"/>
        <v>836979</v>
      </c>
      <c r="O14" s="52">
        <f>SUM(C14:N14)</f>
        <v>9967759</v>
      </c>
      <c r="P14" s="52">
        <f>AVERAGE(C14:N14)</f>
        <v>830646.58333333337</v>
      </c>
    </row>
    <row r="16" spans="1:16" x14ac:dyDescent="0.2">
      <c r="A16" s="51" t="s">
        <v>291</v>
      </c>
      <c r="C16" s="175">
        <v>43101</v>
      </c>
      <c r="D16" s="175">
        <f>EDATE(C16,1)</f>
        <v>43132</v>
      </c>
      <c r="E16" s="175">
        <f>EDATE(D16,1)</f>
        <v>43160</v>
      </c>
      <c r="F16" s="175">
        <f t="shared" ref="F16:N16" si="2">EDATE(E16,1)</f>
        <v>43191</v>
      </c>
      <c r="G16" s="175">
        <f t="shared" si="2"/>
        <v>43221</v>
      </c>
      <c r="H16" s="175">
        <f t="shared" si="2"/>
        <v>43252</v>
      </c>
      <c r="I16" s="175">
        <f t="shared" si="2"/>
        <v>43282</v>
      </c>
      <c r="J16" s="175">
        <f t="shared" si="2"/>
        <v>43313</v>
      </c>
      <c r="K16" s="175">
        <f t="shared" si="2"/>
        <v>43344</v>
      </c>
      <c r="L16" s="175">
        <f t="shared" si="2"/>
        <v>43374</v>
      </c>
      <c r="M16" s="175">
        <f t="shared" si="2"/>
        <v>43405</v>
      </c>
      <c r="N16" s="175">
        <f t="shared" si="2"/>
        <v>43435</v>
      </c>
      <c r="O16" s="176" t="s">
        <v>4</v>
      </c>
      <c r="P16" s="176" t="s">
        <v>88</v>
      </c>
    </row>
    <row r="17" spans="1:16" x14ac:dyDescent="0.2">
      <c r="A17" s="53" t="s">
        <v>89</v>
      </c>
      <c r="C17" s="52">
        <f>'[1]Customer Summary'!B69</f>
        <v>768045</v>
      </c>
      <c r="D17" s="52">
        <f>'[1]Customer Summary'!C69</f>
        <v>769188</v>
      </c>
      <c r="E17" s="52">
        <f>'[1]Customer Summary'!D69</f>
        <v>769910</v>
      </c>
      <c r="F17" s="52">
        <f>'[1]Customer Summary'!E69</f>
        <v>770300</v>
      </c>
      <c r="G17" s="52">
        <f>'[1]Customer Summary'!F69</f>
        <v>770946</v>
      </c>
      <c r="H17" s="52">
        <f>'[1]Customer Summary'!G69</f>
        <v>771263</v>
      </c>
      <c r="I17" s="52">
        <f>'[1]Customer Summary'!H69</f>
        <v>771479</v>
      </c>
      <c r="J17" s="52">
        <f>'[1]Customer Summary'!I69</f>
        <v>772033</v>
      </c>
      <c r="K17" s="52">
        <f>'[1]Customer Summary'!J69</f>
        <v>772621</v>
      </c>
      <c r="L17" s="52">
        <f>'[1]Customer Summary'!K69</f>
        <v>774710</v>
      </c>
      <c r="M17" s="52">
        <f>'[1]Customer Summary'!L69</f>
        <v>776870</v>
      </c>
      <c r="N17" s="52">
        <f>'[1]Customer Summary'!M69</f>
        <v>778198</v>
      </c>
      <c r="O17" s="52">
        <f>'[1]Customer Summary'!N69</f>
        <v>9265563</v>
      </c>
      <c r="P17" s="52">
        <f>'[1]Customer Summary'!O69</f>
        <v>772130.25</v>
      </c>
    </row>
    <row r="18" spans="1:16" x14ac:dyDescent="0.2">
      <c r="A18" s="53" t="s">
        <v>97</v>
      </c>
      <c r="C18" s="52">
        <f>'[1]Customer Summary'!B70</f>
        <v>56658</v>
      </c>
      <c r="D18" s="52">
        <f>'[1]Customer Summary'!C70</f>
        <v>56661</v>
      </c>
      <c r="E18" s="52">
        <f>'[1]Customer Summary'!D70</f>
        <v>56738</v>
      </c>
      <c r="F18" s="52">
        <f>'[1]Customer Summary'!E70</f>
        <v>56700</v>
      </c>
      <c r="G18" s="52">
        <f>'[1]Customer Summary'!F70</f>
        <v>56684</v>
      </c>
      <c r="H18" s="52">
        <f>'[1]Customer Summary'!G70</f>
        <v>56609</v>
      </c>
      <c r="I18" s="52">
        <f>'[1]Customer Summary'!H70</f>
        <v>56581</v>
      </c>
      <c r="J18" s="52">
        <f>'[1]Customer Summary'!I70</f>
        <v>56565</v>
      </c>
      <c r="K18" s="52">
        <f>'[1]Customer Summary'!J70</f>
        <v>56549</v>
      </c>
      <c r="L18" s="52">
        <f>'[1]Customer Summary'!K70</f>
        <v>56699</v>
      </c>
      <c r="M18" s="52">
        <f>'[1]Customer Summary'!L70</f>
        <v>56842</v>
      </c>
      <c r="N18" s="52">
        <f>'[1]Customer Summary'!M70</f>
        <v>56976</v>
      </c>
      <c r="O18" s="52">
        <f>'[1]Customer Summary'!N70</f>
        <v>680262</v>
      </c>
      <c r="P18" s="52">
        <f>'[1]Customer Summary'!O70</f>
        <v>56688.5</v>
      </c>
    </row>
    <row r="19" spans="1:16" x14ac:dyDescent="0.2">
      <c r="A19" s="53" t="s">
        <v>98</v>
      </c>
      <c r="C19" s="52">
        <f>'[1]Customer Summary'!B71</f>
        <v>1362</v>
      </c>
      <c r="D19" s="52">
        <f>'[1]Customer Summary'!C71</f>
        <v>1357</v>
      </c>
      <c r="E19" s="52">
        <f>'[1]Customer Summary'!D71</f>
        <v>1360</v>
      </c>
      <c r="F19" s="52">
        <f>'[1]Customer Summary'!E71</f>
        <v>1363</v>
      </c>
      <c r="G19" s="52">
        <f>'[1]Customer Summary'!F71</f>
        <v>1361</v>
      </c>
      <c r="H19" s="52">
        <f>'[1]Customer Summary'!G71</f>
        <v>1352</v>
      </c>
      <c r="I19" s="52">
        <f>'[1]Customer Summary'!H71</f>
        <v>1315</v>
      </c>
      <c r="J19" s="52">
        <f>'[1]Customer Summary'!I71</f>
        <v>1302</v>
      </c>
      <c r="K19" s="52">
        <f>'[1]Customer Summary'!J71</f>
        <v>1301</v>
      </c>
      <c r="L19" s="52">
        <f>'[1]Customer Summary'!K71</f>
        <v>1308</v>
      </c>
      <c r="M19" s="52">
        <f>'[1]Customer Summary'!L71</f>
        <v>1318</v>
      </c>
      <c r="N19" s="52">
        <f>'[1]Customer Summary'!M71</f>
        <v>1319</v>
      </c>
      <c r="O19" s="52">
        <f>'[1]Customer Summary'!N71</f>
        <v>16018</v>
      </c>
      <c r="P19" s="52">
        <f>'[1]Customer Summary'!O71</f>
        <v>1334.8333333333333</v>
      </c>
    </row>
    <row r="20" spans="1:16" x14ac:dyDescent="0.2">
      <c r="A20" s="53" t="s">
        <v>99</v>
      </c>
      <c r="C20" s="52">
        <f>'[1]Customer Summary'!B72</f>
        <v>29</v>
      </c>
      <c r="D20" s="52">
        <f>'[1]Customer Summary'!C72</f>
        <v>29</v>
      </c>
      <c r="E20" s="52">
        <f>'[1]Customer Summary'!D72</f>
        <v>29</v>
      </c>
      <c r="F20" s="52">
        <f>'[1]Customer Summary'!E72</f>
        <v>29</v>
      </c>
      <c r="G20" s="52">
        <f>'[1]Customer Summary'!F72</f>
        <v>29</v>
      </c>
      <c r="H20" s="52">
        <f>'[1]Customer Summary'!G72</f>
        <v>28</v>
      </c>
      <c r="I20" s="52">
        <f>'[1]Customer Summary'!H72</f>
        <v>28</v>
      </c>
      <c r="J20" s="52">
        <f>'[1]Customer Summary'!I72</f>
        <v>28</v>
      </c>
      <c r="K20" s="52">
        <f>'[1]Customer Summary'!J72</f>
        <v>28</v>
      </c>
      <c r="L20" s="52">
        <f>'[1]Customer Summary'!K72</f>
        <v>28</v>
      </c>
      <c r="M20" s="52">
        <f>'[1]Customer Summary'!L72</f>
        <v>28</v>
      </c>
      <c r="N20" s="52">
        <f>'[1]Customer Summary'!M72</f>
        <v>28</v>
      </c>
      <c r="O20" s="52">
        <f>'[1]Customer Summary'!N72</f>
        <v>341</v>
      </c>
      <c r="P20" s="52">
        <f>'[1]Customer Summary'!O72</f>
        <v>28.416666666666668</v>
      </c>
    </row>
    <row r="21" spans="1:16" x14ac:dyDescent="0.2">
      <c r="A21" s="53" t="s">
        <v>100</v>
      </c>
      <c r="C21" s="52">
        <f>'[1]Customer Summary'!B73</f>
        <v>228</v>
      </c>
      <c r="D21" s="52">
        <f>'[1]Customer Summary'!C73</f>
        <v>228</v>
      </c>
      <c r="E21" s="52">
        <f>'[1]Customer Summary'!D73</f>
        <v>228</v>
      </c>
      <c r="F21" s="52">
        <f>'[1]Customer Summary'!E73</f>
        <v>228</v>
      </c>
      <c r="G21" s="52">
        <f>'[1]Customer Summary'!F73</f>
        <v>227</v>
      </c>
      <c r="H21" s="52">
        <f>'[1]Customer Summary'!G73</f>
        <v>227</v>
      </c>
      <c r="I21" s="52">
        <f>'[1]Customer Summary'!H73</f>
        <v>226</v>
      </c>
      <c r="J21" s="52">
        <f>'[1]Customer Summary'!I73</f>
        <v>226</v>
      </c>
      <c r="K21" s="52">
        <f>'[1]Customer Summary'!J73</f>
        <v>226</v>
      </c>
      <c r="L21" s="52">
        <f>'[1]Customer Summary'!K73</f>
        <v>226</v>
      </c>
      <c r="M21" s="52">
        <f>'[1]Customer Summary'!L73</f>
        <v>223</v>
      </c>
      <c r="N21" s="52">
        <f>'[1]Customer Summary'!M73</f>
        <v>219</v>
      </c>
      <c r="O21" s="52">
        <f>'[1]Customer Summary'!N73</f>
        <v>2712</v>
      </c>
      <c r="P21" s="52">
        <f>'[1]Customer Summary'!O73</f>
        <v>226</v>
      </c>
    </row>
    <row r="22" spans="1:16" x14ac:dyDescent="0.2">
      <c r="A22" s="53" t="s">
        <v>101</v>
      </c>
      <c r="C22" s="52">
        <f>'[1]Customer Summary'!B74</f>
        <v>5</v>
      </c>
      <c r="D22" s="52">
        <f>'[1]Customer Summary'!C74</f>
        <v>5</v>
      </c>
      <c r="E22" s="52">
        <f>'[1]Customer Summary'!D74</f>
        <v>5</v>
      </c>
      <c r="F22" s="52">
        <f>'[1]Customer Summary'!E74</f>
        <v>5</v>
      </c>
      <c r="G22" s="52">
        <f>'[1]Customer Summary'!F74</f>
        <v>5</v>
      </c>
      <c r="H22" s="52">
        <f>'[1]Customer Summary'!G74</f>
        <v>5</v>
      </c>
      <c r="I22" s="52">
        <f>'[1]Customer Summary'!H74</f>
        <v>5</v>
      </c>
      <c r="J22" s="52">
        <f>'[1]Customer Summary'!I74</f>
        <v>5</v>
      </c>
      <c r="K22" s="52">
        <f>'[1]Customer Summary'!J74</f>
        <v>5</v>
      </c>
      <c r="L22" s="52">
        <f>'[1]Customer Summary'!K74</f>
        <v>5</v>
      </c>
      <c r="M22" s="52">
        <f>'[1]Customer Summary'!L74</f>
        <v>5</v>
      </c>
      <c r="N22" s="52">
        <f>'[1]Customer Summary'!M74</f>
        <v>5</v>
      </c>
      <c r="O22" s="52">
        <f>'[1]Customer Summary'!N74</f>
        <v>60</v>
      </c>
      <c r="P22" s="52">
        <f>'[1]Customer Summary'!O74</f>
        <v>5</v>
      </c>
    </row>
    <row r="23" spans="1:16" x14ac:dyDescent="0.2">
      <c r="A23" s="53" t="s">
        <v>4</v>
      </c>
      <c r="C23" s="52">
        <f t="shared" ref="C23:N23" si="3">SUM(C17:C22)</f>
        <v>826327</v>
      </c>
      <c r="D23" s="52">
        <f t="shared" si="3"/>
        <v>827468</v>
      </c>
      <c r="E23" s="52">
        <f t="shared" si="3"/>
        <v>828270</v>
      </c>
      <c r="F23" s="52">
        <f t="shared" si="3"/>
        <v>828625</v>
      </c>
      <c r="G23" s="52">
        <f t="shared" si="3"/>
        <v>829252</v>
      </c>
      <c r="H23" s="52">
        <f t="shared" si="3"/>
        <v>829484</v>
      </c>
      <c r="I23" s="52">
        <f t="shared" si="3"/>
        <v>829634</v>
      </c>
      <c r="J23" s="52">
        <f t="shared" si="3"/>
        <v>830159</v>
      </c>
      <c r="K23" s="52">
        <f t="shared" si="3"/>
        <v>830730</v>
      </c>
      <c r="L23" s="52">
        <f t="shared" si="3"/>
        <v>832976</v>
      </c>
      <c r="M23" s="52">
        <f t="shared" si="3"/>
        <v>835286</v>
      </c>
      <c r="N23" s="52">
        <f t="shared" si="3"/>
        <v>836745</v>
      </c>
      <c r="O23" s="52">
        <f>SUM(C23:N23)</f>
        <v>9964956</v>
      </c>
      <c r="P23" s="52">
        <f>AVERAGE(C23:N23)</f>
        <v>830413</v>
      </c>
    </row>
    <row r="25" spans="1:16" x14ac:dyDescent="0.2">
      <c r="A25" s="182" t="s">
        <v>292</v>
      </c>
      <c r="C25" s="175">
        <v>43101</v>
      </c>
      <c r="D25" s="175">
        <f t="shared" ref="D25:N25" si="4">EDATE(C25,1)</f>
        <v>43132</v>
      </c>
      <c r="E25" s="175">
        <f t="shared" si="4"/>
        <v>43160</v>
      </c>
      <c r="F25" s="175">
        <f t="shared" si="4"/>
        <v>43191</v>
      </c>
      <c r="G25" s="175">
        <f t="shared" si="4"/>
        <v>43221</v>
      </c>
      <c r="H25" s="175">
        <f t="shared" si="4"/>
        <v>43252</v>
      </c>
      <c r="I25" s="175">
        <f t="shared" si="4"/>
        <v>43282</v>
      </c>
      <c r="J25" s="175">
        <f t="shared" si="4"/>
        <v>43313</v>
      </c>
      <c r="K25" s="175">
        <f t="shared" si="4"/>
        <v>43344</v>
      </c>
      <c r="L25" s="175">
        <f t="shared" si="4"/>
        <v>43374</v>
      </c>
      <c r="M25" s="175">
        <f t="shared" si="4"/>
        <v>43405</v>
      </c>
      <c r="N25" s="175">
        <f t="shared" si="4"/>
        <v>43435</v>
      </c>
      <c r="O25" s="176" t="s">
        <v>4</v>
      </c>
      <c r="P25" s="176" t="s">
        <v>88</v>
      </c>
    </row>
    <row r="26" spans="1:16" x14ac:dyDescent="0.2">
      <c r="A26" s="53" t="s">
        <v>102</v>
      </c>
      <c r="C26" s="52">
        <f>'[1]Customer Summary'!B79</f>
        <v>3</v>
      </c>
      <c r="D26" s="52">
        <f>'[1]Customer Summary'!C79</f>
        <v>3</v>
      </c>
      <c r="E26" s="52">
        <f>'[1]Customer Summary'!D79</f>
        <v>3</v>
      </c>
      <c r="F26" s="52">
        <f>'[1]Customer Summary'!E79</f>
        <v>3</v>
      </c>
      <c r="G26" s="52">
        <f>'[1]Customer Summary'!F79</f>
        <v>3</v>
      </c>
      <c r="H26" s="52">
        <f>'[1]Customer Summary'!G79</f>
        <v>3</v>
      </c>
      <c r="I26" s="52">
        <f>'[1]Customer Summary'!H79</f>
        <v>3</v>
      </c>
      <c r="J26" s="52">
        <f>'[1]Customer Summary'!I79</f>
        <v>2</v>
      </c>
      <c r="K26" s="52">
        <f>'[1]Customer Summary'!J79</f>
        <v>2</v>
      </c>
      <c r="L26" s="52">
        <f>'[1]Customer Summary'!K79</f>
        <v>2</v>
      </c>
      <c r="M26" s="52">
        <f>'[1]Customer Summary'!L79</f>
        <v>2</v>
      </c>
      <c r="N26" s="52">
        <f>'[1]Customer Summary'!M79</f>
        <v>2</v>
      </c>
      <c r="O26" s="52">
        <f>'[1]Customer Summary'!N79</f>
        <v>31</v>
      </c>
      <c r="P26" s="52">
        <f>'[1]Customer Summary'!O79</f>
        <v>2.5833333333333335</v>
      </c>
    </row>
    <row r="27" spans="1:16" x14ac:dyDescent="0.2">
      <c r="A27" s="53" t="s">
        <v>103</v>
      </c>
      <c r="C27" s="52">
        <f>'[1]Customer Summary'!B80</f>
        <v>103</v>
      </c>
      <c r="D27" s="52">
        <f>'[1]Customer Summary'!C80</f>
        <v>105</v>
      </c>
      <c r="E27" s="52">
        <f>'[1]Customer Summary'!D80</f>
        <v>105</v>
      </c>
      <c r="F27" s="52">
        <f>'[1]Customer Summary'!E80</f>
        <v>105</v>
      </c>
      <c r="G27" s="52">
        <f>'[1]Customer Summary'!F80</f>
        <v>105</v>
      </c>
      <c r="H27" s="52">
        <f>'[1]Customer Summary'!G80</f>
        <v>109</v>
      </c>
      <c r="I27" s="52">
        <f>'[1]Customer Summary'!H80</f>
        <v>109</v>
      </c>
      <c r="J27" s="52">
        <f>'[1]Customer Summary'!I80</f>
        <v>109</v>
      </c>
      <c r="K27" s="52">
        <f>'[1]Customer Summary'!J80</f>
        <v>109</v>
      </c>
      <c r="L27" s="52">
        <f>'[1]Customer Summary'!K80</f>
        <v>109</v>
      </c>
      <c r="M27" s="52">
        <f>'[1]Customer Summary'!L80</f>
        <v>106</v>
      </c>
      <c r="N27" s="52">
        <f>'[1]Customer Summary'!M80</f>
        <v>106</v>
      </c>
      <c r="O27" s="52">
        <f>'[1]Customer Summary'!N80</f>
        <v>1280</v>
      </c>
      <c r="P27" s="52">
        <f>'[1]Customer Summary'!O80</f>
        <v>106.66666666666667</v>
      </c>
    </row>
    <row r="28" spans="1:16" x14ac:dyDescent="0.2">
      <c r="A28" s="53" t="s">
        <v>104</v>
      </c>
      <c r="C28" s="52">
        <f>'[1]Customer Summary'!B81</f>
        <v>101</v>
      </c>
      <c r="D28" s="52">
        <f>'[1]Customer Summary'!C81</f>
        <v>101</v>
      </c>
      <c r="E28" s="52">
        <f>'[1]Customer Summary'!D81</f>
        <v>101</v>
      </c>
      <c r="F28" s="52">
        <f>'[1]Customer Summary'!E81</f>
        <v>101</v>
      </c>
      <c r="G28" s="52">
        <f>'[1]Customer Summary'!F81</f>
        <v>102</v>
      </c>
      <c r="H28" s="52">
        <f>'[1]Customer Summary'!G81</f>
        <v>103</v>
      </c>
      <c r="I28" s="52">
        <f>'[1]Customer Summary'!H81</f>
        <v>103</v>
      </c>
      <c r="J28" s="52">
        <f>'[1]Customer Summary'!I81</f>
        <v>103</v>
      </c>
      <c r="K28" s="52">
        <f>'[1]Customer Summary'!J81</f>
        <v>103</v>
      </c>
      <c r="L28" s="52">
        <f>'[1]Customer Summary'!K81</f>
        <v>103</v>
      </c>
      <c r="M28" s="52">
        <f>'[1]Customer Summary'!L81</f>
        <v>103</v>
      </c>
      <c r="N28" s="52">
        <f>'[1]Customer Summary'!M81</f>
        <v>103</v>
      </c>
      <c r="O28" s="52">
        <f>'[1]Customer Summary'!N81</f>
        <v>1227</v>
      </c>
      <c r="P28" s="52">
        <f>'[1]Customer Summary'!O81</f>
        <v>102.25</v>
      </c>
    </row>
    <row r="29" spans="1:16" x14ac:dyDescent="0.2">
      <c r="A29" s="53" t="s">
        <v>105</v>
      </c>
      <c r="C29" s="52">
        <f>'[1]Customer Summary'!B82</f>
        <v>2</v>
      </c>
      <c r="D29" s="52">
        <f>'[1]Customer Summary'!C82</f>
        <v>2</v>
      </c>
      <c r="E29" s="52">
        <f>'[1]Customer Summary'!D82</f>
        <v>2</v>
      </c>
      <c r="F29" s="52">
        <f>'[1]Customer Summary'!E82</f>
        <v>2</v>
      </c>
      <c r="G29" s="52">
        <f>'[1]Customer Summary'!F82</f>
        <v>2</v>
      </c>
      <c r="H29" s="52">
        <f>'[1]Customer Summary'!G82</f>
        <v>2</v>
      </c>
      <c r="I29" s="52">
        <f>'[1]Customer Summary'!H82</f>
        <v>2</v>
      </c>
      <c r="J29" s="52">
        <f>'[1]Customer Summary'!I82</f>
        <v>2</v>
      </c>
      <c r="K29" s="52">
        <f>'[1]Customer Summary'!J82</f>
        <v>2</v>
      </c>
      <c r="L29" s="52">
        <f>'[1]Customer Summary'!K82</f>
        <v>2</v>
      </c>
      <c r="M29" s="52">
        <f>'[1]Customer Summary'!L82</f>
        <v>2</v>
      </c>
      <c r="N29" s="52">
        <f>'[1]Customer Summary'!M82</f>
        <v>3</v>
      </c>
      <c r="O29" s="52">
        <f>'[1]Customer Summary'!N82</f>
        <v>25</v>
      </c>
      <c r="P29" s="52">
        <f>'[1]Customer Summary'!O82</f>
        <v>2.0833333333333335</v>
      </c>
    </row>
    <row r="30" spans="1:16" x14ac:dyDescent="0.2">
      <c r="A30" s="53" t="s">
        <v>106</v>
      </c>
      <c r="C30" s="52">
        <f>'[1]Customer Summary'!B83</f>
        <v>10</v>
      </c>
      <c r="D30" s="52">
        <f>'[1]Customer Summary'!C83</f>
        <v>10</v>
      </c>
      <c r="E30" s="52">
        <f>'[1]Customer Summary'!D83</f>
        <v>10</v>
      </c>
      <c r="F30" s="52">
        <f>'[1]Customer Summary'!E83</f>
        <v>10</v>
      </c>
      <c r="G30" s="52">
        <f>'[1]Customer Summary'!F83</f>
        <v>10</v>
      </c>
      <c r="H30" s="52">
        <f>'[1]Customer Summary'!G83</f>
        <v>10</v>
      </c>
      <c r="I30" s="52">
        <f>'[1]Customer Summary'!H83</f>
        <v>10</v>
      </c>
      <c r="J30" s="52">
        <f>'[1]Customer Summary'!I83</f>
        <v>10</v>
      </c>
      <c r="K30" s="52">
        <f>'[1]Customer Summary'!J83</f>
        <v>10</v>
      </c>
      <c r="L30" s="52">
        <f>'[1]Customer Summary'!K83</f>
        <v>10</v>
      </c>
      <c r="M30" s="52">
        <f>'[1]Customer Summary'!L83</f>
        <v>10</v>
      </c>
      <c r="N30" s="52">
        <f>'[1]Customer Summary'!M83</f>
        <v>10</v>
      </c>
      <c r="O30" s="52">
        <f>'[1]Customer Summary'!N83</f>
        <v>120</v>
      </c>
      <c r="P30" s="52">
        <f>'[1]Customer Summary'!O83</f>
        <v>10</v>
      </c>
    </row>
    <row r="31" spans="1:16" x14ac:dyDescent="0.2">
      <c r="A31" s="53" t="s">
        <v>95</v>
      </c>
      <c r="C31" s="52">
        <f>'[1]Customer Summary'!B84</f>
        <v>10</v>
      </c>
      <c r="D31" s="52">
        <f>'[1]Customer Summary'!C84</f>
        <v>10</v>
      </c>
      <c r="E31" s="52">
        <f>'[1]Customer Summary'!D84</f>
        <v>10</v>
      </c>
      <c r="F31" s="52">
        <f>'[1]Customer Summary'!E84</f>
        <v>10</v>
      </c>
      <c r="G31" s="52">
        <f>'[1]Customer Summary'!F84</f>
        <v>10</v>
      </c>
      <c r="H31" s="52">
        <f>'[1]Customer Summary'!G84</f>
        <v>10</v>
      </c>
      <c r="I31" s="52">
        <f>'[1]Customer Summary'!H84</f>
        <v>10</v>
      </c>
      <c r="J31" s="52">
        <f>'[1]Customer Summary'!I84</f>
        <v>10</v>
      </c>
      <c r="K31" s="52">
        <f>'[1]Customer Summary'!J84</f>
        <v>10</v>
      </c>
      <c r="L31" s="52">
        <f>'[1]Customer Summary'!K84</f>
        <v>10</v>
      </c>
      <c r="M31" s="52">
        <f>'[1]Customer Summary'!L84</f>
        <v>10</v>
      </c>
      <c r="N31" s="52">
        <f>'[1]Customer Summary'!M84</f>
        <v>10</v>
      </c>
      <c r="O31" s="52">
        <f>'[1]Customer Summary'!N84</f>
        <v>120</v>
      </c>
      <c r="P31" s="52">
        <f>'[1]Customer Summary'!O84</f>
        <v>10</v>
      </c>
    </row>
    <row r="32" spans="1:16" x14ac:dyDescent="0.2">
      <c r="A32" s="53" t="s">
        <v>4</v>
      </c>
      <c r="C32" s="52">
        <f>SUM(C26:C31)</f>
        <v>229</v>
      </c>
      <c r="D32" s="52">
        <f t="shared" ref="D32:N32" si="5">SUM(D26:D31)</f>
        <v>231</v>
      </c>
      <c r="E32" s="52">
        <f t="shared" si="5"/>
        <v>231</v>
      </c>
      <c r="F32" s="52">
        <f t="shared" si="5"/>
        <v>231</v>
      </c>
      <c r="G32" s="52">
        <f t="shared" si="5"/>
        <v>232</v>
      </c>
      <c r="H32" s="52">
        <f t="shared" si="5"/>
        <v>237</v>
      </c>
      <c r="I32" s="52">
        <f t="shared" si="5"/>
        <v>237</v>
      </c>
      <c r="J32" s="52">
        <f t="shared" si="5"/>
        <v>236</v>
      </c>
      <c r="K32" s="52">
        <f t="shared" si="5"/>
        <v>236</v>
      </c>
      <c r="L32" s="52">
        <f t="shared" si="5"/>
        <v>236</v>
      </c>
      <c r="M32" s="52">
        <f t="shared" si="5"/>
        <v>233</v>
      </c>
      <c r="N32" s="52">
        <f t="shared" si="5"/>
        <v>234</v>
      </c>
      <c r="O32" s="52">
        <f>SUM(O26:O31)</f>
        <v>2803</v>
      </c>
      <c r="P32" s="52">
        <f>SUM(P26:P31)</f>
        <v>233.58333333333334</v>
      </c>
    </row>
    <row r="34" spans="1:16" x14ac:dyDescent="0.2">
      <c r="A34" s="183" t="s">
        <v>293</v>
      </c>
    </row>
    <row r="35" spans="1:16" x14ac:dyDescent="0.2">
      <c r="A35" s="174" t="s">
        <v>89</v>
      </c>
      <c r="C35" s="178">
        <f>C7</f>
        <v>768045</v>
      </c>
      <c r="D35" s="178">
        <f t="shared" ref="D35:P35" si="6">D7</f>
        <v>769188</v>
      </c>
      <c r="E35" s="178">
        <f t="shared" si="6"/>
        <v>769910</v>
      </c>
      <c r="F35" s="178">
        <f t="shared" si="6"/>
        <v>770300</v>
      </c>
      <c r="G35" s="178">
        <f t="shared" si="6"/>
        <v>770946</v>
      </c>
      <c r="H35" s="178">
        <f t="shared" si="6"/>
        <v>771263</v>
      </c>
      <c r="I35" s="178">
        <f t="shared" si="6"/>
        <v>771479</v>
      </c>
      <c r="J35" s="178">
        <f t="shared" si="6"/>
        <v>772033</v>
      </c>
      <c r="K35" s="178">
        <f t="shared" si="6"/>
        <v>772621</v>
      </c>
      <c r="L35" s="178">
        <f t="shared" si="6"/>
        <v>774710</v>
      </c>
      <c r="M35" s="178">
        <f t="shared" si="6"/>
        <v>776870</v>
      </c>
      <c r="N35" s="178">
        <f t="shared" si="6"/>
        <v>778198</v>
      </c>
      <c r="O35" s="178">
        <f t="shared" si="6"/>
        <v>9265563</v>
      </c>
      <c r="P35" s="178">
        <f t="shared" si="6"/>
        <v>772130.25</v>
      </c>
    </row>
    <row r="36" spans="1:16" x14ac:dyDescent="0.2">
      <c r="A36" s="174" t="s">
        <v>90</v>
      </c>
      <c r="C36" s="178">
        <f>C8</f>
        <v>56661</v>
      </c>
      <c r="D36" s="178">
        <f t="shared" ref="D36:P36" si="7">D8</f>
        <v>56664</v>
      </c>
      <c r="E36" s="178">
        <f t="shared" si="7"/>
        <v>56741</v>
      </c>
      <c r="F36" s="178">
        <f t="shared" si="7"/>
        <v>56703</v>
      </c>
      <c r="G36" s="178">
        <f t="shared" si="7"/>
        <v>56687</v>
      </c>
      <c r="H36" s="178">
        <f t="shared" si="7"/>
        <v>56612</v>
      </c>
      <c r="I36" s="178">
        <f t="shared" si="7"/>
        <v>56584</v>
      </c>
      <c r="J36" s="178">
        <f t="shared" si="7"/>
        <v>56567</v>
      </c>
      <c r="K36" s="178">
        <f t="shared" si="7"/>
        <v>56551</v>
      </c>
      <c r="L36" s="178">
        <f t="shared" si="7"/>
        <v>56701</v>
      </c>
      <c r="M36" s="178">
        <f t="shared" si="7"/>
        <v>56844</v>
      </c>
      <c r="N36" s="178">
        <f t="shared" si="7"/>
        <v>56978</v>
      </c>
      <c r="O36" s="178">
        <f t="shared" si="7"/>
        <v>680293</v>
      </c>
      <c r="P36" s="178">
        <f t="shared" si="7"/>
        <v>56691.083333333336</v>
      </c>
    </row>
    <row r="37" spans="1:16" x14ac:dyDescent="0.2">
      <c r="A37" s="174" t="s">
        <v>91</v>
      </c>
      <c r="C37" s="178">
        <f>C9</f>
        <v>1465</v>
      </c>
      <c r="D37" s="178">
        <f t="shared" ref="D37:P37" si="8">D9</f>
        <v>1462</v>
      </c>
      <c r="E37" s="178">
        <f t="shared" si="8"/>
        <v>1465</v>
      </c>
      <c r="F37" s="178">
        <f t="shared" si="8"/>
        <v>1468</v>
      </c>
      <c r="G37" s="178">
        <f t="shared" si="8"/>
        <v>1466</v>
      </c>
      <c r="H37" s="178">
        <f t="shared" si="8"/>
        <v>1461</v>
      </c>
      <c r="I37" s="178">
        <f t="shared" si="8"/>
        <v>1424</v>
      </c>
      <c r="J37" s="178">
        <f t="shared" si="8"/>
        <v>1411</v>
      </c>
      <c r="K37" s="178">
        <f t="shared" si="8"/>
        <v>1410</v>
      </c>
      <c r="L37" s="178">
        <f t="shared" si="8"/>
        <v>1417</v>
      </c>
      <c r="M37" s="178">
        <f t="shared" si="8"/>
        <v>1424</v>
      </c>
      <c r="N37" s="178">
        <f t="shared" si="8"/>
        <v>1425</v>
      </c>
      <c r="O37" s="178">
        <f t="shared" si="8"/>
        <v>17298</v>
      </c>
      <c r="P37" s="178">
        <f t="shared" si="8"/>
        <v>1441.5</v>
      </c>
    </row>
    <row r="38" spans="1:16" x14ac:dyDescent="0.2">
      <c r="A38" s="174" t="s">
        <v>4</v>
      </c>
      <c r="C38" s="177">
        <v>826171</v>
      </c>
      <c r="D38" s="177">
        <v>827314</v>
      </c>
      <c r="E38" s="177">
        <v>828116</v>
      </c>
      <c r="F38" s="177">
        <v>828471</v>
      </c>
      <c r="G38" s="177">
        <v>829099</v>
      </c>
      <c r="H38" s="177">
        <v>829336</v>
      </c>
      <c r="I38" s="177">
        <v>829487</v>
      </c>
      <c r="J38" s="177">
        <v>830011</v>
      </c>
      <c r="K38" s="177">
        <v>830582</v>
      </c>
      <c r="L38" s="177">
        <v>832828</v>
      </c>
      <c r="M38" s="177">
        <v>835138</v>
      </c>
      <c r="N38" s="177">
        <v>836601</v>
      </c>
      <c r="O38" s="177">
        <v>9963154</v>
      </c>
      <c r="P38" s="177">
        <v>830262.83333333337</v>
      </c>
    </row>
    <row r="42" spans="1:16" x14ac:dyDescent="0.2">
      <c r="A42" s="184" t="s">
        <v>394</v>
      </c>
    </row>
  </sheetData>
  <pageMargins left="0.7" right="0.7" top="0.75" bottom="0.75" header="0.3" footer="0.3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>
      <selection activeCell="H30" sqref="H30"/>
    </sheetView>
  </sheetViews>
  <sheetFormatPr defaultRowHeight="12.75" x14ac:dyDescent="0.2"/>
  <cols>
    <col min="1" max="1" width="35.140625" bestFit="1" customWidth="1"/>
    <col min="2" max="2" width="13.42578125" bestFit="1" customWidth="1"/>
    <col min="3" max="4" width="13.140625" bestFit="1" customWidth="1"/>
    <col min="5" max="5" width="13.42578125" bestFit="1" customWidth="1"/>
    <col min="6" max="6" width="7.42578125" bestFit="1" customWidth="1"/>
    <col min="7" max="7" width="13.140625" bestFit="1" customWidth="1"/>
    <col min="8" max="8" width="7.42578125" bestFit="1" customWidth="1"/>
    <col min="9" max="9" width="13.140625" bestFit="1" customWidth="1"/>
    <col min="10" max="10" width="7.42578125" bestFit="1" customWidth="1"/>
  </cols>
  <sheetData>
    <row r="1" spans="1:10" x14ac:dyDescent="0.2">
      <c r="A1" s="351" t="s">
        <v>108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2">
      <c r="A2" s="238" t="s">
        <v>294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x14ac:dyDescent="0.2">
      <c r="A3" s="238" t="s">
        <v>395</v>
      </c>
      <c r="B3" s="58"/>
      <c r="C3" s="58"/>
      <c r="D3" s="58"/>
      <c r="E3" s="58"/>
      <c r="F3" s="58"/>
      <c r="G3" s="58"/>
      <c r="H3" s="58"/>
      <c r="I3" s="58"/>
      <c r="J3" s="58"/>
    </row>
    <row r="4" spans="1:10" x14ac:dyDescent="0.2">
      <c r="A4" s="230" t="s">
        <v>289</v>
      </c>
      <c r="B4" s="58"/>
      <c r="C4" s="58"/>
      <c r="D4" s="58"/>
      <c r="E4" s="58"/>
      <c r="F4" s="58"/>
      <c r="G4" s="58"/>
      <c r="H4" s="58"/>
      <c r="I4" s="58"/>
      <c r="J4" s="58"/>
    </row>
    <row r="5" spans="1:10" x14ac:dyDescent="0.2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0" x14ac:dyDescent="0.2">
      <c r="A6" s="58"/>
      <c r="B6" s="231" t="s">
        <v>109</v>
      </c>
      <c r="C6" s="231"/>
      <c r="D6" s="231"/>
      <c r="E6" s="232" t="s">
        <v>110</v>
      </c>
      <c r="F6" s="231"/>
      <c r="G6" s="232" t="s">
        <v>111</v>
      </c>
      <c r="H6" s="231"/>
      <c r="I6" s="232" t="s">
        <v>112</v>
      </c>
      <c r="J6" s="231"/>
    </row>
    <row r="7" spans="1:10" x14ac:dyDescent="0.2">
      <c r="A7" s="59" t="s">
        <v>113</v>
      </c>
      <c r="B7" s="60" t="s">
        <v>114</v>
      </c>
      <c r="C7" s="60" t="s">
        <v>115</v>
      </c>
      <c r="D7" s="61" t="s">
        <v>4</v>
      </c>
      <c r="E7" s="62" t="s">
        <v>116</v>
      </c>
      <c r="F7" s="59" t="s">
        <v>117</v>
      </c>
      <c r="G7" s="63" t="s">
        <v>116</v>
      </c>
      <c r="H7" s="60" t="s">
        <v>117</v>
      </c>
      <c r="I7" s="63" t="s">
        <v>116</v>
      </c>
      <c r="J7" s="60" t="s">
        <v>117</v>
      </c>
    </row>
    <row r="8" spans="1:10" x14ac:dyDescent="0.2">
      <c r="A8" s="64" t="s">
        <v>118</v>
      </c>
      <c r="B8" s="55">
        <f>[2]Summary!B8</f>
        <v>754496</v>
      </c>
      <c r="C8" s="55">
        <f>[2]Summary!C8</f>
        <v>63994</v>
      </c>
      <c r="D8" s="55">
        <f t="shared" ref="D8:D20" si="0">C8+B8</f>
        <v>818490</v>
      </c>
      <c r="E8" s="65">
        <f>[2]Summary!E8</f>
        <v>154698829.74599999</v>
      </c>
      <c r="F8" s="66">
        <f t="shared" ref="F8:F20" si="1">E8/$E$21</f>
        <v>0.79183579516440172</v>
      </c>
      <c r="G8" s="65">
        <f>[2]Summary!G8</f>
        <v>36849172.416000001</v>
      </c>
      <c r="H8" s="66">
        <f t="shared" ref="H8:H20" si="2">G8/$G$21</f>
        <v>0.92798231192244485</v>
      </c>
      <c r="I8" s="65">
        <f>[2]Summary!I8</f>
        <v>168220.24000000002</v>
      </c>
      <c r="J8" s="66">
        <f t="shared" ref="J8:J20" si="3">I8/$I$21</f>
        <v>4.4793285800766199E-3</v>
      </c>
    </row>
    <row r="9" spans="1:10" x14ac:dyDescent="0.2">
      <c r="A9" s="64" t="s">
        <v>119</v>
      </c>
      <c r="B9" s="55">
        <f>[2]Summary!B9</f>
        <v>0</v>
      </c>
      <c r="C9" s="55">
        <f>[2]Summary!C9</f>
        <v>1</v>
      </c>
      <c r="D9" s="55">
        <f t="shared" si="0"/>
        <v>1</v>
      </c>
      <c r="E9" s="65">
        <f>[2]Summary!E9</f>
        <v>87.355999999999995</v>
      </c>
      <c r="F9" s="66">
        <f t="shared" si="1"/>
        <v>4.4713723973189931E-7</v>
      </c>
      <c r="G9" s="65">
        <f>[2]Summary!G9</f>
        <v>45.024000000000008</v>
      </c>
      <c r="H9" s="66">
        <f t="shared" si="2"/>
        <v>1.1338511253472423E-6</v>
      </c>
      <c r="I9" s="65">
        <f>[2]Summary!I9</f>
        <v>0</v>
      </c>
      <c r="J9" s="66">
        <f t="shared" si="3"/>
        <v>0</v>
      </c>
    </row>
    <row r="10" spans="1:10" x14ac:dyDescent="0.2">
      <c r="A10" s="64" t="s">
        <v>120</v>
      </c>
      <c r="B10" s="55">
        <f>[2]Summary!B10</f>
        <v>63035</v>
      </c>
      <c r="C10" s="55">
        <f>[2]Summary!C10</f>
        <v>6009</v>
      </c>
      <c r="D10" s="55">
        <f t="shared" si="0"/>
        <v>69044</v>
      </c>
      <c r="E10" s="65">
        <f>[2]Summary!E10</f>
        <v>39869458.998000003</v>
      </c>
      <c r="F10" s="66">
        <f t="shared" si="1"/>
        <v>0.20407436061598352</v>
      </c>
      <c r="G10" s="65">
        <f>[2]Summary!G10</f>
        <v>2834485.9200000004</v>
      </c>
      <c r="H10" s="66">
        <f t="shared" si="2"/>
        <v>7.1381597596235649E-2</v>
      </c>
      <c r="I10" s="65">
        <f>[2]Summary!I10</f>
        <v>19681849.309999999</v>
      </c>
      <c r="J10" s="66">
        <f t="shared" si="3"/>
        <v>0.52408360684210342</v>
      </c>
    </row>
    <row r="11" spans="1:10" x14ac:dyDescent="0.2">
      <c r="A11" s="64" t="s">
        <v>121</v>
      </c>
      <c r="B11" s="55">
        <f>[2]Summary!B11</f>
        <v>2</v>
      </c>
      <c r="C11" s="55">
        <f>[2]Summary!C11</f>
        <v>1</v>
      </c>
      <c r="D11" s="55">
        <f t="shared" si="0"/>
        <v>3</v>
      </c>
      <c r="E11" s="65">
        <f>[2]Summary!E11</f>
        <v>0</v>
      </c>
      <c r="F11" s="66">
        <f t="shared" si="1"/>
        <v>0</v>
      </c>
      <c r="G11" s="65">
        <f>[2]Summary!G11</f>
        <v>0</v>
      </c>
      <c r="H11" s="66">
        <f t="shared" si="2"/>
        <v>0</v>
      </c>
      <c r="I11" s="65">
        <f>[2]Summary!I11</f>
        <v>9699.08</v>
      </c>
      <c r="J11" s="66">
        <f t="shared" si="3"/>
        <v>2.5826479765127865E-4</v>
      </c>
    </row>
    <row r="12" spans="1:10" x14ac:dyDescent="0.2">
      <c r="A12" s="64" t="s">
        <v>122</v>
      </c>
      <c r="B12" s="55">
        <f>[2]Summary!B12</f>
        <v>1720</v>
      </c>
      <c r="C12" s="55">
        <f>[2]Summary!C12</f>
        <v>513</v>
      </c>
      <c r="D12" s="55">
        <f t="shared" si="0"/>
        <v>2233</v>
      </c>
      <c r="E12" s="65">
        <f>[2]Summary!E12</f>
        <v>782866.52799999993</v>
      </c>
      <c r="F12" s="66">
        <f t="shared" si="1"/>
        <v>4.007152094972476E-3</v>
      </c>
      <c r="G12" s="65">
        <f>[2]Summary!G12</f>
        <v>24673.152000000006</v>
      </c>
      <c r="H12" s="66">
        <f t="shared" si="2"/>
        <v>6.2135041669028883E-4</v>
      </c>
      <c r="I12" s="65">
        <f>[2]Summary!I12</f>
        <v>9655113.3899999987</v>
      </c>
      <c r="J12" s="66">
        <f t="shared" si="3"/>
        <v>0.25709406520706096</v>
      </c>
    </row>
    <row r="13" spans="1:10" x14ac:dyDescent="0.2">
      <c r="A13" s="64" t="s">
        <v>123</v>
      </c>
      <c r="B13" s="55">
        <f>[2]Summary!B13</f>
        <v>50</v>
      </c>
      <c r="C13" s="55">
        <f>[2]Summary!C13</f>
        <v>107</v>
      </c>
      <c r="D13" s="55">
        <f t="shared" si="0"/>
        <v>157</v>
      </c>
      <c r="E13" s="65">
        <f>[2]Summary!E13</f>
        <v>7476.23</v>
      </c>
      <c r="F13" s="66">
        <f t="shared" si="1"/>
        <v>3.8267558562672485E-5</v>
      </c>
      <c r="G13" s="65">
        <f>[2]Summary!G13</f>
        <v>225.12000000000003</v>
      </c>
      <c r="H13" s="66">
        <f t="shared" si="2"/>
        <v>5.6692556267362121E-6</v>
      </c>
      <c r="I13" s="65">
        <f>[2]Summary!I13</f>
        <v>1008271.6900000001</v>
      </c>
      <c r="J13" s="66">
        <f t="shared" si="3"/>
        <v>2.6848018986889766E-2</v>
      </c>
    </row>
    <row r="14" spans="1:10" x14ac:dyDescent="0.2">
      <c r="A14" s="64" t="s">
        <v>124</v>
      </c>
      <c r="B14" s="55">
        <f>[2]Summary!B14</f>
        <v>2</v>
      </c>
      <c r="C14" s="55">
        <f>[2]Summary!C14</f>
        <v>51</v>
      </c>
      <c r="D14" s="55">
        <f t="shared" si="0"/>
        <v>53</v>
      </c>
      <c r="E14" s="65">
        <f>[2]Summary!E14</f>
        <v>0</v>
      </c>
      <c r="F14" s="66">
        <f t="shared" si="1"/>
        <v>0</v>
      </c>
      <c r="G14" s="65">
        <f>[2]Summary!G14</f>
        <v>0</v>
      </c>
      <c r="H14" s="66">
        <f t="shared" si="2"/>
        <v>0</v>
      </c>
      <c r="I14" s="65">
        <f>[2]Summary!I14</f>
        <v>780041.33000000007</v>
      </c>
      <c r="J14" s="66">
        <f t="shared" si="3"/>
        <v>2.0770755190397883E-2</v>
      </c>
    </row>
    <row r="15" spans="1:10" x14ac:dyDescent="0.2">
      <c r="A15" s="64" t="s">
        <v>125</v>
      </c>
      <c r="B15" s="55">
        <f>[2]Summary!B15</f>
        <v>97</v>
      </c>
      <c r="C15" s="55">
        <f>[2]Summary!C15</f>
        <v>116</v>
      </c>
      <c r="D15" s="55">
        <f t="shared" si="0"/>
        <v>213</v>
      </c>
      <c r="E15" s="65">
        <f>[2]Summary!E15</f>
        <v>4485.7379999999994</v>
      </c>
      <c r="F15" s="66">
        <f t="shared" si="1"/>
        <v>2.2960535137603488E-5</v>
      </c>
      <c r="G15" s="65">
        <f>[2]Summary!G15</f>
        <v>135.07200000000003</v>
      </c>
      <c r="H15" s="66">
        <f t="shared" si="2"/>
        <v>3.4015533760417274E-6</v>
      </c>
      <c r="I15" s="65">
        <f>[2]Summary!I15</f>
        <v>3473148.6900000004</v>
      </c>
      <c r="J15" s="66">
        <f t="shared" si="3"/>
        <v>9.2482178065925194E-2</v>
      </c>
    </row>
    <row r="16" spans="1:10" x14ac:dyDescent="0.2">
      <c r="A16" s="64" t="s">
        <v>126</v>
      </c>
      <c r="B16" s="55">
        <f>[2]Summary!B16</f>
        <v>53</v>
      </c>
      <c r="C16" s="55">
        <f>[2]Summary!C16</f>
        <v>217</v>
      </c>
      <c r="D16" s="55">
        <f t="shared" si="0"/>
        <v>270</v>
      </c>
      <c r="E16" s="65">
        <f>[2]Summary!E16</f>
        <v>2610.768</v>
      </c>
      <c r="F16" s="66">
        <f t="shared" si="1"/>
        <v>1.336338198979316E-5</v>
      </c>
      <c r="G16" s="65">
        <f>[2]Summary!G16</f>
        <v>135.07200000000003</v>
      </c>
      <c r="H16" s="66">
        <f t="shared" si="2"/>
        <v>3.4015533760417274E-6</v>
      </c>
      <c r="I16" s="65">
        <f>[2]Summary!I16</f>
        <v>928869.83000000007</v>
      </c>
      <c r="J16" s="66">
        <f t="shared" si="3"/>
        <v>2.4733725125406496E-2</v>
      </c>
    </row>
    <row r="17" spans="1:10" x14ac:dyDescent="0.2">
      <c r="A17" s="64" t="s">
        <v>127</v>
      </c>
      <c r="B17" s="55">
        <f>[2]Summary!B17</f>
        <v>0</v>
      </c>
      <c r="C17" s="55">
        <f>[2]Summary!C17</f>
        <v>6</v>
      </c>
      <c r="D17" s="55">
        <f>C17+B17</f>
        <v>6</v>
      </c>
      <c r="E17" s="65">
        <f>[2]Summary!E17</f>
        <v>0</v>
      </c>
      <c r="F17" s="66">
        <f t="shared" si="1"/>
        <v>0</v>
      </c>
      <c r="G17" s="65">
        <f>[2]Summary!G17</f>
        <v>0</v>
      </c>
      <c r="H17" s="66">
        <f t="shared" si="2"/>
        <v>0</v>
      </c>
      <c r="I17" s="65">
        <f>[2]Summary!I17</f>
        <v>66248.88</v>
      </c>
      <c r="J17" s="66">
        <f t="shared" si="3"/>
        <v>1.7640594353097246E-3</v>
      </c>
    </row>
    <row r="18" spans="1:10" x14ac:dyDescent="0.2">
      <c r="A18" s="64" t="s">
        <v>128</v>
      </c>
      <c r="B18" s="55">
        <f>[2]Summary!B18</f>
        <v>0</v>
      </c>
      <c r="C18" s="55">
        <f>[2]Summary!C18</f>
        <v>8</v>
      </c>
      <c r="D18" s="55">
        <f t="shared" si="0"/>
        <v>8</v>
      </c>
      <c r="E18" s="65">
        <f>[2]Summary!E18</f>
        <v>0</v>
      </c>
      <c r="F18" s="66">
        <f t="shared" si="1"/>
        <v>0</v>
      </c>
      <c r="G18" s="65">
        <f>[2]Summary!G18</f>
        <v>0</v>
      </c>
      <c r="H18" s="66">
        <f t="shared" si="2"/>
        <v>0</v>
      </c>
      <c r="I18" s="65">
        <f>[2]Summary!I18</f>
        <v>293341.87000000005</v>
      </c>
      <c r="J18" s="66">
        <f t="shared" si="3"/>
        <v>7.811037613690959E-3</v>
      </c>
    </row>
    <row r="19" spans="1:10" x14ac:dyDescent="0.2">
      <c r="A19" s="64" t="s">
        <v>129</v>
      </c>
      <c r="B19" s="55">
        <f>[2]Summary!B19</f>
        <v>14</v>
      </c>
      <c r="C19" s="55">
        <f>[2]Summary!C19</f>
        <v>9</v>
      </c>
      <c r="D19" s="55">
        <f>C19+B19</f>
        <v>23</v>
      </c>
      <c r="E19" s="65">
        <f>[2]Summary!E19</f>
        <v>0</v>
      </c>
      <c r="F19" s="67">
        <f t="shared" si="1"/>
        <v>0</v>
      </c>
      <c r="G19" s="65">
        <f>[2]Summary!G19</f>
        <v>0</v>
      </c>
      <c r="H19" s="67">
        <f t="shared" si="2"/>
        <v>0</v>
      </c>
      <c r="I19" s="65">
        <f>[2]Summary!I19</f>
        <v>779883.41</v>
      </c>
      <c r="J19" s="67">
        <f t="shared" si="3"/>
        <v>2.0766550134161097E-2</v>
      </c>
    </row>
    <row r="20" spans="1:10" x14ac:dyDescent="0.2">
      <c r="A20" s="64" t="s">
        <v>86</v>
      </c>
      <c r="B20" s="55">
        <f>[2]Summary!B20</f>
        <v>21</v>
      </c>
      <c r="C20" s="55">
        <f>[2]Summary!C20</f>
        <v>11</v>
      </c>
      <c r="D20" s="169">
        <f t="shared" si="0"/>
        <v>32</v>
      </c>
      <c r="E20" s="65">
        <f>[2]Summary!E20</f>
        <v>1495.2459999999999</v>
      </c>
      <c r="F20" s="67">
        <f t="shared" si="1"/>
        <v>7.6535117125344971E-6</v>
      </c>
      <c r="G20" s="65">
        <f>[2]Summary!G20</f>
        <v>45.024000000000008</v>
      </c>
      <c r="H20" s="67">
        <f t="shared" si="2"/>
        <v>1.1338511253472423E-6</v>
      </c>
      <c r="I20" s="65">
        <f>[2]Summary!I20</f>
        <v>710101.35000000009</v>
      </c>
      <c r="J20" s="69">
        <f t="shared" si="3"/>
        <v>1.8908410021326746E-2</v>
      </c>
    </row>
    <row r="21" spans="1:10" x14ac:dyDescent="0.2">
      <c r="A21" s="57" t="s">
        <v>4</v>
      </c>
      <c r="B21" s="170">
        <f>SUM(B8:B20)</f>
        <v>819490</v>
      </c>
      <c r="C21" s="170">
        <f>SUM(C8:C20)</f>
        <v>71043</v>
      </c>
      <c r="D21" s="170">
        <f>C21+B21</f>
        <v>890533</v>
      </c>
      <c r="E21" s="171">
        <f t="shared" ref="E21:J21" si="4">SUM(E8:E20)</f>
        <v>195367310.60999998</v>
      </c>
      <c r="F21" s="172">
        <f t="shared" si="4"/>
        <v>0.99999999999999989</v>
      </c>
      <c r="G21" s="171">
        <f t="shared" si="4"/>
        <v>39708916.79999999</v>
      </c>
      <c r="H21" s="172">
        <f t="shared" si="4"/>
        <v>1.0000000000000004</v>
      </c>
      <c r="I21" s="171">
        <f t="shared" si="4"/>
        <v>37554789.069999993</v>
      </c>
      <c r="J21" s="70">
        <f t="shared" si="4"/>
        <v>1</v>
      </c>
    </row>
    <row r="22" spans="1:10" x14ac:dyDescent="0.2">
      <c r="A22" s="71"/>
      <c r="B22" s="55"/>
      <c r="C22" s="55"/>
      <c r="D22" s="55"/>
      <c r="E22" s="55"/>
      <c r="F22" s="55"/>
      <c r="G22" s="55"/>
      <c r="H22" s="55"/>
      <c r="I22" s="55"/>
      <c r="J22" s="58"/>
    </row>
    <row r="23" spans="1:10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</row>
    <row r="24" spans="1:10" x14ac:dyDescent="0.2">
      <c r="A24" s="57" t="s">
        <v>130</v>
      </c>
      <c r="B24" s="58"/>
      <c r="C24" s="58"/>
      <c r="D24" s="58"/>
      <c r="E24" s="58"/>
      <c r="F24" s="58"/>
      <c r="G24" s="58"/>
      <c r="H24" s="58"/>
      <c r="I24" s="58"/>
      <c r="J24" s="58"/>
    </row>
    <row r="25" spans="1:10" x14ac:dyDescent="0.2">
      <c r="A25" s="58"/>
      <c r="B25" s="58"/>
      <c r="C25" s="58"/>
      <c r="D25" s="58"/>
      <c r="E25" s="58"/>
      <c r="F25" s="58"/>
      <c r="G25" s="58"/>
      <c r="H25" s="58"/>
      <c r="I25" s="58"/>
      <c r="J25" s="58"/>
    </row>
    <row r="26" spans="1:10" x14ac:dyDescent="0.2">
      <c r="A26" s="58"/>
      <c r="B26" s="72" t="s">
        <v>110</v>
      </c>
      <c r="C26" s="72" t="s">
        <v>111</v>
      </c>
      <c r="D26" s="72" t="s">
        <v>112</v>
      </c>
      <c r="E26" s="58"/>
      <c r="F26" s="58"/>
      <c r="G26" s="58"/>
      <c r="H26" s="58"/>
      <c r="I26" s="58"/>
      <c r="J26" s="58"/>
    </row>
    <row r="27" spans="1:10" x14ac:dyDescent="0.2">
      <c r="A27" s="58" t="s">
        <v>89</v>
      </c>
      <c r="B27" s="73">
        <f>[2]Summary!B27</f>
        <v>154698917.102</v>
      </c>
      <c r="C27" s="73">
        <f>[2]Summary!C27</f>
        <v>36849217.439999998</v>
      </c>
      <c r="D27" s="73">
        <f>[2]Summary!D27</f>
        <v>168220.24000000002</v>
      </c>
      <c r="E27" s="58"/>
      <c r="F27" s="58"/>
      <c r="G27" s="58"/>
      <c r="H27" s="58"/>
      <c r="I27" s="58"/>
      <c r="J27" s="58"/>
    </row>
    <row r="28" spans="1:10" x14ac:dyDescent="0.2">
      <c r="A28" s="58" t="s">
        <v>90</v>
      </c>
      <c r="B28" s="73">
        <f>[2]Summary!B28</f>
        <v>39869458.998000003</v>
      </c>
      <c r="C28" s="73">
        <f>[2]Summary!C28</f>
        <v>2834485.9200000004</v>
      </c>
      <c r="D28" s="73">
        <f>[2]Summary!D28</f>
        <v>19681849.309999999</v>
      </c>
      <c r="E28" s="58"/>
      <c r="F28" s="58"/>
      <c r="G28" s="58"/>
      <c r="H28" s="58"/>
      <c r="I28" s="58"/>
      <c r="J28" s="58"/>
    </row>
    <row r="29" spans="1:10" x14ac:dyDescent="0.2">
      <c r="A29" s="58" t="s">
        <v>91</v>
      </c>
      <c r="B29" s="73">
        <f>[2]Summary!B29</f>
        <v>790342.75799999991</v>
      </c>
      <c r="C29" s="73">
        <f>[2]Summary!C29</f>
        <v>24898.272000000004</v>
      </c>
      <c r="D29" s="73">
        <f>[2]Summary!D29</f>
        <v>10663385.079999998</v>
      </c>
      <c r="E29" s="58"/>
      <c r="F29" s="58"/>
      <c r="G29" s="58"/>
      <c r="H29" s="58"/>
      <c r="I29" s="58"/>
      <c r="J29" s="58"/>
    </row>
    <row r="30" spans="1:10" x14ac:dyDescent="0.2">
      <c r="A30" s="58" t="s">
        <v>92</v>
      </c>
      <c r="B30" s="73">
        <f>[2]Summary!B30</f>
        <v>4485.7379999999994</v>
      </c>
      <c r="C30" s="73">
        <f>[2]Summary!C30</f>
        <v>135.07200000000003</v>
      </c>
      <c r="D30" s="73">
        <f>[2]Summary!D30</f>
        <v>4253190.0200000005</v>
      </c>
      <c r="E30" s="58"/>
      <c r="F30" s="58"/>
      <c r="G30" s="58"/>
      <c r="H30" s="58"/>
      <c r="I30" s="58"/>
      <c r="J30" s="58"/>
    </row>
    <row r="31" spans="1:10" x14ac:dyDescent="0.2">
      <c r="A31" s="58" t="s">
        <v>93</v>
      </c>
      <c r="B31" s="73">
        <f>[2]Summary!B31</f>
        <v>2610.768</v>
      </c>
      <c r="C31" s="73">
        <f>[2]Summary!C31</f>
        <v>135.07200000000003</v>
      </c>
      <c r="D31" s="73">
        <f>[2]Summary!D31</f>
        <v>995118.71000000008</v>
      </c>
      <c r="E31" s="58"/>
      <c r="F31" s="58"/>
      <c r="G31" s="58"/>
      <c r="H31" s="58"/>
      <c r="I31" s="58"/>
      <c r="J31" s="58"/>
    </row>
    <row r="32" spans="1:10" x14ac:dyDescent="0.2">
      <c r="A32" s="58" t="s">
        <v>94</v>
      </c>
      <c r="B32" s="73">
        <f>[2]Summary!B32</f>
        <v>0</v>
      </c>
      <c r="C32" s="73">
        <f>[2]Summary!C32</f>
        <v>0</v>
      </c>
      <c r="D32" s="73">
        <f>[2]Summary!D32</f>
        <v>1073225.28</v>
      </c>
      <c r="E32" s="58"/>
      <c r="F32" s="58"/>
      <c r="G32" s="58"/>
      <c r="H32" s="58"/>
      <c r="I32" s="58"/>
      <c r="J32" s="58"/>
    </row>
    <row r="33" spans="1:10" x14ac:dyDescent="0.2">
      <c r="A33" s="58" t="s">
        <v>95</v>
      </c>
      <c r="B33" s="73">
        <f>[2]Summary!B33</f>
        <v>1495.2459999999999</v>
      </c>
      <c r="C33" s="73">
        <f>[2]Summary!C33</f>
        <v>45.024000000000008</v>
      </c>
      <c r="D33" s="73">
        <f>[2]Summary!D33</f>
        <v>710101.35000000009</v>
      </c>
      <c r="E33" s="58"/>
      <c r="F33" s="58"/>
      <c r="G33" s="58"/>
      <c r="H33" s="58"/>
      <c r="I33" s="58"/>
      <c r="J33" s="58"/>
    </row>
    <row r="34" spans="1:10" x14ac:dyDescent="0.2">
      <c r="A34" s="58" t="s">
        <v>131</v>
      </c>
      <c r="B34" s="73">
        <f>[2]Summary!B34</f>
        <v>0</v>
      </c>
      <c r="C34" s="73">
        <f>[2]Summary!C34</f>
        <v>0</v>
      </c>
      <c r="D34" s="73">
        <f>[2]Summary!D34</f>
        <v>0</v>
      </c>
      <c r="E34" s="58"/>
      <c r="F34" s="58"/>
      <c r="G34" s="58"/>
      <c r="H34" s="58"/>
      <c r="I34" s="58"/>
      <c r="J34" s="58"/>
    </row>
    <row r="35" spans="1:10" x14ac:dyDescent="0.2">
      <c r="A35" s="58" t="s">
        <v>4</v>
      </c>
      <c r="B35" s="74">
        <f>SUM(B27:B34)</f>
        <v>195367310.60999998</v>
      </c>
      <c r="C35" s="74">
        <f>SUM(C27:C34)</f>
        <v>39708916.79999999</v>
      </c>
      <c r="D35" s="74">
        <f>SUM(D27:D34)</f>
        <v>37545089.990000002</v>
      </c>
      <c r="E35" s="58"/>
      <c r="F35" s="58"/>
      <c r="G35" s="58"/>
      <c r="H35" s="58"/>
      <c r="I35" s="58"/>
      <c r="J35" s="58"/>
    </row>
  </sheetData>
  <pageMargins left="0.7" right="0.7" top="0.75" bottom="0.75" header="0.3" footer="0.3"/>
  <pageSetup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8"/>
  <sheetViews>
    <sheetView workbookViewId="0">
      <selection activeCell="E32" sqref="E32"/>
    </sheetView>
  </sheetViews>
  <sheetFormatPr defaultRowHeight="12.75" x14ac:dyDescent="0.2"/>
  <cols>
    <col min="1" max="1" width="7.5703125" style="241" customWidth="1"/>
    <col min="2" max="2" width="29.140625" customWidth="1"/>
    <col min="3" max="3" width="15" bestFit="1" customWidth="1"/>
    <col min="4" max="4" width="14.5703125" bestFit="1" customWidth="1"/>
    <col min="5" max="5" width="12.28515625" bestFit="1" customWidth="1"/>
    <col min="6" max="6" width="12.42578125" bestFit="1" customWidth="1"/>
    <col min="7" max="7" width="18.42578125" bestFit="1" customWidth="1"/>
  </cols>
  <sheetData>
    <row r="1" spans="1:8" x14ac:dyDescent="0.2">
      <c r="A1" s="85" t="s">
        <v>108</v>
      </c>
      <c r="B1" s="233"/>
      <c r="C1" s="233"/>
      <c r="D1" s="233"/>
      <c r="E1" s="233"/>
      <c r="F1" s="233"/>
    </row>
    <row r="2" spans="1:8" x14ac:dyDescent="0.2">
      <c r="A2" s="85" t="s">
        <v>294</v>
      </c>
      <c r="B2" s="233"/>
      <c r="C2" s="233"/>
      <c r="D2" s="233"/>
      <c r="E2" s="233"/>
      <c r="F2" s="233"/>
    </row>
    <row r="3" spans="1:8" x14ac:dyDescent="0.2">
      <c r="A3" s="85" t="s">
        <v>295</v>
      </c>
      <c r="B3" s="233"/>
      <c r="C3" s="233"/>
      <c r="D3" s="233"/>
      <c r="E3" s="233"/>
      <c r="F3" s="233"/>
    </row>
    <row r="5" spans="1:8" x14ac:dyDescent="0.2">
      <c r="A5" s="352" t="s">
        <v>132</v>
      </c>
      <c r="D5" s="234" t="s">
        <v>133</v>
      </c>
      <c r="E5" s="234"/>
      <c r="F5" s="234"/>
    </row>
    <row r="6" spans="1:8" x14ac:dyDescent="0.2">
      <c r="A6" s="353" t="s">
        <v>134</v>
      </c>
      <c r="B6" s="94" t="s">
        <v>87</v>
      </c>
      <c r="C6" s="94" t="s">
        <v>135</v>
      </c>
      <c r="D6" s="180" t="s">
        <v>136</v>
      </c>
      <c r="E6" s="181" t="s">
        <v>137</v>
      </c>
      <c r="F6" s="181" t="s">
        <v>138</v>
      </c>
      <c r="G6" s="181" t="s">
        <v>297</v>
      </c>
    </row>
    <row r="7" spans="1:8" x14ac:dyDescent="0.2">
      <c r="B7" s="91" t="s">
        <v>139</v>
      </c>
      <c r="C7" s="91" t="s">
        <v>140</v>
      </c>
      <c r="D7" s="91" t="s">
        <v>141</v>
      </c>
      <c r="E7" s="93" t="s">
        <v>142</v>
      </c>
      <c r="F7" s="93" t="s">
        <v>143</v>
      </c>
    </row>
    <row r="9" spans="1:8" x14ac:dyDescent="0.2">
      <c r="A9" s="352">
        <v>1</v>
      </c>
      <c r="B9" s="163" t="s">
        <v>144</v>
      </c>
      <c r="C9" s="166">
        <f>'[3]Direct 380'!C9</f>
        <v>4400799.1643617945</v>
      </c>
      <c r="D9" s="66">
        <f>C9/$C$18</f>
        <v>0.23838028876473627</v>
      </c>
      <c r="E9" s="65">
        <f t="shared" ref="E9:E17" si="0">D9*$C$27</f>
        <v>2653142.8743152767</v>
      </c>
      <c r="F9" s="65">
        <f t="shared" ref="F9:F17" si="1">D9*$C$31</f>
        <v>-1295894.2995815168</v>
      </c>
      <c r="H9" s="134"/>
    </row>
    <row r="10" spans="1:8" x14ac:dyDescent="0.2">
      <c r="A10" s="352">
        <f>A9+1</f>
        <v>2</v>
      </c>
      <c r="B10" s="163" t="s">
        <v>145</v>
      </c>
      <c r="C10" s="166">
        <f>'[3]Direct 380'!C10</f>
        <v>72246.997858551447</v>
      </c>
      <c r="D10" s="66">
        <f t="shared" ref="D10:D17" si="2">C10/$C$18</f>
        <v>3.913439256981943E-3</v>
      </c>
      <c r="E10" s="65">
        <f t="shared" si="0"/>
        <v>43556.090700831737</v>
      </c>
      <c r="F10" s="65">
        <f t="shared" si="1"/>
        <v>-21274.425210074845</v>
      </c>
      <c r="H10" s="134"/>
    </row>
    <row r="11" spans="1:8" x14ac:dyDescent="0.2">
      <c r="A11" s="352">
        <f t="shared" ref="A11:A19" si="3">A10+1</f>
        <v>3</v>
      </c>
      <c r="B11" s="164" t="s">
        <v>146</v>
      </c>
      <c r="C11" s="166">
        <f>'[3]Direct 380'!C11</f>
        <v>3519933.1802504067</v>
      </c>
      <c r="D11" s="66">
        <f t="shared" si="2"/>
        <v>0.19066598056454426</v>
      </c>
      <c r="E11" s="65">
        <f t="shared" si="0"/>
        <v>2122088.5767464023</v>
      </c>
      <c r="F11" s="65">
        <f t="shared" si="1"/>
        <v>-1036507.5007588643</v>
      </c>
      <c r="H11" s="134"/>
    </row>
    <row r="12" spans="1:8" x14ac:dyDescent="0.2">
      <c r="A12" s="352">
        <f t="shared" si="3"/>
        <v>4</v>
      </c>
      <c r="B12" s="89" t="s">
        <v>147</v>
      </c>
      <c r="C12" s="166">
        <f>'[3]Direct 380'!C12</f>
        <v>6160035.3202083549</v>
      </c>
      <c r="D12" s="66">
        <f t="shared" si="2"/>
        <v>0.33367371324821515</v>
      </c>
      <c r="E12" s="65">
        <f t="shared" si="0"/>
        <v>3713746.8002840239</v>
      </c>
      <c r="F12" s="65">
        <f t="shared" si="1"/>
        <v>-1813932.9604777528</v>
      </c>
      <c r="G12" s="73">
        <f>SUM(E9:E12)</f>
        <v>8532534.3420465346</v>
      </c>
      <c r="H12" s="179"/>
    </row>
    <row r="13" spans="1:8" x14ac:dyDescent="0.2">
      <c r="A13" s="352">
        <f t="shared" si="3"/>
        <v>5</v>
      </c>
      <c r="B13" s="89" t="s">
        <v>148</v>
      </c>
      <c r="C13" s="166">
        <f>'[3]Direct 380'!C13</f>
        <v>314119.03339226858</v>
      </c>
      <c r="D13" s="66">
        <f t="shared" si="2"/>
        <v>1.701504274335771E-2</v>
      </c>
      <c r="E13" s="65">
        <f t="shared" si="0"/>
        <v>189375.30298598853</v>
      </c>
      <c r="F13" s="65">
        <f t="shared" si="1"/>
        <v>-92497.987197316179</v>
      </c>
      <c r="H13" s="134"/>
    </row>
    <row r="14" spans="1:8" x14ac:dyDescent="0.2">
      <c r="A14" s="352">
        <f t="shared" si="3"/>
        <v>6</v>
      </c>
      <c r="B14" s="58" t="s">
        <v>149</v>
      </c>
      <c r="C14" s="166">
        <f>'[3]Direct 380'!C14</f>
        <v>0</v>
      </c>
      <c r="D14" s="66">
        <f t="shared" si="2"/>
        <v>0</v>
      </c>
      <c r="E14" s="65">
        <f t="shared" si="0"/>
        <v>0</v>
      </c>
      <c r="F14" s="65">
        <f t="shared" si="1"/>
        <v>0</v>
      </c>
      <c r="H14" s="134"/>
    </row>
    <row r="15" spans="1:8" x14ac:dyDescent="0.2">
      <c r="A15" s="352">
        <f t="shared" si="3"/>
        <v>7</v>
      </c>
      <c r="B15" s="163" t="s">
        <v>150</v>
      </c>
      <c r="C15" s="166">
        <f>'[3]Direct 380'!C15</f>
        <v>340654.39488483238</v>
      </c>
      <c r="D15" s="66">
        <f t="shared" si="2"/>
        <v>1.8452396937182036E-2</v>
      </c>
      <c r="E15" s="65">
        <f t="shared" si="0"/>
        <v>205372.875843096</v>
      </c>
      <c r="F15" s="65">
        <f t="shared" si="1"/>
        <v>-100311.80064602308</v>
      </c>
      <c r="H15" s="134"/>
    </row>
    <row r="16" spans="1:8" x14ac:dyDescent="0.2">
      <c r="A16" s="352">
        <f t="shared" si="3"/>
        <v>8</v>
      </c>
      <c r="B16" s="163" t="s">
        <v>151</v>
      </c>
      <c r="C16" s="166">
        <f>'[3]Direct 380'!C16</f>
        <v>1166645.8710544498</v>
      </c>
      <c r="D16" s="66">
        <f t="shared" si="2"/>
        <v>6.3194290228074518E-2</v>
      </c>
      <c r="E16" s="65">
        <f t="shared" si="0"/>
        <v>703344.56630136434</v>
      </c>
      <c r="F16" s="65">
        <f t="shared" si="1"/>
        <v>-343539.81571640843</v>
      </c>
      <c r="G16" s="73">
        <f>SUM(E13:E16)</f>
        <v>1098092.7451304488</v>
      </c>
      <c r="H16" s="134"/>
    </row>
    <row r="17" spans="1:8" x14ac:dyDescent="0.2">
      <c r="A17" s="352">
        <f t="shared" si="3"/>
        <v>9</v>
      </c>
      <c r="B17" s="163" t="s">
        <v>86</v>
      </c>
      <c r="C17" s="166">
        <f>'[3]Direct 380'!C17</f>
        <v>2486820.4779697289</v>
      </c>
      <c r="D17" s="69">
        <f t="shared" si="2"/>
        <v>0.13470484825690809</v>
      </c>
      <c r="E17" s="68">
        <f t="shared" si="0"/>
        <v>1499248.1557116287</v>
      </c>
      <c r="F17" s="68">
        <f t="shared" si="1"/>
        <v>-732288.92324399122</v>
      </c>
      <c r="G17" s="68">
        <f>E17</f>
        <v>1499248.1557116287</v>
      </c>
      <c r="H17" s="134"/>
    </row>
    <row r="18" spans="1:8" x14ac:dyDescent="0.2">
      <c r="A18" s="352">
        <f t="shared" si="3"/>
        <v>10</v>
      </c>
      <c r="B18" s="165" t="s">
        <v>4</v>
      </c>
      <c r="C18" s="74">
        <f>SUM(C9:C17)</f>
        <v>18461254.439980388</v>
      </c>
      <c r="D18" s="70">
        <f>SUM(D9:D17)</f>
        <v>1</v>
      </c>
      <c r="E18" s="73">
        <f>SUM(E9:E17)</f>
        <v>11129875.242888613</v>
      </c>
      <c r="F18" s="73">
        <f>SUM(F9:F17)</f>
        <v>-5436247.712831947</v>
      </c>
      <c r="G18" s="73">
        <f>SUM(G9:G17)</f>
        <v>11129875.242888613</v>
      </c>
      <c r="H18" s="134"/>
    </row>
    <row r="19" spans="1:8" x14ac:dyDescent="0.2">
      <c r="A19" s="352">
        <f t="shared" si="3"/>
        <v>11</v>
      </c>
      <c r="B19" s="165" t="s">
        <v>96</v>
      </c>
      <c r="C19" s="73"/>
    </row>
    <row r="21" spans="1:8" x14ac:dyDescent="0.2">
      <c r="A21" s="352">
        <f>A19+1</f>
        <v>12</v>
      </c>
      <c r="B21" s="58" t="s">
        <v>152</v>
      </c>
      <c r="C21" s="100">
        <f>'[3]Direct 380'!$C$21</f>
        <v>1951341634.5038073</v>
      </c>
    </row>
    <row r="23" spans="1:8" x14ac:dyDescent="0.2">
      <c r="A23" s="352">
        <f>A21+1</f>
        <v>13</v>
      </c>
      <c r="B23" s="58" t="s">
        <v>153</v>
      </c>
      <c r="C23" s="239">
        <f>C18/C21</f>
        <v>9.4608007708884695E-3</v>
      </c>
      <c r="D23" s="240" t="s">
        <v>314</v>
      </c>
    </row>
    <row r="25" spans="1:8" x14ac:dyDescent="0.2">
      <c r="A25" s="352">
        <f>A23+1</f>
        <v>14</v>
      </c>
      <c r="B25" s="58" t="s">
        <v>154</v>
      </c>
      <c r="C25" s="166">
        <f>'[4]Gas Rate Base - Plant Detail'!$W$24</f>
        <v>1176420000</v>
      </c>
    </row>
    <row r="26" spans="1:8" x14ac:dyDescent="0.2">
      <c r="C26" s="89"/>
    </row>
    <row r="27" spans="1:8" x14ac:dyDescent="0.2">
      <c r="A27" s="352">
        <f>A25+1</f>
        <v>15</v>
      </c>
      <c r="B27" s="58" t="s">
        <v>155</v>
      </c>
      <c r="C27" s="101">
        <f>C25*C23</f>
        <v>11129875.242888613</v>
      </c>
    </row>
    <row r="28" spans="1:8" x14ac:dyDescent="0.2">
      <c r="C28" s="89"/>
    </row>
    <row r="29" spans="1:8" x14ac:dyDescent="0.2">
      <c r="A29" s="352">
        <f>A27+1</f>
        <v>16</v>
      </c>
      <c r="B29" s="58" t="s">
        <v>156</v>
      </c>
      <c r="C29" s="166">
        <v>-574607567</v>
      </c>
    </row>
    <row r="31" spans="1:8" x14ac:dyDescent="0.2">
      <c r="A31" s="352">
        <f>A29+1</f>
        <v>17</v>
      </c>
      <c r="B31" s="58" t="s">
        <v>157</v>
      </c>
      <c r="C31" s="102">
        <f>C29*C23</f>
        <v>-5436247.712831948</v>
      </c>
    </row>
    <row r="32" spans="1:8" x14ac:dyDescent="0.2">
      <c r="H32" s="134"/>
    </row>
    <row r="33" spans="8:10" x14ac:dyDescent="0.2">
      <c r="H33" s="134"/>
    </row>
    <row r="34" spans="8:10" x14ac:dyDescent="0.2">
      <c r="H34" s="134"/>
    </row>
    <row r="35" spans="8:10" x14ac:dyDescent="0.2">
      <c r="H35" s="134"/>
      <c r="J35" s="134"/>
    </row>
    <row r="36" spans="8:10" x14ac:dyDescent="0.2">
      <c r="H36" s="134"/>
      <c r="J36" s="134"/>
    </row>
    <row r="37" spans="8:10" x14ac:dyDescent="0.2">
      <c r="H37" s="134"/>
      <c r="J37" s="134"/>
    </row>
    <row r="38" spans="8:10" x14ac:dyDescent="0.2">
      <c r="H38" s="134"/>
      <c r="J38" s="134"/>
    </row>
    <row r="39" spans="8:10" x14ac:dyDescent="0.2">
      <c r="H39" s="134"/>
      <c r="J39" s="134"/>
    </row>
    <row r="40" spans="8:10" x14ac:dyDescent="0.2">
      <c r="H40" s="134"/>
      <c r="J40" s="134"/>
    </row>
    <row r="41" spans="8:10" x14ac:dyDescent="0.2">
      <c r="H41" s="134"/>
      <c r="J41" s="134"/>
    </row>
    <row r="42" spans="8:10" x14ac:dyDescent="0.2">
      <c r="H42" s="134"/>
      <c r="J42" s="134"/>
    </row>
    <row r="43" spans="8:10" x14ac:dyDescent="0.2">
      <c r="H43" s="134"/>
      <c r="J43" s="134"/>
    </row>
    <row r="44" spans="8:10" x14ac:dyDescent="0.2">
      <c r="H44" s="134"/>
      <c r="J44" s="134"/>
    </row>
    <row r="45" spans="8:10" x14ac:dyDescent="0.2">
      <c r="H45" s="134"/>
      <c r="J45" s="134"/>
    </row>
    <row r="46" spans="8:10" x14ac:dyDescent="0.2">
      <c r="H46" s="134"/>
      <c r="J46" s="134"/>
    </row>
    <row r="47" spans="8:10" x14ac:dyDescent="0.2">
      <c r="H47" s="134"/>
      <c r="J47" s="134"/>
    </row>
    <row r="48" spans="8:10" x14ac:dyDescent="0.2">
      <c r="H48" s="134"/>
      <c r="J48" s="134"/>
    </row>
    <row r="49" spans="8:10" x14ac:dyDescent="0.2">
      <c r="H49" s="134"/>
      <c r="J49" s="134"/>
    </row>
    <row r="50" spans="8:10" x14ac:dyDescent="0.2">
      <c r="H50" s="134"/>
      <c r="J50" s="134"/>
    </row>
    <row r="51" spans="8:10" x14ac:dyDescent="0.2">
      <c r="H51" s="134"/>
      <c r="J51" s="134"/>
    </row>
    <row r="52" spans="8:10" x14ac:dyDescent="0.2">
      <c r="H52" s="134"/>
      <c r="J52" s="134"/>
    </row>
    <row r="53" spans="8:10" x14ac:dyDescent="0.2">
      <c r="H53" s="134"/>
      <c r="J53" s="134"/>
    </row>
    <row r="54" spans="8:10" x14ac:dyDescent="0.2">
      <c r="H54" s="134"/>
      <c r="J54" s="134"/>
    </row>
    <row r="55" spans="8:10" x14ac:dyDescent="0.2">
      <c r="H55" s="134"/>
      <c r="J55" s="134"/>
    </row>
    <row r="56" spans="8:10" x14ac:dyDescent="0.2">
      <c r="H56" s="134"/>
      <c r="J56" s="134"/>
    </row>
    <row r="57" spans="8:10" x14ac:dyDescent="0.2">
      <c r="H57" s="134"/>
      <c r="J57" s="134"/>
    </row>
    <row r="58" spans="8:10" x14ac:dyDescent="0.2">
      <c r="H58" s="134"/>
      <c r="J58" s="134"/>
    </row>
    <row r="59" spans="8:10" x14ac:dyDescent="0.2">
      <c r="H59" s="134"/>
      <c r="J59" s="134"/>
    </row>
    <row r="60" spans="8:10" x14ac:dyDescent="0.2">
      <c r="H60" s="134"/>
      <c r="J60" s="134"/>
    </row>
    <row r="61" spans="8:10" x14ac:dyDescent="0.2">
      <c r="H61" s="134"/>
      <c r="J61" s="134"/>
    </row>
    <row r="62" spans="8:10" x14ac:dyDescent="0.2">
      <c r="H62" s="134"/>
      <c r="J62" s="134"/>
    </row>
    <row r="63" spans="8:10" x14ac:dyDescent="0.2">
      <c r="H63" s="134"/>
      <c r="J63" s="134"/>
    </row>
    <row r="64" spans="8:10" x14ac:dyDescent="0.2">
      <c r="H64" s="134"/>
      <c r="J64" s="134"/>
    </row>
    <row r="65" spans="8:10" x14ac:dyDescent="0.2">
      <c r="H65" s="134"/>
      <c r="J65" s="134"/>
    </row>
    <row r="66" spans="8:10" x14ac:dyDescent="0.2">
      <c r="H66" s="134"/>
      <c r="J66" s="134"/>
    </row>
    <row r="67" spans="8:10" x14ac:dyDescent="0.2">
      <c r="H67" s="134"/>
      <c r="J67" s="134"/>
    </row>
    <row r="68" spans="8:10" x14ac:dyDescent="0.2">
      <c r="H68" s="134"/>
      <c r="J68" s="134"/>
    </row>
    <row r="69" spans="8:10" x14ac:dyDescent="0.2">
      <c r="H69" s="134"/>
      <c r="J69" s="134"/>
    </row>
    <row r="70" spans="8:10" x14ac:dyDescent="0.2">
      <c r="H70" s="134"/>
      <c r="J70" s="134"/>
    </row>
    <row r="71" spans="8:10" x14ac:dyDescent="0.2">
      <c r="H71" s="134"/>
      <c r="J71" s="134"/>
    </row>
    <row r="72" spans="8:10" x14ac:dyDescent="0.2">
      <c r="H72" s="134"/>
      <c r="J72" s="134"/>
    </row>
    <row r="73" spans="8:10" x14ac:dyDescent="0.2">
      <c r="H73" s="134"/>
      <c r="J73" s="134"/>
    </row>
    <row r="74" spans="8:10" x14ac:dyDescent="0.2">
      <c r="H74" s="134"/>
      <c r="J74" s="134"/>
    </row>
    <row r="75" spans="8:10" x14ac:dyDescent="0.2">
      <c r="H75" s="134"/>
      <c r="J75" s="134"/>
    </row>
    <row r="76" spans="8:10" x14ac:dyDescent="0.2">
      <c r="H76" s="134"/>
      <c r="J76" s="134"/>
    </row>
    <row r="77" spans="8:10" x14ac:dyDescent="0.2">
      <c r="H77" s="134"/>
      <c r="J77" s="134"/>
    </row>
    <row r="78" spans="8:10" x14ac:dyDescent="0.2">
      <c r="H78" s="134"/>
      <c r="J78" s="134"/>
    </row>
    <row r="79" spans="8:10" x14ac:dyDescent="0.2">
      <c r="H79" s="134"/>
      <c r="J79" s="134"/>
    </row>
    <row r="80" spans="8:10" x14ac:dyDescent="0.2">
      <c r="H80" s="134"/>
      <c r="J80" s="134"/>
    </row>
    <row r="81" spans="8:10" x14ac:dyDescent="0.2">
      <c r="H81" s="134"/>
      <c r="J81" s="134"/>
    </row>
    <row r="82" spans="8:10" x14ac:dyDescent="0.2">
      <c r="H82" s="134"/>
      <c r="J82" s="134"/>
    </row>
    <row r="83" spans="8:10" x14ac:dyDescent="0.2">
      <c r="H83" s="134"/>
      <c r="J83" s="134"/>
    </row>
    <row r="84" spans="8:10" x14ac:dyDescent="0.2">
      <c r="H84" s="134"/>
      <c r="J84" s="134"/>
    </row>
    <row r="85" spans="8:10" x14ac:dyDescent="0.2">
      <c r="H85" s="134"/>
      <c r="J85" s="134"/>
    </row>
    <row r="86" spans="8:10" x14ac:dyDescent="0.2">
      <c r="H86" s="134"/>
      <c r="J86" s="134"/>
    </row>
    <row r="87" spans="8:10" x14ac:dyDescent="0.2">
      <c r="H87" s="134"/>
      <c r="J87" s="134"/>
    </row>
    <row r="88" spans="8:10" x14ac:dyDescent="0.2">
      <c r="H88" s="134"/>
      <c r="J88" s="134"/>
    </row>
    <row r="89" spans="8:10" x14ac:dyDescent="0.2">
      <c r="H89" s="134"/>
      <c r="J89" s="134"/>
    </row>
    <row r="90" spans="8:10" x14ac:dyDescent="0.2">
      <c r="H90" s="134"/>
      <c r="J90" s="134"/>
    </row>
    <row r="91" spans="8:10" x14ac:dyDescent="0.2">
      <c r="H91" s="134"/>
      <c r="J91" s="134"/>
    </row>
    <row r="92" spans="8:10" x14ac:dyDescent="0.2">
      <c r="H92" s="134"/>
      <c r="J92" s="134"/>
    </row>
    <row r="93" spans="8:10" x14ac:dyDescent="0.2">
      <c r="H93" s="134"/>
      <c r="J93" s="134"/>
    </row>
    <row r="94" spans="8:10" x14ac:dyDescent="0.2">
      <c r="H94" s="134"/>
      <c r="J94" s="134"/>
    </row>
    <row r="95" spans="8:10" x14ac:dyDescent="0.2">
      <c r="H95" s="134"/>
      <c r="J95" s="134"/>
    </row>
    <row r="96" spans="8:10" x14ac:dyDescent="0.2">
      <c r="H96" s="134"/>
      <c r="J96" s="134"/>
    </row>
    <row r="97" spans="8:10" x14ac:dyDescent="0.2">
      <c r="H97" s="134"/>
      <c r="J97" s="134"/>
    </row>
    <row r="98" spans="8:10" x14ac:dyDescent="0.2">
      <c r="H98" s="134"/>
      <c r="J98" s="134"/>
    </row>
    <row r="99" spans="8:10" x14ac:dyDescent="0.2">
      <c r="H99" s="134"/>
      <c r="J99" s="134"/>
    </row>
    <row r="100" spans="8:10" x14ac:dyDescent="0.2">
      <c r="H100" s="134"/>
      <c r="J100" s="134"/>
    </row>
    <row r="101" spans="8:10" x14ac:dyDescent="0.2">
      <c r="H101" s="134"/>
      <c r="J101" s="134"/>
    </row>
    <row r="102" spans="8:10" x14ac:dyDescent="0.2">
      <c r="H102" s="134"/>
      <c r="J102" s="134"/>
    </row>
    <row r="103" spans="8:10" x14ac:dyDescent="0.2">
      <c r="H103" s="134"/>
      <c r="J103" s="134"/>
    </row>
    <row r="104" spans="8:10" x14ac:dyDescent="0.2">
      <c r="H104" s="134"/>
      <c r="J104" s="134"/>
    </row>
    <row r="105" spans="8:10" x14ac:dyDescent="0.2">
      <c r="H105" s="134"/>
      <c r="J105" s="134"/>
    </row>
    <row r="106" spans="8:10" x14ac:dyDescent="0.2">
      <c r="H106" s="134"/>
      <c r="J106" s="134"/>
    </row>
    <row r="107" spans="8:10" x14ac:dyDescent="0.2">
      <c r="H107" s="134"/>
      <c r="J107" s="134"/>
    </row>
    <row r="108" spans="8:10" x14ac:dyDescent="0.2">
      <c r="H108" s="134"/>
      <c r="J108" s="134"/>
    </row>
    <row r="109" spans="8:10" x14ac:dyDescent="0.2">
      <c r="H109" s="134"/>
      <c r="J109" s="134"/>
    </row>
    <row r="110" spans="8:10" x14ac:dyDescent="0.2">
      <c r="H110" s="134"/>
      <c r="J110" s="134"/>
    </row>
    <row r="111" spans="8:10" x14ac:dyDescent="0.2">
      <c r="H111" s="134"/>
      <c r="J111" s="134"/>
    </row>
    <row r="112" spans="8:10" x14ac:dyDescent="0.2">
      <c r="H112" s="134"/>
      <c r="J112" s="134"/>
    </row>
    <row r="113" spans="8:10" x14ac:dyDescent="0.2">
      <c r="H113" s="134"/>
      <c r="J113" s="134"/>
    </row>
    <row r="114" spans="8:10" x14ac:dyDescent="0.2">
      <c r="H114" s="134"/>
      <c r="J114" s="134"/>
    </row>
    <row r="115" spans="8:10" x14ac:dyDescent="0.2">
      <c r="H115" s="134"/>
      <c r="J115" s="134"/>
    </row>
    <row r="116" spans="8:10" x14ac:dyDescent="0.2">
      <c r="H116" s="134"/>
      <c r="J116" s="134"/>
    </row>
    <row r="117" spans="8:10" x14ac:dyDescent="0.2">
      <c r="H117" s="134"/>
      <c r="J117" s="134"/>
    </row>
    <row r="118" spans="8:10" x14ac:dyDescent="0.2">
      <c r="H118" s="134"/>
      <c r="J118" s="134"/>
    </row>
    <row r="119" spans="8:10" x14ac:dyDescent="0.2">
      <c r="H119" s="134"/>
      <c r="J119" s="134"/>
    </row>
    <row r="120" spans="8:10" x14ac:dyDescent="0.2">
      <c r="H120" s="134"/>
      <c r="J120" s="134"/>
    </row>
    <row r="121" spans="8:10" x14ac:dyDescent="0.2">
      <c r="H121" s="134"/>
      <c r="J121" s="134"/>
    </row>
    <row r="122" spans="8:10" x14ac:dyDescent="0.2">
      <c r="H122" s="134"/>
      <c r="J122" s="134"/>
    </row>
    <row r="123" spans="8:10" x14ac:dyDescent="0.2">
      <c r="H123" s="134"/>
      <c r="J123" s="134"/>
    </row>
    <row r="124" spans="8:10" x14ac:dyDescent="0.2">
      <c r="H124" s="134"/>
      <c r="J124" s="134"/>
    </row>
    <row r="125" spans="8:10" x14ac:dyDescent="0.2">
      <c r="H125" s="134"/>
      <c r="J125" s="134"/>
    </row>
    <row r="126" spans="8:10" x14ac:dyDescent="0.2">
      <c r="H126" s="134"/>
      <c r="J126" s="134"/>
    </row>
    <row r="127" spans="8:10" x14ac:dyDescent="0.2">
      <c r="H127" s="134"/>
      <c r="J127" s="134"/>
    </row>
    <row r="128" spans="8:10" x14ac:dyDescent="0.2">
      <c r="H128" s="134"/>
      <c r="J128" s="134"/>
    </row>
    <row r="129" spans="8:10" x14ac:dyDescent="0.2">
      <c r="H129" s="134"/>
      <c r="J129" s="134"/>
    </row>
    <row r="130" spans="8:10" x14ac:dyDescent="0.2">
      <c r="H130" s="134"/>
      <c r="J130" s="134"/>
    </row>
    <row r="131" spans="8:10" x14ac:dyDescent="0.2">
      <c r="H131" s="134"/>
      <c r="J131" s="134"/>
    </row>
    <row r="132" spans="8:10" x14ac:dyDescent="0.2">
      <c r="H132" s="134"/>
      <c r="J132" s="134"/>
    </row>
    <row r="133" spans="8:10" x14ac:dyDescent="0.2">
      <c r="H133" s="134"/>
      <c r="J133" s="134"/>
    </row>
    <row r="134" spans="8:10" x14ac:dyDescent="0.2">
      <c r="H134" s="134"/>
      <c r="J134" s="134"/>
    </row>
    <row r="135" spans="8:10" x14ac:dyDescent="0.2">
      <c r="H135" s="134"/>
      <c r="J135" s="134"/>
    </row>
    <row r="136" spans="8:10" x14ac:dyDescent="0.2">
      <c r="H136" s="134"/>
      <c r="J136" s="134"/>
    </row>
    <row r="137" spans="8:10" x14ac:dyDescent="0.2">
      <c r="H137" s="134"/>
      <c r="J137" s="134"/>
    </row>
    <row r="138" spans="8:10" x14ac:dyDescent="0.2">
      <c r="H138" s="134"/>
      <c r="J138" s="134"/>
    </row>
    <row r="139" spans="8:10" x14ac:dyDescent="0.2">
      <c r="H139" s="134"/>
      <c r="J139" s="134"/>
    </row>
    <row r="140" spans="8:10" x14ac:dyDescent="0.2">
      <c r="H140" s="134"/>
      <c r="J140" s="134"/>
    </row>
    <row r="141" spans="8:10" x14ac:dyDescent="0.2">
      <c r="H141" s="134"/>
      <c r="J141" s="134"/>
    </row>
    <row r="142" spans="8:10" x14ac:dyDescent="0.2">
      <c r="H142" s="134"/>
      <c r="J142" s="134"/>
    </row>
    <row r="143" spans="8:10" x14ac:dyDescent="0.2">
      <c r="H143" s="134"/>
      <c r="J143" s="134"/>
    </row>
    <row r="144" spans="8:10" x14ac:dyDescent="0.2">
      <c r="H144" s="134"/>
      <c r="J144" s="134"/>
    </row>
    <row r="145" spans="8:10" x14ac:dyDescent="0.2">
      <c r="H145" s="134"/>
      <c r="J145" s="134"/>
    </row>
    <row r="146" spans="8:10" x14ac:dyDescent="0.2">
      <c r="H146" s="134"/>
      <c r="J146" s="134"/>
    </row>
    <row r="147" spans="8:10" x14ac:dyDescent="0.2">
      <c r="H147" s="134"/>
      <c r="J147" s="134"/>
    </row>
    <row r="148" spans="8:10" x14ac:dyDescent="0.2">
      <c r="H148" s="134"/>
      <c r="J148" s="134"/>
    </row>
    <row r="149" spans="8:10" x14ac:dyDescent="0.2">
      <c r="H149" s="134"/>
      <c r="J149" s="134"/>
    </row>
    <row r="150" spans="8:10" x14ac:dyDescent="0.2">
      <c r="H150" s="134"/>
      <c r="J150" s="134"/>
    </row>
    <row r="151" spans="8:10" x14ac:dyDescent="0.2">
      <c r="H151" s="134"/>
      <c r="J151" s="134"/>
    </row>
    <row r="152" spans="8:10" x14ac:dyDescent="0.2">
      <c r="H152" s="134"/>
      <c r="J152" s="134"/>
    </row>
    <row r="153" spans="8:10" x14ac:dyDescent="0.2">
      <c r="H153" s="134"/>
      <c r="J153" s="134"/>
    </row>
    <row r="154" spans="8:10" x14ac:dyDescent="0.2">
      <c r="H154" s="134"/>
      <c r="J154" s="134"/>
    </row>
    <row r="155" spans="8:10" x14ac:dyDescent="0.2">
      <c r="H155" s="134"/>
      <c r="J155" s="134"/>
    </row>
    <row r="156" spans="8:10" x14ac:dyDescent="0.2">
      <c r="H156" s="134"/>
      <c r="J156" s="134"/>
    </row>
    <row r="157" spans="8:10" x14ac:dyDescent="0.2">
      <c r="H157" s="134"/>
      <c r="J157" s="134"/>
    </row>
    <row r="158" spans="8:10" x14ac:dyDescent="0.2">
      <c r="H158" s="134"/>
      <c r="J158" s="134"/>
    </row>
    <row r="159" spans="8:10" x14ac:dyDescent="0.2">
      <c r="H159" s="134"/>
      <c r="J159" s="134"/>
    </row>
    <row r="160" spans="8:10" x14ac:dyDescent="0.2">
      <c r="H160" s="134"/>
      <c r="J160" s="134"/>
    </row>
    <row r="161" spans="8:10" x14ac:dyDescent="0.2">
      <c r="H161" s="134"/>
      <c r="J161" s="134"/>
    </row>
    <row r="162" spans="8:10" x14ac:dyDescent="0.2">
      <c r="H162" s="134"/>
      <c r="J162" s="134"/>
    </row>
    <row r="163" spans="8:10" x14ac:dyDescent="0.2">
      <c r="H163" s="134"/>
      <c r="J163" s="134"/>
    </row>
    <row r="164" spans="8:10" x14ac:dyDescent="0.2">
      <c r="H164" s="134"/>
      <c r="J164" s="134"/>
    </row>
    <row r="165" spans="8:10" x14ac:dyDescent="0.2">
      <c r="H165" s="134"/>
      <c r="J165" s="134"/>
    </row>
    <row r="166" spans="8:10" x14ac:dyDescent="0.2">
      <c r="H166" s="134"/>
      <c r="J166" s="134"/>
    </row>
    <row r="167" spans="8:10" x14ac:dyDescent="0.2">
      <c r="H167" s="134"/>
      <c r="J167" s="134"/>
    </row>
    <row r="168" spans="8:10" x14ac:dyDescent="0.2">
      <c r="H168" s="134"/>
      <c r="J168" s="134"/>
    </row>
    <row r="169" spans="8:10" x14ac:dyDescent="0.2">
      <c r="H169" s="134"/>
      <c r="J169" s="134"/>
    </row>
    <row r="170" spans="8:10" x14ac:dyDescent="0.2">
      <c r="H170" s="134"/>
      <c r="J170" s="134"/>
    </row>
    <row r="171" spans="8:10" x14ac:dyDescent="0.2">
      <c r="H171" s="134"/>
      <c r="J171" s="134"/>
    </row>
    <row r="172" spans="8:10" x14ac:dyDescent="0.2">
      <c r="H172" s="134"/>
      <c r="J172" s="134"/>
    </row>
    <row r="173" spans="8:10" x14ac:dyDescent="0.2">
      <c r="H173" s="134"/>
      <c r="J173" s="134"/>
    </row>
    <row r="174" spans="8:10" x14ac:dyDescent="0.2">
      <c r="H174" s="134"/>
      <c r="J174" s="134"/>
    </row>
    <row r="175" spans="8:10" x14ac:dyDescent="0.2">
      <c r="H175" s="134"/>
      <c r="J175" s="134"/>
    </row>
    <row r="176" spans="8:10" x14ac:dyDescent="0.2">
      <c r="H176" s="134"/>
      <c r="J176" s="134"/>
    </row>
    <row r="177" spans="8:10" x14ac:dyDescent="0.2">
      <c r="H177" s="134"/>
      <c r="J177" s="134"/>
    </row>
    <row r="178" spans="8:10" x14ac:dyDescent="0.2">
      <c r="H178" s="134"/>
      <c r="J178" s="134"/>
    </row>
    <row r="179" spans="8:10" x14ac:dyDescent="0.2">
      <c r="H179" s="134"/>
      <c r="J179" s="134"/>
    </row>
    <row r="180" spans="8:10" x14ac:dyDescent="0.2">
      <c r="H180" s="134"/>
      <c r="J180" s="134"/>
    </row>
    <row r="181" spans="8:10" x14ac:dyDescent="0.2">
      <c r="H181" s="134"/>
      <c r="J181" s="134"/>
    </row>
    <row r="182" spans="8:10" x14ac:dyDescent="0.2">
      <c r="H182" s="134"/>
      <c r="J182" s="134"/>
    </row>
    <row r="183" spans="8:10" x14ac:dyDescent="0.2">
      <c r="H183" s="134"/>
      <c r="J183" s="134"/>
    </row>
    <row r="184" spans="8:10" x14ac:dyDescent="0.2">
      <c r="H184" s="134"/>
      <c r="J184" s="134"/>
    </row>
    <row r="185" spans="8:10" x14ac:dyDescent="0.2">
      <c r="H185" s="134"/>
      <c r="J185" s="134"/>
    </row>
    <row r="186" spans="8:10" x14ac:dyDescent="0.2">
      <c r="H186" s="134"/>
      <c r="J186" s="134"/>
    </row>
    <row r="187" spans="8:10" x14ac:dyDescent="0.2">
      <c r="H187" s="134"/>
      <c r="J187" s="134"/>
    </row>
    <row r="188" spans="8:10" x14ac:dyDescent="0.2">
      <c r="H188" s="134"/>
      <c r="J188" s="134"/>
    </row>
    <row r="189" spans="8:10" x14ac:dyDescent="0.2">
      <c r="H189" s="134"/>
      <c r="J189" s="134"/>
    </row>
    <row r="190" spans="8:10" x14ac:dyDescent="0.2">
      <c r="H190" s="134"/>
      <c r="J190" s="134"/>
    </row>
    <row r="191" spans="8:10" x14ac:dyDescent="0.2">
      <c r="H191" s="134"/>
      <c r="J191" s="134"/>
    </row>
    <row r="192" spans="8:10" x14ac:dyDescent="0.2">
      <c r="H192" s="134"/>
      <c r="J192" s="134"/>
    </row>
    <row r="193" spans="8:10" x14ac:dyDescent="0.2">
      <c r="H193" s="134"/>
      <c r="J193" s="134"/>
    </row>
    <row r="194" spans="8:10" x14ac:dyDescent="0.2">
      <c r="H194" s="134"/>
      <c r="J194" s="134"/>
    </row>
    <row r="195" spans="8:10" x14ac:dyDescent="0.2">
      <c r="H195" s="134"/>
      <c r="J195" s="134"/>
    </row>
    <row r="196" spans="8:10" x14ac:dyDescent="0.2">
      <c r="H196" s="134"/>
      <c r="J196" s="134"/>
    </row>
    <row r="197" spans="8:10" x14ac:dyDescent="0.2">
      <c r="H197" s="134"/>
      <c r="J197" s="134"/>
    </row>
    <row r="198" spans="8:10" x14ac:dyDescent="0.2">
      <c r="H198" s="134"/>
      <c r="J198" s="134"/>
    </row>
    <row r="199" spans="8:10" x14ac:dyDescent="0.2">
      <c r="H199" s="134"/>
      <c r="J199" s="134"/>
    </row>
    <row r="200" spans="8:10" x14ac:dyDescent="0.2">
      <c r="H200" s="134"/>
      <c r="J200" s="134"/>
    </row>
    <row r="201" spans="8:10" x14ac:dyDescent="0.2">
      <c r="H201" s="134"/>
      <c r="J201" s="134"/>
    </row>
    <row r="202" spans="8:10" x14ac:dyDescent="0.2">
      <c r="H202" s="134"/>
      <c r="J202" s="134"/>
    </row>
    <row r="203" spans="8:10" x14ac:dyDescent="0.2">
      <c r="H203" s="134"/>
      <c r="J203" s="134"/>
    </row>
    <row r="204" spans="8:10" x14ac:dyDescent="0.2">
      <c r="H204" s="134"/>
      <c r="J204" s="134"/>
    </row>
    <row r="205" spans="8:10" x14ac:dyDescent="0.2">
      <c r="H205" s="134"/>
      <c r="J205" s="134"/>
    </row>
    <row r="206" spans="8:10" x14ac:dyDescent="0.2">
      <c r="H206" s="134"/>
      <c r="J206" s="134"/>
    </row>
    <row r="207" spans="8:10" x14ac:dyDescent="0.2">
      <c r="H207" s="134"/>
      <c r="J207" s="134"/>
    </row>
    <row r="208" spans="8:10" x14ac:dyDescent="0.2">
      <c r="H208" s="134"/>
      <c r="J208" s="134"/>
    </row>
    <row r="209" spans="8:10" x14ac:dyDescent="0.2">
      <c r="H209" s="134"/>
      <c r="J209" s="134"/>
    </row>
    <row r="210" spans="8:10" x14ac:dyDescent="0.2">
      <c r="H210" s="134"/>
      <c r="J210" s="134"/>
    </row>
    <row r="211" spans="8:10" x14ac:dyDescent="0.2">
      <c r="H211" s="134"/>
      <c r="J211" s="134"/>
    </row>
    <row r="212" spans="8:10" x14ac:dyDescent="0.2">
      <c r="H212" s="134"/>
      <c r="J212" s="134"/>
    </row>
    <row r="213" spans="8:10" x14ac:dyDescent="0.2">
      <c r="H213" s="134"/>
      <c r="J213" s="134"/>
    </row>
    <row r="214" spans="8:10" x14ac:dyDescent="0.2">
      <c r="H214" s="134"/>
      <c r="J214" s="134"/>
    </row>
    <row r="215" spans="8:10" x14ac:dyDescent="0.2">
      <c r="H215" s="134"/>
      <c r="J215" s="134"/>
    </row>
    <row r="216" spans="8:10" x14ac:dyDescent="0.2">
      <c r="J216" s="134"/>
    </row>
    <row r="217" spans="8:10" x14ac:dyDescent="0.2">
      <c r="J217" s="134"/>
    </row>
    <row r="218" spans="8:10" x14ac:dyDescent="0.2">
      <c r="J218" s="134"/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H23" sqref="H23"/>
    </sheetView>
  </sheetViews>
  <sheetFormatPr defaultRowHeight="12.75" x14ac:dyDescent="0.2"/>
  <cols>
    <col min="1" max="1" width="5.85546875" customWidth="1"/>
    <col min="2" max="2" width="16" bestFit="1" customWidth="1"/>
    <col min="3" max="3" width="15" bestFit="1" customWidth="1"/>
    <col min="4" max="4" width="25.5703125" bestFit="1" customWidth="1"/>
    <col min="5" max="5" width="13.5703125" bestFit="1" customWidth="1"/>
    <col min="6" max="6" width="11.28515625" bestFit="1" customWidth="1"/>
    <col min="7" max="7" width="6.85546875" bestFit="1" customWidth="1"/>
    <col min="8" max="8" width="10.28515625" bestFit="1" customWidth="1"/>
  </cols>
  <sheetData>
    <row r="1" spans="1:8" x14ac:dyDescent="0.2">
      <c r="A1" s="354" t="s">
        <v>108</v>
      </c>
      <c r="B1" s="235"/>
      <c r="C1" s="235"/>
      <c r="D1" s="235"/>
      <c r="E1" s="235"/>
      <c r="F1" s="235"/>
      <c r="G1" s="235"/>
      <c r="H1" s="235"/>
    </row>
    <row r="2" spans="1:8" x14ac:dyDescent="0.2">
      <c r="A2" s="355" t="s">
        <v>296</v>
      </c>
      <c r="B2" s="235"/>
      <c r="C2" s="235"/>
      <c r="D2" s="235"/>
      <c r="E2" s="235"/>
      <c r="F2" s="235"/>
      <c r="G2" s="235"/>
      <c r="H2" s="235"/>
    </row>
    <row r="3" spans="1:8" x14ac:dyDescent="0.2">
      <c r="A3" s="354" t="s">
        <v>158</v>
      </c>
      <c r="B3" s="236"/>
      <c r="C3" s="236"/>
      <c r="D3" s="236"/>
      <c r="E3" s="236"/>
      <c r="F3" s="236"/>
      <c r="G3" s="236"/>
      <c r="H3" s="236"/>
    </row>
    <row r="6" spans="1:8" x14ac:dyDescent="0.2">
      <c r="A6" s="98" t="s">
        <v>132</v>
      </c>
      <c r="C6" s="98" t="s">
        <v>159</v>
      </c>
      <c r="H6" s="98" t="s">
        <v>160</v>
      </c>
    </row>
    <row r="7" spans="1:8" x14ac:dyDescent="0.2">
      <c r="A7" s="103" t="s">
        <v>134</v>
      </c>
      <c r="B7" s="103" t="s">
        <v>2</v>
      </c>
      <c r="C7" s="103" t="s">
        <v>161</v>
      </c>
      <c r="D7" s="103" t="s">
        <v>162</v>
      </c>
      <c r="E7" s="103" t="s">
        <v>163</v>
      </c>
      <c r="F7" s="103" t="s">
        <v>164</v>
      </c>
      <c r="G7" s="103" t="s">
        <v>165</v>
      </c>
      <c r="H7" s="103" t="s">
        <v>166</v>
      </c>
    </row>
    <row r="8" spans="1:8" x14ac:dyDescent="0.2">
      <c r="B8" s="98" t="s">
        <v>139</v>
      </c>
      <c r="C8" s="98" t="s">
        <v>140</v>
      </c>
      <c r="D8" s="98" t="s">
        <v>141</v>
      </c>
      <c r="E8" s="98" t="s">
        <v>142</v>
      </c>
      <c r="F8" s="98" t="s">
        <v>143</v>
      </c>
      <c r="G8" s="98" t="s">
        <v>167</v>
      </c>
      <c r="H8" s="98" t="s">
        <v>168</v>
      </c>
    </row>
    <row r="9" spans="1:8" x14ac:dyDescent="0.2">
      <c r="C9" s="58"/>
    </row>
    <row r="10" spans="1:8" x14ac:dyDescent="0.2">
      <c r="A10" s="98">
        <v>1</v>
      </c>
      <c r="B10" s="54" t="s">
        <v>169</v>
      </c>
      <c r="C10" s="167">
        <f>[3]WtCust!$C$10</f>
        <v>1115516814.0168519</v>
      </c>
      <c r="D10" s="54" t="s">
        <v>170</v>
      </c>
      <c r="E10" s="104">
        <f>EXTERNAL!E8</f>
        <v>772130.25</v>
      </c>
      <c r="F10" s="105">
        <f>C10/E10</f>
        <v>1444.7262155793687</v>
      </c>
      <c r="G10" s="106">
        <v>1</v>
      </c>
      <c r="H10" s="107">
        <f>G10*E10</f>
        <v>772130.25</v>
      </c>
    </row>
    <row r="11" spans="1:8" x14ac:dyDescent="0.2">
      <c r="A11" s="98"/>
      <c r="C11" s="167"/>
      <c r="F11" s="105"/>
    </row>
    <row r="12" spans="1:8" x14ac:dyDescent="0.2">
      <c r="A12" s="98">
        <v>2</v>
      </c>
      <c r="B12" s="54" t="s">
        <v>171</v>
      </c>
      <c r="C12" s="167">
        <f>[3]WtCust!$C$12</f>
        <v>788330882.97165251</v>
      </c>
      <c r="D12" s="54" t="s">
        <v>172</v>
      </c>
      <c r="E12" s="108">
        <f>EXTERNAL!F8</f>
        <v>56691.083333333336</v>
      </c>
      <c r="F12" s="105">
        <f>C12/E12</f>
        <v>13905.729730659921</v>
      </c>
      <c r="G12" s="106">
        <f>F12/F10</f>
        <v>9.6251660561744572</v>
      </c>
      <c r="H12" s="107">
        <f>G12*E12</f>
        <v>545661.09098775755</v>
      </c>
    </row>
    <row r="13" spans="1:8" x14ac:dyDescent="0.2">
      <c r="A13" s="98"/>
      <c r="C13" s="168"/>
      <c r="F13" s="105"/>
    </row>
    <row r="14" spans="1:8" x14ac:dyDescent="0.2">
      <c r="A14" s="98">
        <v>3</v>
      </c>
      <c r="B14" s="54" t="s">
        <v>173</v>
      </c>
      <c r="C14" s="167">
        <f>[3]WtCust!$C$14</f>
        <v>16221074.700218599</v>
      </c>
      <c r="D14" s="54" t="s">
        <v>174</v>
      </c>
      <c r="E14" s="56">
        <f>SUM(E15:E16)</f>
        <v>1669.5833333333333</v>
      </c>
      <c r="F14" s="105">
        <f>C14/E14</f>
        <v>9715.6424458509209</v>
      </c>
      <c r="G14" s="106">
        <f>F14/F10</f>
        <v>6.7249021586797486</v>
      </c>
      <c r="H14" s="107"/>
    </row>
    <row r="15" spans="1:8" x14ac:dyDescent="0.2">
      <c r="A15" s="98"/>
      <c r="C15" s="168"/>
      <c r="D15" s="54" t="s">
        <v>175</v>
      </c>
      <c r="E15" s="108">
        <f>EXTERNAL!G8</f>
        <v>1441.5</v>
      </c>
      <c r="H15" s="107">
        <f>E15*G14</f>
        <v>9693.9464617368576</v>
      </c>
    </row>
    <row r="16" spans="1:8" x14ac:dyDescent="0.2">
      <c r="A16" s="98"/>
      <c r="C16" s="168"/>
      <c r="D16" s="54" t="s">
        <v>93</v>
      </c>
      <c r="E16" s="108">
        <f>EXTERNAL!I8</f>
        <v>228.08333333333334</v>
      </c>
      <c r="H16" s="107">
        <f>E16*G14</f>
        <v>1533.8381006922061</v>
      </c>
    </row>
    <row r="17" spans="1:8" x14ac:dyDescent="0.2">
      <c r="A17" s="98"/>
      <c r="C17" s="168"/>
    </row>
    <row r="18" spans="1:8" x14ac:dyDescent="0.2">
      <c r="A18" s="98">
        <v>4</v>
      </c>
      <c r="B18" s="54" t="s">
        <v>4</v>
      </c>
      <c r="C18" s="65">
        <f>C10+C12+C14</f>
        <v>1920068771.6887231</v>
      </c>
      <c r="E18" s="56">
        <f>SUM(E10,E12,E14)</f>
        <v>830490.91666666674</v>
      </c>
      <c r="H18" s="56">
        <f>SUM(H10:H16)</f>
        <v>1329019.1255501867</v>
      </c>
    </row>
    <row r="19" spans="1:8" x14ac:dyDescent="0.2">
      <c r="C19" s="99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70"/>
  <sheetViews>
    <sheetView zoomScaleNormal="100" workbookViewId="0">
      <selection activeCell="L33" sqref="L33"/>
    </sheetView>
  </sheetViews>
  <sheetFormatPr defaultRowHeight="12.75" x14ac:dyDescent="0.2"/>
  <cols>
    <col min="1" max="1" width="19.42578125" style="173" customWidth="1"/>
    <col min="2" max="10" width="12.7109375" style="173" customWidth="1"/>
    <col min="11" max="11" width="13.42578125" style="173" customWidth="1"/>
    <col min="12" max="16384" width="9.140625" style="173"/>
  </cols>
  <sheetData>
    <row r="1" spans="1:256" customFormat="1" x14ac:dyDescent="0.2">
      <c r="A1" s="85" t="s">
        <v>108</v>
      </c>
      <c r="B1" s="233"/>
      <c r="C1" s="233"/>
      <c r="D1" s="233"/>
      <c r="E1" s="233"/>
      <c r="F1" s="233"/>
    </row>
    <row r="2" spans="1:256" customFormat="1" x14ac:dyDescent="0.2">
      <c r="A2" s="85" t="s">
        <v>294</v>
      </c>
      <c r="B2" s="233"/>
      <c r="C2" s="233"/>
      <c r="D2" s="233"/>
      <c r="E2" s="233"/>
      <c r="F2" s="233"/>
    </row>
    <row r="3" spans="1:256" customFormat="1" x14ac:dyDescent="0.2">
      <c r="A3" s="368" t="s">
        <v>406</v>
      </c>
      <c r="B3" s="233"/>
      <c r="C3" s="233"/>
      <c r="D3" s="233"/>
      <c r="E3" s="233"/>
      <c r="F3" s="233"/>
    </row>
    <row r="6" spans="1:256" ht="51" x14ac:dyDescent="0.2">
      <c r="A6" s="340" t="s">
        <v>176</v>
      </c>
      <c r="B6" s="340" t="s">
        <v>89</v>
      </c>
      <c r="C6" s="340" t="s">
        <v>90</v>
      </c>
      <c r="D6" s="340" t="s">
        <v>91</v>
      </c>
      <c r="E6" s="340" t="s">
        <v>92</v>
      </c>
      <c r="F6" s="340" t="s">
        <v>93</v>
      </c>
      <c r="G6" s="340" t="s">
        <v>94</v>
      </c>
      <c r="H6" s="340" t="s">
        <v>95</v>
      </c>
      <c r="I6" s="340" t="s">
        <v>131</v>
      </c>
      <c r="J6" s="340" t="s">
        <v>4</v>
      </c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8"/>
      <c r="FB6" s="128"/>
      <c r="FC6" s="128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8"/>
      <c r="HO6" s="128"/>
      <c r="HP6" s="128"/>
      <c r="HQ6" s="128"/>
      <c r="HR6" s="128"/>
      <c r="HS6" s="128"/>
      <c r="HT6" s="128"/>
      <c r="HU6" s="128"/>
      <c r="HV6" s="128"/>
      <c r="HW6" s="128"/>
      <c r="HX6" s="128"/>
      <c r="HY6" s="128"/>
      <c r="HZ6" s="128"/>
      <c r="IA6" s="128"/>
      <c r="IB6" s="128"/>
      <c r="IC6" s="128"/>
      <c r="ID6" s="128"/>
      <c r="IE6" s="128"/>
      <c r="IF6" s="128"/>
      <c r="IG6" s="128"/>
      <c r="IH6" s="128"/>
      <c r="II6" s="128"/>
      <c r="IJ6" s="128"/>
      <c r="IK6" s="128"/>
      <c r="IL6" s="128"/>
      <c r="IM6" s="128"/>
      <c r="IN6" s="128"/>
      <c r="IO6" s="128"/>
      <c r="IP6" s="128"/>
      <c r="IQ6" s="128"/>
      <c r="IR6" s="128"/>
      <c r="IS6" s="128"/>
      <c r="IT6" s="128"/>
      <c r="IU6" s="128"/>
      <c r="IV6" s="128"/>
    </row>
    <row r="8" spans="1:256" x14ac:dyDescent="0.2">
      <c r="A8" s="134" t="s">
        <v>25</v>
      </c>
      <c r="B8" s="341">
        <v>9183.5320744756755</v>
      </c>
      <c r="C8" s="341">
        <v>818606.97862734343</v>
      </c>
      <c r="D8" s="341">
        <v>250154.3638122757</v>
      </c>
      <c r="E8" s="341">
        <v>13136.298046058826</v>
      </c>
      <c r="F8" s="341">
        <v>39889.344064674115</v>
      </c>
      <c r="G8" s="341">
        <v>2035.8833959893009</v>
      </c>
      <c r="H8" s="341">
        <v>0</v>
      </c>
      <c r="I8" s="341">
        <v>322985.66000000009</v>
      </c>
      <c r="J8" s="341">
        <v>1455992.060020817</v>
      </c>
      <c r="L8" s="342"/>
    </row>
    <row r="9" spans="1:256" x14ac:dyDescent="0.2">
      <c r="A9" s="343" t="s">
        <v>177</v>
      </c>
      <c r="B9" s="344">
        <v>6.3074053263342481E-3</v>
      </c>
      <c r="C9" s="344">
        <v>0.56223313375461637</v>
      </c>
      <c r="D9" s="344">
        <v>0.17181025273496281</v>
      </c>
      <c r="E9" s="344">
        <v>9.0222319247201185E-3</v>
      </c>
      <c r="F9" s="344">
        <v>2.7396676918762731E-2</v>
      </c>
      <c r="G9" s="344">
        <v>1.3982791883907614E-3</v>
      </c>
      <c r="H9" s="344">
        <v>0</v>
      </c>
      <c r="I9" s="344">
        <v>0.22183202015221307</v>
      </c>
      <c r="J9" s="344">
        <v>0</v>
      </c>
      <c r="L9" s="345"/>
    </row>
    <row r="10" spans="1:256" x14ac:dyDescent="0.2">
      <c r="L10" s="342"/>
    </row>
    <row r="11" spans="1:256" x14ac:dyDescent="0.2">
      <c r="A11" s="134" t="s">
        <v>27</v>
      </c>
      <c r="B11" s="341">
        <v>0</v>
      </c>
      <c r="C11" s="341">
        <v>790.99785880821287</v>
      </c>
      <c r="D11" s="341">
        <v>41779.664392143204</v>
      </c>
      <c r="E11" s="341">
        <v>50963.19646661888</v>
      </c>
      <c r="F11" s="341">
        <v>1478.4405330561615</v>
      </c>
      <c r="G11" s="341">
        <v>5550.207325034763</v>
      </c>
      <c r="H11" s="341">
        <v>7806.4234035218651</v>
      </c>
      <c r="I11" s="341">
        <v>0</v>
      </c>
      <c r="J11" s="341">
        <v>108368.92997918309</v>
      </c>
      <c r="L11" s="342"/>
    </row>
    <row r="12" spans="1:256" x14ac:dyDescent="0.2">
      <c r="A12" s="343" t="s">
        <v>177</v>
      </c>
      <c r="B12" s="344">
        <v>0</v>
      </c>
      <c r="C12" s="344">
        <v>7.2991203194509536E-3</v>
      </c>
      <c r="D12" s="344">
        <v>0.38553176081159779</v>
      </c>
      <c r="E12" s="344">
        <v>0.47027498081238372</v>
      </c>
      <c r="F12" s="344">
        <v>1.364266061628697E-2</v>
      </c>
      <c r="G12" s="344">
        <v>5.1215854268385957E-2</v>
      </c>
      <c r="H12" s="344">
        <v>7.2035623171894603E-2</v>
      </c>
      <c r="I12" s="344">
        <v>0</v>
      </c>
      <c r="J12" s="344">
        <v>0</v>
      </c>
      <c r="L12" s="345"/>
    </row>
    <row r="13" spans="1:256" x14ac:dyDescent="0.2">
      <c r="L13" s="342"/>
    </row>
    <row r="14" spans="1:256" x14ac:dyDescent="0.2">
      <c r="A14" s="134" t="s">
        <v>30</v>
      </c>
      <c r="B14" s="341">
        <v>5093078.2325843684</v>
      </c>
      <c r="C14" s="341">
        <v>498300.03124139714</v>
      </c>
      <c r="D14" s="341">
        <v>60181.311571625934</v>
      </c>
      <c r="E14" s="341">
        <v>22960.573774234308</v>
      </c>
      <c r="F14" s="341">
        <v>8739.3880054283709</v>
      </c>
      <c r="G14" s="341">
        <v>47580.709199654579</v>
      </c>
      <c r="H14" s="341">
        <v>0</v>
      </c>
      <c r="I14" s="341">
        <v>59136.438565539058</v>
      </c>
      <c r="J14" s="341">
        <v>5789976.6849422483</v>
      </c>
      <c r="L14" s="342"/>
    </row>
    <row r="15" spans="1:256" x14ac:dyDescent="0.2">
      <c r="A15" s="343" t="s">
        <v>177</v>
      </c>
      <c r="B15" s="344">
        <v>0.87963708832018705</v>
      </c>
      <c r="C15" s="344">
        <v>8.6062528116443937E-2</v>
      </c>
      <c r="D15" s="344">
        <v>1.0394050761575081E-2</v>
      </c>
      <c r="E15" s="344">
        <v>3.9655727516048414E-3</v>
      </c>
      <c r="F15" s="344">
        <v>1.509399515918006E-3</v>
      </c>
      <c r="G15" s="344">
        <v>8.21777215846063E-3</v>
      </c>
      <c r="H15" s="344">
        <v>0</v>
      </c>
      <c r="I15" s="344">
        <v>1.0213588375810344E-2</v>
      </c>
      <c r="J15" s="344">
        <v>0</v>
      </c>
      <c r="L15" s="345"/>
    </row>
    <row r="16" spans="1:256" x14ac:dyDescent="0.2">
      <c r="L16" s="342"/>
    </row>
    <row r="17" spans="1:14" x14ac:dyDescent="0.2">
      <c r="A17" s="134" t="s">
        <v>32</v>
      </c>
      <c r="B17" s="341">
        <v>0</v>
      </c>
      <c r="C17" s="341">
        <v>55.188489519066614</v>
      </c>
      <c r="D17" s="341">
        <v>13317.796863190119</v>
      </c>
      <c r="E17" s="341">
        <v>46568.580480577926</v>
      </c>
      <c r="F17" s="341">
        <v>479.71120213040376</v>
      </c>
      <c r="G17" s="341">
        <v>146723.45312163112</v>
      </c>
      <c r="H17" s="341">
        <v>74283.028075703332</v>
      </c>
      <c r="I17" s="341">
        <v>0</v>
      </c>
      <c r="J17" s="341">
        <v>281427.75823275198</v>
      </c>
      <c r="L17" s="342"/>
    </row>
    <row r="18" spans="1:14" x14ac:dyDescent="0.2">
      <c r="A18" s="343" t="s">
        <v>177</v>
      </c>
      <c r="B18" s="344">
        <v>0</v>
      </c>
      <c r="C18" s="344">
        <v>1.9610179843533251E-4</v>
      </c>
      <c r="D18" s="344">
        <v>4.7322257572672589E-2</v>
      </c>
      <c r="E18" s="344">
        <v>0.16547259152049903</v>
      </c>
      <c r="F18" s="344">
        <v>1.7045624964032989E-3</v>
      </c>
      <c r="G18" s="344">
        <v>0.52135387796496235</v>
      </c>
      <c r="H18" s="344">
        <v>0.2639506086470273</v>
      </c>
      <c r="I18" s="344">
        <v>0</v>
      </c>
      <c r="J18" s="344">
        <v>0</v>
      </c>
      <c r="L18" s="345"/>
    </row>
    <row r="19" spans="1:14" x14ac:dyDescent="0.2">
      <c r="L19" s="342"/>
    </row>
    <row r="20" spans="1:14" x14ac:dyDescent="0.2">
      <c r="A20" s="269" t="s">
        <v>322</v>
      </c>
      <c r="B20" s="341">
        <v>0</v>
      </c>
      <c r="C20" s="341">
        <v>0</v>
      </c>
      <c r="D20" s="341">
        <v>0</v>
      </c>
      <c r="E20" s="341">
        <v>0</v>
      </c>
      <c r="F20" s="341">
        <v>0</v>
      </c>
      <c r="G20" s="341">
        <v>0</v>
      </c>
      <c r="H20" s="341">
        <v>0</v>
      </c>
      <c r="I20" s="341">
        <v>127083.78306</v>
      </c>
      <c r="J20" s="341">
        <v>127083.78306</v>
      </c>
      <c r="L20" s="342"/>
      <c r="N20" s="346"/>
    </row>
    <row r="21" spans="1:14" x14ac:dyDescent="0.2">
      <c r="A21" s="343" t="s">
        <v>177</v>
      </c>
      <c r="B21" s="344">
        <v>0</v>
      </c>
      <c r="C21" s="344">
        <v>0</v>
      </c>
      <c r="D21" s="344">
        <v>0</v>
      </c>
      <c r="E21" s="344">
        <v>0</v>
      </c>
      <c r="F21" s="344">
        <v>0</v>
      </c>
      <c r="G21" s="344">
        <v>0</v>
      </c>
      <c r="H21" s="344">
        <v>0</v>
      </c>
      <c r="I21" s="344">
        <v>1</v>
      </c>
      <c r="J21" s="344">
        <v>0</v>
      </c>
      <c r="L21" s="345"/>
      <c r="N21" s="346"/>
    </row>
    <row r="22" spans="1:14" x14ac:dyDescent="0.2">
      <c r="L22" s="342"/>
      <c r="N22" s="346"/>
    </row>
    <row r="23" spans="1:14" x14ac:dyDescent="0.2">
      <c r="A23" s="134" t="s">
        <v>37</v>
      </c>
      <c r="B23" s="341">
        <v>7382031.5771947438</v>
      </c>
      <c r="C23" s="341">
        <v>616456.87171045761</v>
      </c>
      <c r="D23" s="341">
        <v>15054.013005849058</v>
      </c>
      <c r="E23" s="341">
        <v>54.118680668121243</v>
      </c>
      <c r="F23" s="341">
        <v>2850.2505151877185</v>
      </c>
      <c r="G23" s="341">
        <v>18.039560222707081</v>
      </c>
      <c r="H23" s="341">
        <v>0</v>
      </c>
      <c r="I23" s="341">
        <v>0</v>
      </c>
      <c r="J23" s="341">
        <v>8016464.8706671298</v>
      </c>
      <c r="L23" s="342"/>
    </row>
    <row r="24" spans="1:14" x14ac:dyDescent="0.2">
      <c r="A24" s="343" t="s">
        <v>177</v>
      </c>
      <c r="B24" s="344">
        <v>0.92085871968405586</v>
      </c>
      <c r="C24" s="344">
        <v>7.6898842776211923E-2</v>
      </c>
      <c r="D24" s="344">
        <v>1.8778867304630579E-3</v>
      </c>
      <c r="E24" s="344">
        <v>6.7509409123896642E-6</v>
      </c>
      <c r="F24" s="344">
        <v>3.5554955471918891E-4</v>
      </c>
      <c r="G24" s="344">
        <v>2.2503136374632212E-6</v>
      </c>
      <c r="H24" s="344">
        <v>0</v>
      </c>
      <c r="I24" s="344">
        <v>0</v>
      </c>
      <c r="J24" s="344">
        <v>0</v>
      </c>
      <c r="L24" s="345"/>
    </row>
    <row r="25" spans="1:14" x14ac:dyDescent="0.2">
      <c r="L25" s="342"/>
    </row>
    <row r="26" spans="1:14" x14ac:dyDescent="0.2">
      <c r="A26" s="134" t="s">
        <v>39</v>
      </c>
      <c r="B26" s="341">
        <v>0</v>
      </c>
      <c r="C26" s="341">
        <v>27.059340334060622</v>
      </c>
      <c r="D26" s="341">
        <v>1316.8878962576168</v>
      </c>
      <c r="E26" s="341">
        <v>1623.5604200436371</v>
      </c>
      <c r="F26" s="341">
        <v>63.138460779474777</v>
      </c>
      <c r="G26" s="341">
        <v>171.37582211571726</v>
      </c>
      <c r="H26" s="341">
        <v>270.59340334060619</v>
      </c>
      <c r="I26" s="341">
        <v>0</v>
      </c>
      <c r="J26" s="341">
        <v>3472.6153428711127</v>
      </c>
      <c r="L26" s="342"/>
    </row>
    <row r="27" spans="1:14" x14ac:dyDescent="0.2">
      <c r="A27" s="343" t="s">
        <v>177</v>
      </c>
      <c r="B27" s="344">
        <v>0</v>
      </c>
      <c r="C27" s="344">
        <v>7.7922077922077931E-3</v>
      </c>
      <c r="D27" s="344">
        <v>0.37922077922077924</v>
      </c>
      <c r="E27" s="344">
        <v>0.46753246753246752</v>
      </c>
      <c r="F27" s="344">
        <v>1.8181818181818181E-2</v>
      </c>
      <c r="G27" s="344">
        <v>4.9350649350649353E-2</v>
      </c>
      <c r="H27" s="344">
        <v>7.792207792207792E-2</v>
      </c>
      <c r="I27" s="344">
        <v>0</v>
      </c>
      <c r="J27" s="344">
        <v>0</v>
      </c>
      <c r="L27" s="345"/>
    </row>
    <row r="28" spans="1:14" x14ac:dyDescent="0.2">
      <c r="L28" s="342"/>
    </row>
    <row r="29" spans="1:14" x14ac:dyDescent="0.2">
      <c r="A29" s="134" t="s">
        <v>47</v>
      </c>
      <c r="B29" s="341">
        <v>463246.89814951725</v>
      </c>
      <c r="C29" s="341">
        <v>235341.97384702798</v>
      </c>
      <c r="D29" s="341">
        <v>69370.818070035035</v>
      </c>
      <c r="E29" s="341">
        <v>8545.7195004747537</v>
      </c>
      <c r="F29" s="341">
        <v>10931.950370901301</v>
      </c>
      <c r="G29" s="341">
        <v>11849.007613451664</v>
      </c>
      <c r="H29" s="341">
        <v>0</v>
      </c>
      <c r="I29" s="341">
        <v>0</v>
      </c>
      <c r="J29" s="341">
        <v>799286.36755140801</v>
      </c>
      <c r="L29" s="342"/>
    </row>
    <row r="30" spans="1:14" x14ac:dyDescent="0.2">
      <c r="A30" s="343" t="s">
        <v>177</v>
      </c>
      <c r="B30" s="344">
        <v>0.57957562765478099</v>
      </c>
      <c r="C30" s="344">
        <v>0.29444011983838997</v>
      </c>
      <c r="D30" s="344">
        <v>8.679094362956627E-2</v>
      </c>
      <c r="E30" s="344">
        <v>1.0691686793876307E-2</v>
      </c>
      <c r="F30" s="344">
        <v>1.367713852594663E-2</v>
      </c>
      <c r="G30" s="344">
        <v>1.4824483557439838E-2</v>
      </c>
      <c r="H30" s="344">
        <v>0</v>
      </c>
      <c r="I30" s="344">
        <v>0</v>
      </c>
      <c r="J30" s="344">
        <v>0</v>
      </c>
      <c r="L30" s="345"/>
    </row>
    <row r="31" spans="1:14" x14ac:dyDescent="0.2">
      <c r="L31" s="342"/>
    </row>
    <row r="32" spans="1:14" x14ac:dyDescent="0.2">
      <c r="A32" s="134" t="s">
        <v>49</v>
      </c>
      <c r="B32" s="341">
        <v>0</v>
      </c>
      <c r="C32" s="341">
        <v>196.43448180730115</v>
      </c>
      <c r="D32" s="341">
        <v>12901.810023670923</v>
      </c>
      <c r="E32" s="341">
        <v>22987.517652893242</v>
      </c>
      <c r="F32" s="341">
        <v>454.8428829621925</v>
      </c>
      <c r="G32" s="341">
        <v>36363.436035197643</v>
      </c>
      <c r="H32" s="341">
        <v>19577.412435870916</v>
      </c>
      <c r="I32" s="341">
        <v>0</v>
      </c>
      <c r="J32" s="341">
        <v>92481.453512402222</v>
      </c>
      <c r="L32" s="342"/>
    </row>
    <row r="33" spans="1:258" x14ac:dyDescent="0.2">
      <c r="A33" s="343" t="s">
        <v>177</v>
      </c>
      <c r="B33" s="344">
        <v>0</v>
      </c>
      <c r="C33" s="344">
        <v>2.1240418953942836E-3</v>
      </c>
      <c r="D33" s="344">
        <v>0.13950699879452833</v>
      </c>
      <c r="E33" s="344">
        <v>0.24856354198423689</v>
      </c>
      <c r="F33" s="344">
        <v>4.9182064693781636E-3</v>
      </c>
      <c r="G33" s="344">
        <v>0.39319706442893576</v>
      </c>
      <c r="H33" s="344">
        <v>0.21169014642752654</v>
      </c>
      <c r="I33" s="344">
        <v>0</v>
      </c>
      <c r="J33" s="344">
        <v>0</v>
      </c>
      <c r="L33" s="345"/>
    </row>
    <row r="34" spans="1:258" x14ac:dyDescent="0.2">
      <c r="L34" s="342"/>
    </row>
    <row r="35" spans="1:258" x14ac:dyDescent="0.2">
      <c r="A35" s="134" t="s">
        <v>178</v>
      </c>
      <c r="B35" s="341">
        <v>0</v>
      </c>
      <c r="C35" s="341">
        <v>0</v>
      </c>
      <c r="D35" s="341">
        <v>0</v>
      </c>
      <c r="E35" s="341">
        <v>0</v>
      </c>
      <c r="F35" s="341">
        <v>0</v>
      </c>
      <c r="G35" s="341">
        <v>0</v>
      </c>
      <c r="H35" s="341">
        <v>0</v>
      </c>
      <c r="I35" s="341">
        <v>96516.88479118979</v>
      </c>
      <c r="J35" s="341">
        <v>96516.88479118979</v>
      </c>
      <c r="L35" s="342"/>
    </row>
    <row r="36" spans="1:258" x14ac:dyDescent="0.2">
      <c r="A36" s="343" t="s">
        <v>177</v>
      </c>
      <c r="B36" s="344">
        <v>0</v>
      </c>
      <c r="C36" s="344">
        <v>0</v>
      </c>
      <c r="D36" s="344">
        <v>0</v>
      </c>
      <c r="E36" s="344">
        <v>0</v>
      </c>
      <c r="F36" s="344">
        <v>0</v>
      </c>
      <c r="G36" s="344">
        <v>0</v>
      </c>
      <c r="H36" s="344">
        <v>0</v>
      </c>
      <c r="I36" s="344">
        <v>1</v>
      </c>
      <c r="J36" s="344">
        <v>0</v>
      </c>
      <c r="L36" s="345"/>
    </row>
    <row r="37" spans="1:258" x14ac:dyDescent="0.2">
      <c r="L37" s="342"/>
    </row>
    <row r="38" spans="1:258" x14ac:dyDescent="0.2">
      <c r="A38" s="134" t="s">
        <v>51</v>
      </c>
      <c r="B38" s="341">
        <v>123965.1977768393</v>
      </c>
      <c r="C38" s="341">
        <v>62897.08562503189</v>
      </c>
      <c r="D38" s="341">
        <v>18531.524769903281</v>
      </c>
      <c r="E38" s="341">
        <v>2283.2243161758734</v>
      </c>
      <c r="F38" s="341">
        <v>2920.6059985336096</v>
      </c>
      <c r="G38" s="341">
        <v>3167.2246724868842</v>
      </c>
      <c r="H38" s="341">
        <v>0</v>
      </c>
      <c r="I38" s="341">
        <v>0</v>
      </c>
      <c r="J38" s="341">
        <v>213764.86315897084</v>
      </c>
      <c r="L38" s="342"/>
    </row>
    <row r="39" spans="1:258" x14ac:dyDescent="0.2">
      <c r="A39" s="343" t="s">
        <v>177</v>
      </c>
      <c r="B39" s="344">
        <v>0.57991381719571899</v>
      </c>
      <c r="C39" s="344">
        <v>0.29423491164802479</v>
      </c>
      <c r="D39" s="344">
        <v>8.6691163814522285E-2</v>
      </c>
      <c r="E39" s="344">
        <v>1.0681008480228599E-2</v>
      </c>
      <c r="F39" s="344">
        <v>1.3662703754833826E-2</v>
      </c>
      <c r="G39" s="344">
        <v>1.4816395106671527E-2</v>
      </c>
      <c r="H39" s="344">
        <v>0</v>
      </c>
      <c r="I39" s="344">
        <v>0</v>
      </c>
      <c r="J39" s="344">
        <v>0</v>
      </c>
      <c r="L39" s="345"/>
    </row>
    <row r="40" spans="1:258" x14ac:dyDescent="0.2">
      <c r="L40" s="342"/>
    </row>
    <row r="41" spans="1:258" x14ac:dyDescent="0.2">
      <c r="A41" s="134" t="s">
        <v>53</v>
      </c>
      <c r="B41" s="341">
        <v>0</v>
      </c>
      <c r="C41" s="341">
        <v>52.435216020330728</v>
      </c>
      <c r="D41" s="341">
        <v>3444.8214229150053</v>
      </c>
      <c r="E41" s="341">
        <v>6140.3879602187626</v>
      </c>
      <c r="F41" s="341">
        <v>121.47166819607713</v>
      </c>
      <c r="G41" s="341">
        <v>9719.9878171873243</v>
      </c>
      <c r="H41" s="341">
        <v>5232.6165960022554</v>
      </c>
      <c r="I41" s="341">
        <v>0</v>
      </c>
      <c r="J41" s="341">
        <v>24711.720680539755</v>
      </c>
      <c r="L41" s="342"/>
    </row>
    <row r="42" spans="1:258" x14ac:dyDescent="0.2">
      <c r="A42" s="343" t="s">
        <v>177</v>
      </c>
      <c r="B42" s="344">
        <v>0</v>
      </c>
      <c r="C42" s="344">
        <v>2.1218763637783815E-3</v>
      </c>
      <c r="D42" s="344">
        <v>0.13940030592963806</v>
      </c>
      <c r="E42" s="344">
        <v>0.24848079336920717</v>
      </c>
      <c r="F42" s="344">
        <v>4.9155487700107796E-3</v>
      </c>
      <c r="G42" s="344">
        <v>0.3933351280083755</v>
      </c>
      <c r="H42" s="344">
        <v>0.21174634755899013</v>
      </c>
      <c r="I42" s="344">
        <v>0</v>
      </c>
      <c r="J42" s="344">
        <v>0</v>
      </c>
      <c r="L42" s="345"/>
    </row>
    <row r="43" spans="1:258" x14ac:dyDescent="0.2">
      <c r="A43" s="343"/>
      <c r="B43" s="344"/>
      <c r="C43" s="344"/>
      <c r="D43" s="344"/>
      <c r="E43" s="344"/>
      <c r="F43" s="344"/>
      <c r="G43" s="344"/>
      <c r="H43" s="344"/>
      <c r="I43" s="344"/>
      <c r="J43" s="344"/>
      <c r="L43" s="342"/>
    </row>
    <row r="44" spans="1:258" x14ac:dyDescent="0.2">
      <c r="A44" s="134" t="s">
        <v>179</v>
      </c>
      <c r="B44" s="341">
        <v>0</v>
      </c>
      <c r="C44" s="341">
        <v>0</v>
      </c>
      <c r="D44" s="341">
        <v>0</v>
      </c>
      <c r="E44" s="341">
        <v>0</v>
      </c>
      <c r="F44" s="341">
        <v>0</v>
      </c>
      <c r="G44" s="341">
        <v>0</v>
      </c>
      <c r="H44" s="341">
        <v>0</v>
      </c>
      <c r="I44" s="341">
        <v>25916.712910489401</v>
      </c>
      <c r="J44" s="341">
        <v>25916.712910489401</v>
      </c>
      <c r="L44" s="342"/>
    </row>
    <row r="45" spans="1:258" x14ac:dyDescent="0.2">
      <c r="A45" s="343" t="s">
        <v>177</v>
      </c>
      <c r="B45" s="344">
        <v>0</v>
      </c>
      <c r="C45" s="344">
        <v>0</v>
      </c>
      <c r="D45" s="344">
        <v>0</v>
      </c>
      <c r="E45" s="344">
        <v>0</v>
      </c>
      <c r="F45" s="344">
        <v>0</v>
      </c>
      <c r="G45" s="344">
        <v>0</v>
      </c>
      <c r="H45" s="344">
        <v>0</v>
      </c>
      <c r="I45" s="344">
        <v>1</v>
      </c>
      <c r="J45" s="344">
        <v>0</v>
      </c>
      <c r="L45" s="345"/>
    </row>
    <row r="46" spans="1:258" x14ac:dyDescent="0.2">
      <c r="L46" s="342"/>
    </row>
    <row r="48" spans="1:258" ht="51" x14ac:dyDescent="0.2">
      <c r="A48" s="269" t="s">
        <v>315</v>
      </c>
      <c r="B48" s="273" t="s">
        <v>320</v>
      </c>
      <c r="C48" s="273" t="s">
        <v>321</v>
      </c>
      <c r="D48" s="273" t="s">
        <v>316</v>
      </c>
      <c r="E48" s="273" t="s">
        <v>317</v>
      </c>
      <c r="F48" s="273" t="s">
        <v>331</v>
      </c>
      <c r="G48" s="273" t="s">
        <v>332</v>
      </c>
      <c r="H48" s="273" t="s">
        <v>318</v>
      </c>
      <c r="I48" s="273" t="s">
        <v>319</v>
      </c>
      <c r="J48" s="273" t="s">
        <v>333</v>
      </c>
      <c r="K48" s="273" t="s">
        <v>334</v>
      </c>
      <c r="IW48" s="165"/>
      <c r="IX48" s="165"/>
    </row>
    <row r="49" spans="1:258" x14ac:dyDescent="0.2">
      <c r="A49" s="269" t="s">
        <v>323</v>
      </c>
      <c r="B49" s="347">
        <v>485008.97141622053</v>
      </c>
      <c r="C49" s="347">
        <v>73946.328583779439</v>
      </c>
      <c r="D49" s="347">
        <f>SUM(B49:C49)</f>
        <v>558955.29999999993</v>
      </c>
      <c r="E49" s="347">
        <v>1746479.5300000005</v>
      </c>
      <c r="F49" s="348">
        <f>B49/E49</f>
        <v>0.27770664533137723</v>
      </c>
      <c r="G49" s="348">
        <f>C49/E49</f>
        <v>4.2340220605837517E-2</v>
      </c>
      <c r="H49" s="348">
        <f>D49/E49</f>
        <v>0.32004686593721471</v>
      </c>
      <c r="I49" s="347">
        <f>'[5]GAS 19 Adj Detail'!$AV187</f>
        <v>1815730.3499707021</v>
      </c>
      <c r="J49" s="349">
        <f>I49*F49</f>
        <v>504240.38431673124</v>
      </c>
      <c r="K49" s="349">
        <f>I49*G49</f>
        <v>76878.423578474089</v>
      </c>
      <c r="IW49" s="165"/>
      <c r="IX49" s="165"/>
    </row>
    <row r="50" spans="1:258" x14ac:dyDescent="0.2">
      <c r="A50" s="269" t="s">
        <v>324</v>
      </c>
      <c r="B50" s="347">
        <v>67749.665516794354</v>
      </c>
      <c r="C50" s="347">
        <v>3598.964483205657</v>
      </c>
      <c r="D50" s="347">
        <f t="shared" ref="D50:D56" si="0">SUM(B50:C50)</f>
        <v>71348.63</v>
      </c>
      <c r="E50" s="347">
        <v>449171.91</v>
      </c>
      <c r="F50" s="348">
        <f t="shared" ref="F50:F56" si="1">B50/E50</f>
        <v>0.15083237399416707</v>
      </c>
      <c r="G50" s="348">
        <f t="shared" ref="G50:G56" si="2">C50/E50</f>
        <v>8.012443349820467E-3</v>
      </c>
      <c r="H50" s="348">
        <f t="shared" ref="H50:H56" si="3">D50/E50</f>
        <v>0.15884481734398753</v>
      </c>
      <c r="I50" s="347">
        <f>'[5]GAS 19 Adj Detail'!$AV188</f>
        <v>477915.78105662781</v>
      </c>
      <c r="J50" s="349">
        <f t="shared" ref="J50:J56" si="4">I50*F50</f>
        <v>72085.17182604775</v>
      </c>
      <c r="K50" s="349">
        <f t="shared" ref="K50:K56" si="5">I50*G50</f>
        <v>3829.2731217014316</v>
      </c>
      <c r="IW50" s="165"/>
      <c r="IX50" s="165"/>
    </row>
    <row r="51" spans="1:258" x14ac:dyDescent="0.2">
      <c r="A51" s="269" t="s">
        <v>325</v>
      </c>
      <c r="B51" s="347">
        <v>0</v>
      </c>
      <c r="C51" s="347">
        <v>0</v>
      </c>
      <c r="D51" s="347">
        <f t="shared" si="0"/>
        <v>0</v>
      </c>
      <c r="E51" s="347">
        <v>2858000.879999999</v>
      </c>
      <c r="F51" s="348">
        <f t="shared" si="1"/>
        <v>0</v>
      </c>
      <c r="G51" s="348">
        <f t="shared" si="2"/>
        <v>0</v>
      </c>
      <c r="H51" s="348">
        <f t="shared" si="3"/>
        <v>0</v>
      </c>
      <c r="I51" s="347">
        <f>'[5]GAS 19 Adj Detail'!$AV189</f>
        <v>2973291.5607245159</v>
      </c>
      <c r="J51" s="349">
        <f t="shared" si="4"/>
        <v>0</v>
      </c>
      <c r="K51" s="349">
        <f t="shared" si="5"/>
        <v>0</v>
      </c>
      <c r="IW51" s="165"/>
      <c r="IX51" s="165"/>
    </row>
    <row r="52" spans="1:258" x14ac:dyDescent="0.2">
      <c r="A52" s="269" t="s">
        <v>326</v>
      </c>
      <c r="B52" s="347">
        <v>0</v>
      </c>
      <c r="C52" s="347">
        <v>0</v>
      </c>
      <c r="D52" s="347">
        <f t="shared" si="0"/>
        <v>0</v>
      </c>
      <c r="E52" s="347">
        <v>14763703.890000006</v>
      </c>
      <c r="F52" s="348">
        <f t="shared" si="1"/>
        <v>0</v>
      </c>
      <c r="G52" s="348">
        <f t="shared" si="2"/>
        <v>0</v>
      </c>
      <c r="H52" s="348">
        <f t="shared" si="3"/>
        <v>0</v>
      </c>
      <c r="I52" s="347">
        <f>'[5]GAS 19 Adj Detail'!$AV190</f>
        <v>3722836.2230376536</v>
      </c>
      <c r="J52" s="349">
        <f t="shared" si="4"/>
        <v>0</v>
      </c>
      <c r="K52" s="349">
        <f t="shared" si="5"/>
        <v>0</v>
      </c>
      <c r="IW52" s="165"/>
      <c r="IX52" s="165"/>
    </row>
    <row r="53" spans="1:258" x14ac:dyDescent="0.2">
      <c r="A53" s="269" t="s">
        <v>327</v>
      </c>
      <c r="B53" s="347">
        <v>0</v>
      </c>
      <c r="C53" s="347">
        <v>0</v>
      </c>
      <c r="D53" s="347">
        <f t="shared" si="0"/>
        <v>0</v>
      </c>
      <c r="E53" s="347">
        <v>8510356.9799999949</v>
      </c>
      <c r="F53" s="348">
        <f t="shared" si="1"/>
        <v>0</v>
      </c>
      <c r="G53" s="348">
        <f t="shared" si="2"/>
        <v>0</v>
      </c>
      <c r="H53" s="348">
        <f t="shared" si="3"/>
        <v>0</v>
      </c>
      <c r="I53" s="347"/>
      <c r="J53" s="349">
        <f t="shared" si="4"/>
        <v>0</v>
      </c>
      <c r="K53" s="349">
        <f t="shared" si="5"/>
        <v>0</v>
      </c>
      <c r="IW53" s="165"/>
      <c r="IX53" s="165"/>
    </row>
    <row r="54" spans="1:258" x14ac:dyDescent="0.2">
      <c r="A54" s="269" t="s">
        <v>328</v>
      </c>
      <c r="B54" s="347">
        <v>337629.59627931647</v>
      </c>
      <c r="C54" s="347">
        <v>17935.393720683554</v>
      </c>
      <c r="D54" s="347">
        <f t="shared" si="0"/>
        <v>355564.99</v>
      </c>
      <c r="E54" s="347">
        <v>356239.22999999992</v>
      </c>
      <c r="F54" s="348">
        <f t="shared" si="1"/>
        <v>0.94776085238932428</v>
      </c>
      <c r="G54" s="348">
        <f t="shared" si="2"/>
        <v>5.0346486883781884E-2</v>
      </c>
      <c r="H54" s="348">
        <f t="shared" si="3"/>
        <v>0.99810733927310602</v>
      </c>
      <c r="I54" s="347">
        <f>'[5]GAS 19 Adj Detail'!$AV197</f>
        <v>378126.72998735408</v>
      </c>
      <c r="J54" s="349">
        <f t="shared" si="4"/>
        <v>358373.71192400256</v>
      </c>
      <c r="K54" s="349">
        <f t="shared" si="5"/>
        <v>19037.352451715655</v>
      </c>
      <c r="IW54" s="165"/>
      <c r="IX54" s="165"/>
    </row>
    <row r="55" spans="1:258" x14ac:dyDescent="0.2">
      <c r="A55" s="269" t="s">
        <v>329</v>
      </c>
      <c r="B55" s="347">
        <v>0</v>
      </c>
      <c r="C55" s="347">
        <v>0</v>
      </c>
      <c r="D55" s="347">
        <f t="shared" si="0"/>
        <v>0</v>
      </c>
      <c r="E55" s="347">
        <v>1038755.6799999998</v>
      </c>
      <c r="F55" s="348">
        <f t="shared" si="1"/>
        <v>0</v>
      </c>
      <c r="G55" s="348">
        <f t="shared" si="2"/>
        <v>0</v>
      </c>
      <c r="H55" s="348">
        <f t="shared" si="3"/>
        <v>0</v>
      </c>
      <c r="I55" s="347">
        <f>'[5]GAS 19 Adj Detail'!$AV199</f>
        <v>1085653.5718860901</v>
      </c>
      <c r="J55" s="349">
        <f t="shared" si="4"/>
        <v>0</v>
      </c>
      <c r="K55" s="349">
        <f t="shared" si="5"/>
        <v>0</v>
      </c>
      <c r="IW55" s="165"/>
      <c r="IX55" s="165"/>
    </row>
    <row r="56" spans="1:258" x14ac:dyDescent="0.2">
      <c r="A56" s="269" t="s">
        <v>330</v>
      </c>
      <c r="B56" s="347">
        <v>565603.82680848567</v>
      </c>
      <c r="C56" s="347">
        <v>12888.243191514435</v>
      </c>
      <c r="D56" s="347">
        <f t="shared" si="0"/>
        <v>578492.07000000007</v>
      </c>
      <c r="E56" s="347">
        <v>585307.77999999991</v>
      </c>
      <c r="F56" s="348">
        <f t="shared" si="1"/>
        <v>0.9663357401613315</v>
      </c>
      <c r="G56" s="348">
        <f t="shared" si="2"/>
        <v>2.2019599998336664E-2</v>
      </c>
      <c r="H56" s="348">
        <f t="shared" si="3"/>
        <v>0.98835534015966808</v>
      </c>
      <c r="I56" s="347">
        <f>'[5]GAS 19 Adj Detail'!$AV200</f>
        <v>624180.34385424689</v>
      </c>
      <c r="J56" s="349">
        <f t="shared" si="4"/>
        <v>603167.77457254811</v>
      </c>
      <c r="K56" s="349">
        <f t="shared" si="5"/>
        <v>13744.201498494753</v>
      </c>
      <c r="IW56" s="165"/>
      <c r="IX56" s="165"/>
    </row>
    <row r="57" spans="1:258" x14ac:dyDescent="0.2">
      <c r="A57" s="269" t="s">
        <v>4</v>
      </c>
      <c r="B57" s="347">
        <f>SUM(B49:B56)</f>
        <v>1455992.060020817</v>
      </c>
      <c r="C57" s="347">
        <f>SUM(C49:C56)</f>
        <v>108368.92997918309</v>
      </c>
      <c r="D57" s="347">
        <f>SUM(D49:D56)</f>
        <v>1564360.99</v>
      </c>
      <c r="J57" s="347">
        <f>SUM(J49:J56)</f>
        <v>1537867.0426393296</v>
      </c>
      <c r="K57" s="347">
        <f>SUM(K49:K56)</f>
        <v>113489.25065038592</v>
      </c>
    </row>
    <row r="59" spans="1:258" ht="51" x14ac:dyDescent="0.2">
      <c r="A59" s="269"/>
      <c r="B59" s="273" t="s">
        <v>320</v>
      </c>
      <c r="C59" s="273" t="s">
        <v>321</v>
      </c>
      <c r="D59" s="273" t="s">
        <v>316</v>
      </c>
      <c r="E59" s="273" t="s">
        <v>338</v>
      </c>
      <c r="F59" s="273" t="s">
        <v>331</v>
      </c>
      <c r="G59" s="273" t="s">
        <v>332</v>
      </c>
      <c r="H59" s="273" t="s">
        <v>318</v>
      </c>
      <c r="I59" s="273" t="s">
        <v>319</v>
      </c>
      <c r="J59" s="273" t="s">
        <v>333</v>
      </c>
      <c r="K59" s="273" t="s">
        <v>334</v>
      </c>
    </row>
    <row r="60" spans="1:258" x14ac:dyDescent="0.2">
      <c r="A60" s="269" t="s">
        <v>335</v>
      </c>
      <c r="B60" s="347">
        <f>J23</f>
        <v>8016464.8706671298</v>
      </c>
      <c r="C60" s="347">
        <f>J26</f>
        <v>3472.6153428711127</v>
      </c>
      <c r="D60" s="347">
        <f>SUM(B60:C60)</f>
        <v>8019937.486010001</v>
      </c>
      <c r="E60" s="347">
        <v>8158366.016915</v>
      </c>
      <c r="F60" s="348">
        <f>B60/E60</f>
        <v>0.98260667075322905</v>
      </c>
      <c r="G60" s="348">
        <f>C60/E60</f>
        <v>4.2565083935572747E-4</v>
      </c>
      <c r="H60" s="348">
        <f>D60/E60</f>
        <v>0.9830323215925848</v>
      </c>
      <c r="I60" s="347">
        <f>'[5]GAS 19 Adj Detail'!$AV$204</f>
        <v>8267914.3922897577</v>
      </c>
      <c r="J60" s="349">
        <f>I60*F60</f>
        <v>8124107.8350805454</v>
      </c>
      <c r="K60" s="349">
        <f>I60*G60</f>
        <v>3519.2447007994347</v>
      </c>
    </row>
    <row r="61" spans="1:258" x14ac:dyDescent="0.2">
      <c r="A61" s="269" t="s">
        <v>336</v>
      </c>
      <c r="B61" s="347">
        <f>J14</f>
        <v>5789976.6849422483</v>
      </c>
      <c r="C61" s="347">
        <f>J17</f>
        <v>281427.75823275198</v>
      </c>
      <c r="D61" s="347">
        <f>SUM(B61:C61)</f>
        <v>6071404.4431750001</v>
      </c>
      <c r="E61" s="347">
        <v>17221284.120744996</v>
      </c>
      <c r="F61" s="348">
        <f>B61/E61</f>
        <v>0.33621050813322118</v>
      </c>
      <c r="G61" s="348">
        <f>C61/E61</f>
        <v>1.6341856754673725E-2</v>
      </c>
      <c r="H61" s="348">
        <f>D61/E61</f>
        <v>0.35255236488789493</v>
      </c>
      <c r="I61" s="347">
        <f>'[5]GAS 19 Adj Detail'!$AV$205</f>
        <v>17299362.03368751</v>
      </c>
      <c r="J61" s="349">
        <f>I61*F61</f>
        <v>5816227.2997266324</v>
      </c>
      <c r="K61" s="349">
        <f>I61*G61</f>
        <v>282703.69630176242</v>
      </c>
    </row>
    <row r="62" spans="1:258" x14ac:dyDescent="0.2">
      <c r="A62" s="269"/>
      <c r="B62" s="347"/>
      <c r="C62" s="347"/>
      <c r="D62" s="347"/>
      <c r="E62" s="347"/>
      <c r="F62" s="348"/>
      <c r="G62" s="348"/>
      <c r="H62" s="348"/>
      <c r="I62" s="347"/>
      <c r="J62" s="349"/>
      <c r="K62" s="349"/>
    </row>
    <row r="63" spans="1:258" ht="51" x14ac:dyDescent="0.2">
      <c r="A63" s="269"/>
      <c r="B63" s="273" t="s">
        <v>390</v>
      </c>
      <c r="C63" s="350" t="s">
        <v>391</v>
      </c>
      <c r="D63" s="273" t="s">
        <v>316</v>
      </c>
      <c r="E63" s="347"/>
      <c r="F63" s="273" t="s">
        <v>392</v>
      </c>
      <c r="G63" s="350" t="s">
        <v>391</v>
      </c>
      <c r="H63" s="273" t="s">
        <v>318</v>
      </c>
      <c r="I63" s="273" t="s">
        <v>319</v>
      </c>
      <c r="J63" s="273" t="s">
        <v>393</v>
      </c>
      <c r="K63" s="349" t="s">
        <v>391</v>
      </c>
    </row>
    <row r="64" spans="1:258" x14ac:dyDescent="0.2">
      <c r="A64" s="269" t="s">
        <v>322</v>
      </c>
      <c r="B64" s="350">
        <f>J20</f>
        <v>127083.78306</v>
      </c>
      <c r="C64" s="350">
        <v>0</v>
      </c>
      <c r="D64" s="347">
        <f>SUM(B64:C64)</f>
        <v>127083.78306</v>
      </c>
      <c r="E64" s="350">
        <v>159152</v>
      </c>
      <c r="F64" s="348">
        <f>B64/E64</f>
        <v>0.79850572446466273</v>
      </c>
      <c r="G64" s="348">
        <f>C64/E64</f>
        <v>0</v>
      </c>
      <c r="H64" s="348">
        <f>D64/E64</f>
        <v>0.79850572446466273</v>
      </c>
      <c r="I64" s="347">
        <f>'[5]GAS 19 Adj Detail'!$AV$210</f>
        <v>580196.50245182961</v>
      </c>
      <c r="J64" s="349">
        <f>I64*F64</f>
        <v>463290.22852216166</v>
      </c>
      <c r="K64" s="349">
        <f>I64*G64</f>
        <v>0</v>
      </c>
    </row>
    <row r="67" spans="1:258" ht="63.75" x14ac:dyDescent="0.2">
      <c r="B67" s="273" t="s">
        <v>320</v>
      </c>
      <c r="C67" s="273" t="s">
        <v>321</v>
      </c>
      <c r="D67" s="273" t="s">
        <v>341</v>
      </c>
      <c r="E67" s="273" t="s">
        <v>316</v>
      </c>
      <c r="F67" s="273" t="s">
        <v>338</v>
      </c>
      <c r="G67" s="273" t="s">
        <v>331</v>
      </c>
      <c r="H67" s="273" t="s">
        <v>332</v>
      </c>
      <c r="I67" s="273" t="s">
        <v>342</v>
      </c>
      <c r="J67" s="273" t="s">
        <v>318</v>
      </c>
      <c r="K67" s="273" t="s">
        <v>319</v>
      </c>
      <c r="L67" s="273" t="s">
        <v>333</v>
      </c>
      <c r="M67" s="273" t="s">
        <v>334</v>
      </c>
      <c r="N67" s="273" t="s">
        <v>343</v>
      </c>
      <c r="IW67" s="165"/>
      <c r="IX67" s="165"/>
    </row>
    <row r="68" spans="1:258" x14ac:dyDescent="0.2">
      <c r="A68" s="269" t="s">
        <v>337</v>
      </c>
      <c r="B68" s="350">
        <f>J29</f>
        <v>799286.36755140801</v>
      </c>
      <c r="C68" s="350">
        <f>J32</f>
        <v>92481.453512402222</v>
      </c>
      <c r="D68" s="350">
        <f>J35</f>
        <v>96516.88479118979</v>
      </c>
      <c r="E68" s="347">
        <f>SUM(B68:D68)</f>
        <v>988284.70585500007</v>
      </c>
      <c r="F68" s="350">
        <v>15912295.766690886</v>
      </c>
      <c r="G68" s="348">
        <f>B68/F68</f>
        <v>5.0230738497492579E-2</v>
      </c>
      <c r="H68" s="348">
        <f>C68/F68</f>
        <v>5.8119491284213745E-3</v>
      </c>
      <c r="I68" s="348">
        <f>D68/F68</f>
        <v>6.0655537206157272E-3</v>
      </c>
      <c r="J68" s="348">
        <f>E68/F68</f>
        <v>6.2108241346529681E-2</v>
      </c>
      <c r="K68" s="347">
        <f>'[5]GAS 19 Adj Detail'!$AV$228</f>
        <v>15912295.766690886</v>
      </c>
      <c r="L68" s="349">
        <f>K68*G68</f>
        <v>799286.36755140801</v>
      </c>
      <c r="M68" s="349">
        <f>K68*H68</f>
        <v>92481.453512402222</v>
      </c>
      <c r="N68" s="349">
        <f>K68*I68</f>
        <v>96516.88479118979</v>
      </c>
      <c r="IW68" s="165"/>
      <c r="IX68" s="165"/>
    </row>
    <row r="69" spans="1:258" x14ac:dyDescent="0.2">
      <c r="A69" s="269" t="s">
        <v>339</v>
      </c>
      <c r="B69" s="350">
        <f>J38</f>
        <v>213764.86315897084</v>
      </c>
      <c r="C69" s="350">
        <f>J41</f>
        <v>24711.720680539755</v>
      </c>
      <c r="D69" s="350">
        <f>J44</f>
        <v>25916.712910489401</v>
      </c>
      <c r="E69" s="347">
        <f>SUM(B69:C69)</f>
        <v>238476.5838395106</v>
      </c>
      <c r="F69" s="350">
        <v>36383037.976796873</v>
      </c>
      <c r="G69" s="348">
        <f>B69/F69</f>
        <v>5.8753989508874569E-3</v>
      </c>
      <c r="H69" s="348">
        <f>C69/F69</f>
        <v>6.7920993008608981E-4</v>
      </c>
      <c r="I69" s="348">
        <f>D69/F69</f>
        <v>7.1232954562556528E-4</v>
      </c>
      <c r="J69" s="348">
        <f>E69/F69</f>
        <v>6.5546088809735467E-3</v>
      </c>
      <c r="K69" s="347">
        <f>'[5]GAS 19 Adj Detail'!$AV$266</f>
        <v>36383039.47843679</v>
      </c>
      <c r="L69" s="349">
        <f>K69*G69</f>
        <v>213764.87198170443</v>
      </c>
      <c r="M69" s="349">
        <f>K69*H69</f>
        <v>24711.721700468497</v>
      </c>
      <c r="N69" s="349">
        <f>K69*I69</f>
        <v>25916.713980151882</v>
      </c>
      <c r="IW69" s="165"/>
      <c r="IX69" s="165"/>
    </row>
    <row r="70" spans="1:258" x14ac:dyDescent="0.2">
      <c r="A70" s="269" t="s">
        <v>340</v>
      </c>
    </row>
  </sheetData>
  <pageMargins left="0.7" right="0.7" top="0.75" bottom="0.75" header="0.3" footer="0.3"/>
  <pageSetup scale="71" fitToHeight="2" orientation="landscape" horizontalDpi="1200" verticalDpi="1200" r:id="rId1"/>
  <rowBreaks count="1" manualBreakCount="1"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I38" sqref="I38"/>
    </sheetView>
  </sheetViews>
  <sheetFormatPr defaultRowHeight="12.75" x14ac:dyDescent="0.2"/>
  <cols>
    <col min="1" max="2" width="30" customWidth="1"/>
  </cols>
  <sheetData>
    <row r="1" spans="1:14" x14ac:dyDescent="0.2">
      <c r="A1" s="85" t="s">
        <v>108</v>
      </c>
      <c r="B1" s="233"/>
      <c r="C1" s="233"/>
      <c r="D1" s="233"/>
      <c r="E1" s="233"/>
      <c r="F1" s="233"/>
    </row>
    <row r="2" spans="1:14" x14ac:dyDescent="0.2">
      <c r="A2" s="85" t="s">
        <v>294</v>
      </c>
      <c r="B2" s="233"/>
      <c r="C2" s="233"/>
      <c r="D2" s="233"/>
      <c r="E2" s="233"/>
      <c r="F2" s="233"/>
    </row>
    <row r="3" spans="1:14" x14ac:dyDescent="0.2">
      <c r="A3" s="368" t="s">
        <v>407</v>
      </c>
      <c r="B3" s="233"/>
      <c r="C3" s="233"/>
      <c r="D3" s="233"/>
      <c r="E3" s="233"/>
      <c r="F3" s="233"/>
    </row>
    <row r="4" spans="1:14" s="173" customFormat="1" x14ac:dyDescent="0.2"/>
    <row r="5" spans="1:14" x14ac:dyDescent="0.2">
      <c r="A5" s="75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1:14" x14ac:dyDescent="0.2">
      <c r="A6" s="58" t="s">
        <v>87</v>
      </c>
      <c r="B6" s="58" t="s">
        <v>298</v>
      </c>
    </row>
    <row r="7" spans="1:14" x14ac:dyDescent="0.2">
      <c r="A7" s="58" t="s">
        <v>89</v>
      </c>
      <c r="B7" s="77">
        <v>4143916.1399999997</v>
      </c>
      <c r="H7" s="77"/>
    </row>
    <row r="8" spans="1:14" x14ac:dyDescent="0.2">
      <c r="A8" s="58" t="s">
        <v>90</v>
      </c>
      <c r="B8" s="77">
        <v>462923.36</v>
      </c>
      <c r="H8" s="77"/>
    </row>
    <row r="9" spans="1:14" x14ac:dyDescent="0.2">
      <c r="A9" s="58" t="s">
        <v>91</v>
      </c>
      <c r="B9" s="77">
        <v>0</v>
      </c>
    </row>
    <row r="10" spans="1:14" x14ac:dyDescent="0.2">
      <c r="A10" s="58" t="s">
        <v>92</v>
      </c>
      <c r="B10" s="77">
        <v>0</v>
      </c>
    </row>
    <row r="11" spans="1:14" x14ac:dyDescent="0.2">
      <c r="A11" s="58" t="s">
        <v>180</v>
      </c>
      <c r="B11" s="77">
        <v>166.43</v>
      </c>
    </row>
    <row r="12" spans="1:14" x14ac:dyDescent="0.2">
      <c r="A12" s="58" t="s">
        <v>94</v>
      </c>
      <c r="B12" s="77">
        <v>0</v>
      </c>
    </row>
    <row r="13" spans="1:14" x14ac:dyDescent="0.2">
      <c r="A13" s="58" t="s">
        <v>95</v>
      </c>
      <c r="B13" s="77">
        <v>0</v>
      </c>
    </row>
    <row r="14" spans="1:14" x14ac:dyDescent="0.2">
      <c r="A14" s="58" t="s">
        <v>131</v>
      </c>
      <c r="B14" s="77">
        <v>271331.25</v>
      </c>
      <c r="H14" s="77"/>
    </row>
    <row r="15" spans="1:14" x14ac:dyDescent="0.2">
      <c r="A15" s="58" t="s">
        <v>4</v>
      </c>
      <c r="B15" s="185">
        <f>SUM(B7:B14)</f>
        <v>4878337.18</v>
      </c>
      <c r="H15" s="77"/>
    </row>
    <row r="17" spans="1:1" ht="15" x14ac:dyDescent="0.2">
      <c r="A17" s="367" t="s">
        <v>408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I38" sqref="I38"/>
    </sheetView>
  </sheetViews>
  <sheetFormatPr defaultRowHeight="12.75" x14ac:dyDescent="0.2"/>
  <cols>
    <col min="2" max="2" width="32.28515625" customWidth="1"/>
    <col min="3" max="3" width="28.7109375" bestFit="1" customWidth="1"/>
  </cols>
  <sheetData>
    <row r="1" spans="1:6" x14ac:dyDescent="0.2">
      <c r="A1" s="85" t="s">
        <v>108</v>
      </c>
      <c r="B1" s="233"/>
      <c r="C1" s="233"/>
      <c r="D1" s="233"/>
      <c r="E1" s="233"/>
      <c r="F1" s="233"/>
    </row>
    <row r="2" spans="1:6" x14ac:dyDescent="0.2">
      <c r="A2" s="85" t="s">
        <v>294</v>
      </c>
      <c r="B2" s="233"/>
      <c r="C2" s="233"/>
      <c r="D2" s="233"/>
      <c r="E2" s="233"/>
      <c r="F2" s="233"/>
    </row>
    <row r="3" spans="1:6" x14ac:dyDescent="0.2">
      <c r="A3" s="368" t="s">
        <v>409</v>
      </c>
      <c r="B3" s="233"/>
      <c r="C3" s="233"/>
      <c r="D3" s="233"/>
      <c r="E3" s="233"/>
      <c r="F3" s="233"/>
    </row>
    <row r="4" spans="1:6" x14ac:dyDescent="0.2">
      <c r="A4" s="58"/>
      <c r="B4" s="58"/>
      <c r="C4" s="58"/>
    </row>
    <row r="5" spans="1:6" x14ac:dyDescent="0.2">
      <c r="A5" s="58"/>
      <c r="B5" s="58"/>
      <c r="C5" s="58" t="s">
        <v>181</v>
      </c>
    </row>
    <row r="6" spans="1:6" x14ac:dyDescent="0.2">
      <c r="A6" s="58"/>
      <c r="B6" s="58" t="s">
        <v>89</v>
      </c>
      <c r="C6" s="356">
        <v>3971538.31</v>
      </c>
    </row>
    <row r="7" spans="1:6" x14ac:dyDescent="0.2">
      <c r="A7" s="58"/>
      <c r="B7" s="58" t="s">
        <v>90</v>
      </c>
      <c r="C7" s="356">
        <v>1106739.22</v>
      </c>
    </row>
    <row r="8" spans="1:6" x14ac:dyDescent="0.2">
      <c r="A8" s="58"/>
      <c r="B8" s="58" t="s">
        <v>91</v>
      </c>
      <c r="C8" s="356">
        <v>56992.61</v>
      </c>
    </row>
    <row r="9" spans="1:6" x14ac:dyDescent="0.2">
      <c r="A9" s="58"/>
      <c r="B9" s="58" t="s">
        <v>92</v>
      </c>
      <c r="C9" s="356">
        <v>0</v>
      </c>
    </row>
    <row r="10" spans="1:6" x14ac:dyDescent="0.2">
      <c r="A10" s="58"/>
      <c r="B10" s="58" t="s">
        <v>93</v>
      </c>
      <c r="C10" s="356">
        <v>9923</v>
      </c>
    </row>
    <row r="11" spans="1:6" x14ac:dyDescent="0.2">
      <c r="A11" s="58"/>
      <c r="B11" s="58" t="s">
        <v>94</v>
      </c>
      <c r="C11" s="356">
        <v>0</v>
      </c>
    </row>
    <row r="12" spans="1:6" x14ac:dyDescent="0.2">
      <c r="A12" s="58"/>
      <c r="B12" s="58" t="s">
        <v>95</v>
      </c>
      <c r="C12" s="356">
        <v>0</v>
      </c>
    </row>
    <row r="13" spans="1:6" x14ac:dyDescent="0.2">
      <c r="A13" s="58"/>
      <c r="B13" s="58" t="s">
        <v>131</v>
      </c>
      <c r="C13" s="356">
        <v>64409.13</v>
      </c>
    </row>
    <row r="14" spans="1:6" x14ac:dyDescent="0.2">
      <c r="A14" s="58"/>
      <c r="B14" s="58" t="s">
        <v>4</v>
      </c>
      <c r="C14" s="186">
        <f>SUM(C6:C13)</f>
        <v>5209602.2700000005</v>
      </c>
    </row>
    <row r="15" spans="1:6" x14ac:dyDescent="0.2">
      <c r="A15" s="58"/>
      <c r="B15" s="58"/>
      <c r="C15" s="78"/>
    </row>
    <row r="16" spans="1:6" x14ac:dyDescent="0.2">
      <c r="A16" s="58"/>
      <c r="B16" s="58"/>
      <c r="C16" s="58"/>
    </row>
    <row r="17" spans="1:3" ht="15" x14ac:dyDescent="0.2">
      <c r="A17" s="367" t="s">
        <v>410</v>
      </c>
      <c r="B17" s="58"/>
      <c r="C17" s="58"/>
    </row>
    <row r="18" spans="1:3" x14ac:dyDescent="0.2">
      <c r="A18" s="58"/>
      <c r="B18" s="58"/>
      <c r="C18" s="58"/>
    </row>
    <row r="19" spans="1:3" x14ac:dyDescent="0.2">
      <c r="A19" s="58"/>
      <c r="B19" s="58"/>
      <c r="C19" s="58"/>
    </row>
    <row r="20" spans="1:3" x14ac:dyDescent="0.2">
      <c r="A20" s="58"/>
      <c r="B20" s="58"/>
      <c r="C20" s="58"/>
    </row>
    <row r="21" spans="1:3" x14ac:dyDescent="0.2">
      <c r="A21" s="58"/>
      <c r="B21" s="58"/>
      <c r="C21" s="58"/>
    </row>
    <row r="22" spans="1:3" x14ac:dyDescent="0.2">
      <c r="A22" s="58"/>
      <c r="B22" s="58"/>
      <c r="C22" s="58"/>
    </row>
    <row r="23" spans="1:3" x14ac:dyDescent="0.2">
      <c r="A23" s="58"/>
      <c r="B23" s="58"/>
      <c r="C23" s="58"/>
    </row>
    <row r="24" spans="1:3" x14ac:dyDescent="0.2">
      <c r="A24" s="58"/>
      <c r="B24" s="58"/>
      <c r="C24" s="58"/>
    </row>
    <row r="25" spans="1:3" x14ac:dyDescent="0.2">
      <c r="A25" s="58"/>
      <c r="B25" s="58"/>
      <c r="C25" s="58"/>
    </row>
    <row r="26" spans="1:3" x14ac:dyDescent="0.2">
      <c r="A26" s="58"/>
      <c r="B26" s="58"/>
      <c r="C26" s="58"/>
    </row>
    <row r="27" spans="1:3" x14ac:dyDescent="0.2">
      <c r="A27" s="58"/>
      <c r="B27" s="58"/>
      <c r="C27" s="58"/>
    </row>
    <row r="28" spans="1:3" x14ac:dyDescent="0.2">
      <c r="A28" s="58"/>
      <c r="B28" s="58"/>
      <c r="C28" s="58"/>
    </row>
    <row r="29" spans="1:3" x14ac:dyDescent="0.2">
      <c r="A29" s="58"/>
      <c r="B29" s="58"/>
      <c r="C29" s="58"/>
    </row>
    <row r="30" spans="1:3" x14ac:dyDescent="0.2">
      <c r="A30" s="58"/>
      <c r="B30" s="58"/>
      <c r="C30" s="58"/>
    </row>
    <row r="31" spans="1:3" x14ac:dyDescent="0.2">
      <c r="A31" s="58"/>
      <c r="B31" s="58"/>
      <c r="C31" s="58"/>
    </row>
    <row r="32" spans="1:3" x14ac:dyDescent="0.2">
      <c r="A32" s="58"/>
      <c r="B32" s="58"/>
      <c r="C32" s="58"/>
    </row>
    <row r="33" spans="1:3" x14ac:dyDescent="0.2">
      <c r="A33" s="58"/>
      <c r="B33" s="58"/>
      <c r="C33" s="58"/>
    </row>
    <row r="34" spans="1:3" x14ac:dyDescent="0.2">
      <c r="A34" s="58"/>
      <c r="B34" s="58"/>
      <c r="C34" s="58"/>
    </row>
    <row r="35" spans="1:3" x14ac:dyDescent="0.2">
      <c r="A35" s="58"/>
      <c r="B35" s="58"/>
      <c r="C35" s="58"/>
    </row>
    <row r="36" spans="1:3" x14ac:dyDescent="0.2">
      <c r="A36" s="58"/>
      <c r="B36" s="58"/>
      <c r="C36" s="58"/>
    </row>
    <row r="37" spans="1:3" x14ac:dyDescent="0.2">
      <c r="A37" s="58"/>
      <c r="B37" s="58"/>
      <c r="C37" s="58"/>
    </row>
    <row r="38" spans="1:3" x14ac:dyDescent="0.2">
      <c r="A38" s="58"/>
      <c r="B38" s="58"/>
      <c r="C38" s="58"/>
    </row>
    <row r="39" spans="1:3" x14ac:dyDescent="0.2">
      <c r="A39" s="58"/>
      <c r="B39" s="58"/>
      <c r="C39" s="58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57E1735-9CE0-4CE5-833F-A9D28B1265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EA464D-2B50-4E7B-AE3B-6684154D6E3C}"/>
</file>

<file path=customXml/itemProps3.xml><?xml version="1.0" encoding="utf-8"?>
<ds:datastoreItem xmlns:ds="http://schemas.openxmlformats.org/officeDocument/2006/customXml" ds:itemID="{8A0E6060-6D02-4370-BADC-7E31F2174B53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E1E1452-CC6E-4BC4-A21F-C10524741E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6</vt:i4>
      </vt:variant>
    </vt:vector>
  </HeadingPairs>
  <TitlesOfParts>
    <vt:vector size="22" baseType="lpstr">
      <vt:lpstr>Scenario Choice</vt:lpstr>
      <vt:lpstr>EXTERNAL</vt:lpstr>
      <vt:lpstr>CUST</vt:lpstr>
      <vt:lpstr>MTRS</vt:lpstr>
      <vt:lpstr>Direct 380</vt:lpstr>
      <vt:lpstr>WtCust</vt:lpstr>
      <vt:lpstr>Direct Assignment</vt:lpstr>
      <vt:lpstr>Uncollectible</vt:lpstr>
      <vt:lpstr>Deposit</vt:lpstr>
      <vt:lpstr>OtherRev</vt:lpstr>
      <vt:lpstr>Proforma Rev</vt:lpstr>
      <vt:lpstr>Demand Allocator</vt:lpstr>
      <vt:lpstr>System Load Factor</vt:lpstr>
      <vt:lpstr>Mains Allocator</vt:lpstr>
      <vt:lpstr>Mains Allocator Old Method</vt:lpstr>
      <vt:lpstr>Mains Costs</vt:lpstr>
      <vt:lpstr>'Demand Allocator'!Print_Area</vt:lpstr>
      <vt:lpstr>EXTERNAL!Print_Area</vt:lpstr>
      <vt:lpstr>'Mains Allocator'!Print_Area</vt:lpstr>
      <vt:lpstr>'Mains Allocator Old Method'!Print_Area</vt:lpstr>
      <vt:lpstr>'Mains Costs'!Print_Area</vt:lpstr>
      <vt:lpstr>EXTERNAL!Print_Titles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Paul Schmidt</cp:lastModifiedBy>
  <cp:lastPrinted>2019-06-24T02:04:39Z</cp:lastPrinted>
  <dcterms:created xsi:type="dcterms:W3CDTF">2017-12-08T22:35:10Z</dcterms:created>
  <dcterms:modified xsi:type="dcterms:W3CDTF">2019-06-24T02:04:59Z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{A44787D4-0540-4523-9961-78E4036D8C6D}">
    <vt:lpwstr>{B2AEB332-06A3-49D8-B2E0-C305FC822381}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