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M:\2020\2020 WA Elec and Gas GRC\Adjustments\2.06 FIT_DFIT Expense\"/>
    </mc:Choice>
  </mc:AlternateContent>
  <xr:revisionPtr revIDLastSave="0" documentId="13_ncr:1_{0C10D6A5-4BD5-43BE-9215-AE82B762F331}" xr6:coauthVersionLast="44" xr6:coauthVersionMax="44" xr10:uidLastSave="{00000000-0000-0000-0000-000000000000}"/>
  <bookViews>
    <workbookView xWindow="28680" yWindow="-195" windowWidth="29040" windowHeight="15840" xr2:uid="{00000000-000D-0000-FFFF-FFFF00000000}"/>
  </bookViews>
  <sheets>
    <sheet name="Recon SCH Ms" sheetId="2" r:id="rId1"/>
    <sheet name="Recon Temp DFIT" sheetId="4" r:id="rId2"/>
    <sheet name="Flow-Thru Detail" sheetId="3" r:id="rId3"/>
  </sheets>
  <definedNames>
    <definedName name="_xlnm.Print_Area" localSheetId="2">'Flow-Thru Detail'!$A$1:$X$16</definedName>
    <definedName name="_xlnm.Print_Area" localSheetId="0">'Recon SCH Ms'!$A$1:$I$78</definedName>
    <definedName name="_xlnm.Print_Area" localSheetId="1">'Recon Temp DFIT'!$A$1:$Z$51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23" i="4" l="1"/>
  <c r="Y31" i="4"/>
  <c r="V44" i="4"/>
  <c r="V45" i="4"/>
  <c r="T45" i="4" l="1"/>
  <c r="R45" i="4"/>
  <c r="T46" i="4"/>
  <c r="S45" i="4"/>
  <c r="U12" i="4" l="1"/>
  <c r="T12" i="4"/>
  <c r="T19" i="4"/>
  <c r="V48" i="4" l="1"/>
  <c r="U48" i="4"/>
  <c r="T48" i="4"/>
  <c r="S48" i="4"/>
  <c r="R48" i="4"/>
  <c r="S49" i="4"/>
  <c r="X18" i="4"/>
  <c r="S21" i="4"/>
  <c r="R21" i="4"/>
  <c r="W46" i="4"/>
  <c r="W41" i="4"/>
  <c r="W40" i="4"/>
  <c r="W39" i="4"/>
  <c r="T38" i="4"/>
  <c r="U38" i="4"/>
  <c r="V38" i="4"/>
  <c r="W44" i="4"/>
  <c r="T37" i="4"/>
  <c r="U37" i="4"/>
  <c r="V37" i="4"/>
  <c r="W36" i="4"/>
  <c r="W29" i="4" l="1"/>
  <c r="W27" i="4"/>
  <c r="W25" i="4"/>
  <c r="W21" i="4"/>
  <c r="W7" i="4"/>
  <c r="W9" i="4"/>
  <c r="X8" i="4"/>
  <c r="V4" i="4"/>
  <c r="V20" i="4" s="1"/>
  <c r="U3" i="4"/>
  <c r="U5" i="4" s="1"/>
  <c r="T3" i="4"/>
  <c r="T5" i="4" s="1"/>
  <c r="S2" i="4"/>
  <c r="S4" i="4" s="1"/>
  <c r="R2" i="4"/>
  <c r="S47" i="4" l="1"/>
  <c r="S33" i="4"/>
  <c r="S34" i="4"/>
  <c r="S20" i="4"/>
  <c r="S18" i="4"/>
  <c r="R37" i="4"/>
  <c r="R38" i="4"/>
  <c r="T4" i="4"/>
  <c r="T8" i="4" s="1"/>
  <c r="T24" i="4"/>
  <c r="S30" i="4"/>
  <c r="U4" i="4"/>
  <c r="U8" i="4" s="1"/>
  <c r="R5" i="4"/>
  <c r="V16" i="4"/>
  <c r="R24" i="4"/>
  <c r="W24" i="4" s="1"/>
  <c r="S37" i="4"/>
  <c r="S38" i="4"/>
  <c r="U24" i="4"/>
  <c r="S5" i="4"/>
  <c r="V8" i="4"/>
  <c r="S24" i="4"/>
  <c r="R30" i="4"/>
  <c r="V47" i="4"/>
  <c r="V34" i="4"/>
  <c r="V33" i="4"/>
  <c r="V13" i="4"/>
  <c r="V18" i="4"/>
  <c r="R22" i="4"/>
  <c r="R15" i="4"/>
  <c r="S22" i="4"/>
  <c r="R26" i="4"/>
  <c r="R4" i="4"/>
  <c r="R8" i="4" s="1"/>
  <c r="S15" i="4"/>
  <c r="S26" i="4"/>
  <c r="S8" i="4"/>
  <c r="Q8" i="3"/>
  <c r="Q9" i="3" s="1"/>
  <c r="P8" i="3"/>
  <c r="P9" i="3" s="1"/>
  <c r="O8" i="3"/>
  <c r="O9" i="3"/>
  <c r="O10" i="3"/>
  <c r="N10" i="3"/>
  <c r="N9" i="3"/>
  <c r="N8" i="3"/>
  <c r="N58" i="4"/>
  <c r="M58" i="4"/>
  <c r="A34" i="4"/>
  <c r="B34" i="4"/>
  <c r="C34" i="4"/>
  <c r="D34" i="4"/>
  <c r="E34" i="4"/>
  <c r="F34" i="4"/>
  <c r="G34" i="4"/>
  <c r="H34" i="4"/>
  <c r="A35" i="4"/>
  <c r="B35" i="4"/>
  <c r="C35" i="4"/>
  <c r="D35" i="4"/>
  <c r="E35" i="4"/>
  <c r="F35" i="4"/>
  <c r="G35" i="4"/>
  <c r="H35" i="4"/>
  <c r="A36" i="4"/>
  <c r="B36" i="4"/>
  <c r="C36" i="4"/>
  <c r="D36" i="4"/>
  <c r="E36" i="4"/>
  <c r="F36" i="4"/>
  <c r="G36" i="4"/>
  <c r="H36" i="4"/>
  <c r="A37" i="4"/>
  <c r="B37" i="4"/>
  <c r="C37" i="4"/>
  <c r="D37" i="4"/>
  <c r="E37" i="4"/>
  <c r="F37" i="4"/>
  <c r="G37" i="4"/>
  <c r="H37" i="4"/>
  <c r="A38" i="4"/>
  <c r="B38" i="4"/>
  <c r="C38" i="4"/>
  <c r="D38" i="4"/>
  <c r="E38" i="4"/>
  <c r="F38" i="4"/>
  <c r="G38" i="4"/>
  <c r="H38" i="4"/>
  <c r="A39" i="4"/>
  <c r="B39" i="4"/>
  <c r="C39" i="4"/>
  <c r="D39" i="4"/>
  <c r="E39" i="4"/>
  <c r="F39" i="4"/>
  <c r="G39" i="4"/>
  <c r="H39" i="4"/>
  <c r="A40" i="4"/>
  <c r="B40" i="4"/>
  <c r="C40" i="4"/>
  <c r="D40" i="4"/>
  <c r="E40" i="4"/>
  <c r="F40" i="4"/>
  <c r="G40" i="4"/>
  <c r="H40" i="4"/>
  <c r="A41" i="4"/>
  <c r="B41" i="4"/>
  <c r="C41" i="4"/>
  <c r="D41" i="4"/>
  <c r="E41" i="4"/>
  <c r="F41" i="4"/>
  <c r="G41" i="4"/>
  <c r="H41" i="4"/>
  <c r="A42" i="4"/>
  <c r="B42" i="4"/>
  <c r="C42" i="4"/>
  <c r="D42" i="4"/>
  <c r="E42" i="4"/>
  <c r="F42" i="4"/>
  <c r="G42" i="4"/>
  <c r="H42" i="4"/>
  <c r="A43" i="4"/>
  <c r="B43" i="4"/>
  <c r="C43" i="4"/>
  <c r="D43" i="4"/>
  <c r="E43" i="4"/>
  <c r="F43" i="4"/>
  <c r="G43" i="4"/>
  <c r="H43" i="4"/>
  <c r="A44" i="4"/>
  <c r="B44" i="4"/>
  <c r="C44" i="4"/>
  <c r="D44" i="4"/>
  <c r="E44" i="4"/>
  <c r="F44" i="4"/>
  <c r="G44" i="4"/>
  <c r="H44" i="4"/>
  <c r="A45" i="4"/>
  <c r="B45" i="4"/>
  <c r="C45" i="4"/>
  <c r="D45" i="4"/>
  <c r="E45" i="4"/>
  <c r="F45" i="4"/>
  <c r="G45" i="4"/>
  <c r="H45" i="4"/>
  <c r="A46" i="4"/>
  <c r="B46" i="4"/>
  <c r="C46" i="4"/>
  <c r="D46" i="4"/>
  <c r="E46" i="4"/>
  <c r="F46" i="4"/>
  <c r="G46" i="4"/>
  <c r="H46" i="4"/>
  <c r="A47" i="4"/>
  <c r="B47" i="4"/>
  <c r="C47" i="4"/>
  <c r="D47" i="4"/>
  <c r="E47" i="4"/>
  <c r="F47" i="4"/>
  <c r="G47" i="4"/>
  <c r="H47" i="4"/>
  <c r="A48" i="4"/>
  <c r="B48" i="4"/>
  <c r="C48" i="4"/>
  <c r="D48" i="4"/>
  <c r="E48" i="4"/>
  <c r="F48" i="4"/>
  <c r="G48" i="4"/>
  <c r="H48" i="4"/>
  <c r="A49" i="4"/>
  <c r="B49" i="4"/>
  <c r="C49" i="4"/>
  <c r="D49" i="4"/>
  <c r="E49" i="4"/>
  <c r="F49" i="4"/>
  <c r="G49" i="4"/>
  <c r="H49" i="4"/>
  <c r="A50" i="4"/>
  <c r="B50" i="4"/>
  <c r="C50" i="4"/>
  <c r="D50" i="4"/>
  <c r="E50" i="4"/>
  <c r="F50" i="4"/>
  <c r="G50" i="4"/>
  <c r="H50" i="4"/>
  <c r="W31" i="4"/>
  <c r="L31" i="4"/>
  <c r="K31" i="4"/>
  <c r="A33" i="4"/>
  <c r="B33" i="4"/>
  <c r="C33" i="4"/>
  <c r="D33" i="4"/>
  <c r="E33" i="4"/>
  <c r="F33" i="4"/>
  <c r="G33" i="4"/>
  <c r="H33" i="4"/>
  <c r="A30" i="4"/>
  <c r="B30" i="4"/>
  <c r="C30" i="4"/>
  <c r="D30" i="4"/>
  <c r="E30" i="4"/>
  <c r="F30" i="4"/>
  <c r="G30" i="4"/>
  <c r="H30" i="4"/>
  <c r="A32" i="4"/>
  <c r="B32" i="4"/>
  <c r="C32" i="4"/>
  <c r="D32" i="4"/>
  <c r="E32" i="4"/>
  <c r="F32" i="4"/>
  <c r="G32" i="4"/>
  <c r="H32" i="4"/>
  <c r="A25" i="4"/>
  <c r="B25" i="4"/>
  <c r="C25" i="4"/>
  <c r="D25" i="4"/>
  <c r="K25" i="4" s="1"/>
  <c r="E25" i="4"/>
  <c r="L25" i="4" s="1"/>
  <c r="F25" i="4"/>
  <c r="G25" i="4"/>
  <c r="H25" i="4"/>
  <c r="A26" i="4"/>
  <c r="B26" i="4"/>
  <c r="C26" i="4"/>
  <c r="D26" i="4"/>
  <c r="E26" i="4"/>
  <c r="F26" i="4"/>
  <c r="G26" i="4"/>
  <c r="H26" i="4"/>
  <c r="A27" i="4"/>
  <c r="B27" i="4"/>
  <c r="C27" i="4"/>
  <c r="D27" i="4"/>
  <c r="E27" i="4"/>
  <c r="F27" i="4"/>
  <c r="G27" i="4"/>
  <c r="H27" i="4"/>
  <c r="A28" i="4"/>
  <c r="B28" i="4"/>
  <c r="C28" i="4"/>
  <c r="D28" i="4"/>
  <c r="E28" i="4"/>
  <c r="F28" i="4"/>
  <c r="G28" i="4"/>
  <c r="H28" i="4"/>
  <c r="A29" i="4"/>
  <c r="B29" i="4"/>
  <c r="C29" i="4"/>
  <c r="D29" i="4"/>
  <c r="E29" i="4"/>
  <c r="F29" i="4"/>
  <c r="G29" i="4"/>
  <c r="H29" i="4"/>
  <c r="L23" i="4"/>
  <c r="W23" i="4"/>
  <c r="K23" i="4"/>
  <c r="A8" i="4"/>
  <c r="B8" i="4"/>
  <c r="C8" i="4"/>
  <c r="D8" i="4"/>
  <c r="E8" i="4"/>
  <c r="F8" i="4"/>
  <c r="G8" i="4"/>
  <c r="H8" i="4"/>
  <c r="A9" i="4"/>
  <c r="B9" i="4"/>
  <c r="C9" i="4"/>
  <c r="D9" i="4"/>
  <c r="E9" i="4"/>
  <c r="F9" i="4"/>
  <c r="G9" i="4"/>
  <c r="H9" i="4"/>
  <c r="A10" i="4"/>
  <c r="B10" i="4"/>
  <c r="C10" i="4"/>
  <c r="D10" i="4"/>
  <c r="E10" i="4"/>
  <c r="F10" i="4"/>
  <c r="G10" i="4"/>
  <c r="H10" i="4"/>
  <c r="A11" i="4"/>
  <c r="B11" i="4"/>
  <c r="C11" i="4"/>
  <c r="D11" i="4"/>
  <c r="E11" i="4"/>
  <c r="F11" i="4"/>
  <c r="G11" i="4"/>
  <c r="H11" i="4"/>
  <c r="A12" i="4"/>
  <c r="B12" i="4"/>
  <c r="C12" i="4"/>
  <c r="D12" i="4"/>
  <c r="E12" i="4"/>
  <c r="F12" i="4"/>
  <c r="G12" i="4"/>
  <c r="H12" i="4"/>
  <c r="A13" i="4"/>
  <c r="B13" i="4"/>
  <c r="C13" i="4"/>
  <c r="D13" i="4"/>
  <c r="E13" i="4"/>
  <c r="F13" i="4"/>
  <c r="G13" i="4"/>
  <c r="H13" i="4"/>
  <c r="A14" i="4"/>
  <c r="B14" i="4"/>
  <c r="C14" i="4"/>
  <c r="E14" i="4"/>
  <c r="F14" i="4"/>
  <c r="G14" i="4"/>
  <c r="H14" i="4"/>
  <c r="A15" i="4"/>
  <c r="B15" i="4"/>
  <c r="C15" i="4"/>
  <c r="D15" i="4"/>
  <c r="E15" i="4"/>
  <c r="F15" i="4"/>
  <c r="G15" i="4"/>
  <c r="H15" i="4"/>
  <c r="A16" i="4"/>
  <c r="B16" i="4"/>
  <c r="C16" i="4"/>
  <c r="D16" i="4"/>
  <c r="E16" i="4"/>
  <c r="F16" i="4"/>
  <c r="G16" i="4"/>
  <c r="H16" i="4"/>
  <c r="A17" i="4"/>
  <c r="B17" i="4"/>
  <c r="C17" i="4"/>
  <c r="D17" i="4"/>
  <c r="E17" i="4"/>
  <c r="F17" i="4"/>
  <c r="G17" i="4"/>
  <c r="H17" i="4"/>
  <c r="A18" i="4"/>
  <c r="B18" i="4"/>
  <c r="C18" i="4"/>
  <c r="D18" i="4"/>
  <c r="E18" i="4"/>
  <c r="F18" i="4"/>
  <c r="G18" i="4"/>
  <c r="H18" i="4"/>
  <c r="A19" i="4"/>
  <c r="B19" i="4"/>
  <c r="C19" i="4"/>
  <c r="D19" i="4"/>
  <c r="E19" i="4"/>
  <c r="F19" i="4"/>
  <c r="G19" i="4"/>
  <c r="H19" i="4"/>
  <c r="A20" i="4"/>
  <c r="B20" i="4"/>
  <c r="C20" i="4"/>
  <c r="D20" i="4"/>
  <c r="E20" i="4"/>
  <c r="F20" i="4"/>
  <c r="G20" i="4"/>
  <c r="H20" i="4"/>
  <c r="A21" i="4"/>
  <c r="B21" i="4"/>
  <c r="C21" i="4"/>
  <c r="D21" i="4"/>
  <c r="E21" i="4"/>
  <c r="F21" i="4"/>
  <c r="G21" i="4"/>
  <c r="H21" i="4"/>
  <c r="A22" i="4"/>
  <c r="B22" i="4"/>
  <c r="C22" i="4"/>
  <c r="D22" i="4"/>
  <c r="E22" i="4"/>
  <c r="L22" i="4" s="1"/>
  <c r="F22" i="4"/>
  <c r="G22" i="4"/>
  <c r="H22" i="4"/>
  <c r="A24" i="4"/>
  <c r="B24" i="4"/>
  <c r="C24" i="4"/>
  <c r="D24" i="4"/>
  <c r="E24" i="4"/>
  <c r="F24" i="4"/>
  <c r="G24" i="4"/>
  <c r="H24" i="4"/>
  <c r="D7" i="4"/>
  <c r="E7" i="4"/>
  <c r="F7" i="4"/>
  <c r="G7" i="4"/>
  <c r="H7" i="4"/>
  <c r="B7" i="4"/>
  <c r="C7" i="4"/>
  <c r="A7" i="4"/>
  <c r="W22" i="4" l="1"/>
  <c r="U34" i="4"/>
  <c r="U33" i="4"/>
  <c r="U47" i="4"/>
  <c r="U18" i="4"/>
  <c r="U20" i="4"/>
  <c r="T33" i="4"/>
  <c r="T34" i="4"/>
  <c r="T47" i="4"/>
  <c r="T20" i="4"/>
  <c r="T18" i="4"/>
  <c r="W26" i="4"/>
  <c r="W30" i="4"/>
  <c r="R33" i="4"/>
  <c r="R47" i="4"/>
  <c r="R34" i="4"/>
  <c r="R20" i="4"/>
  <c r="R18" i="4"/>
  <c r="L30" i="4"/>
  <c r="K30" i="4"/>
  <c r="W8" i="4"/>
  <c r="K22" i="4"/>
  <c r="P31" i="4"/>
  <c r="Z31" i="4" s="1"/>
  <c r="I15" i="4"/>
  <c r="I9" i="4"/>
  <c r="I17" i="4"/>
  <c r="I24" i="4"/>
  <c r="P23" i="4"/>
  <c r="Z23" i="4" s="1"/>
  <c r="I8" i="4"/>
  <c r="I19" i="4"/>
  <c r="I20" i="4"/>
  <c r="I16" i="4"/>
  <c r="I13" i="4"/>
  <c r="I12" i="4"/>
  <c r="I11" i="4"/>
  <c r="I10" i="4"/>
  <c r="I22" i="4"/>
  <c r="I21" i="4"/>
  <c r="I18" i="4"/>
  <c r="W20" i="4" l="1"/>
  <c r="W34" i="4"/>
  <c r="W47" i="4"/>
  <c r="W33" i="4"/>
  <c r="S55" i="4"/>
  <c r="W50" i="4"/>
  <c r="N50" i="4"/>
  <c r="M50" i="4"/>
  <c r="I50" i="4"/>
  <c r="O50" i="4"/>
  <c r="Y50" i="4" s="1"/>
  <c r="L50" i="4"/>
  <c r="K50" i="4"/>
  <c r="W49" i="4"/>
  <c r="O49" i="4"/>
  <c r="Y49" i="4" s="1"/>
  <c r="N49" i="4"/>
  <c r="L49" i="4"/>
  <c r="K49" i="4"/>
  <c r="M49" i="4"/>
  <c r="I49" i="4"/>
  <c r="W48" i="4"/>
  <c r="O48" i="4"/>
  <c r="Y48" i="4" s="1"/>
  <c r="M48" i="4"/>
  <c r="L48" i="4"/>
  <c r="N48" i="4"/>
  <c r="K48" i="4"/>
  <c r="N47" i="4"/>
  <c r="M47" i="4"/>
  <c r="O47" i="4"/>
  <c r="Y47" i="4" s="1"/>
  <c r="L47" i="4"/>
  <c r="K47" i="4"/>
  <c r="L46" i="4"/>
  <c r="K46" i="4"/>
  <c r="O46" i="4"/>
  <c r="Y46" i="4" s="1"/>
  <c r="N46" i="4"/>
  <c r="M46" i="4"/>
  <c r="W45" i="4"/>
  <c r="N45" i="4"/>
  <c r="M45" i="4"/>
  <c r="K45" i="4"/>
  <c r="I45" i="4"/>
  <c r="O45" i="4"/>
  <c r="Y45" i="4" s="1"/>
  <c r="L45" i="4"/>
  <c r="N44" i="4"/>
  <c r="M44" i="4"/>
  <c r="O44" i="4"/>
  <c r="Y44" i="4" s="1"/>
  <c r="L44" i="4"/>
  <c r="K44" i="4"/>
  <c r="W43" i="4"/>
  <c r="O43" i="4"/>
  <c r="Y43" i="4" s="1"/>
  <c r="N43" i="4"/>
  <c r="M43" i="4"/>
  <c r="L43" i="4"/>
  <c r="K43" i="4"/>
  <c r="W42" i="4"/>
  <c r="O42" i="4"/>
  <c r="Y42" i="4" s="1"/>
  <c r="K42" i="4"/>
  <c r="N42" i="4"/>
  <c r="M42" i="4"/>
  <c r="L42" i="4"/>
  <c r="N41" i="4"/>
  <c r="M41" i="4"/>
  <c r="K41" i="4"/>
  <c r="I41" i="4"/>
  <c r="O41" i="4"/>
  <c r="Y41" i="4" s="1"/>
  <c r="L41" i="4"/>
  <c r="N40" i="4"/>
  <c r="M40" i="4"/>
  <c r="O40" i="4"/>
  <c r="Y40" i="4" s="1"/>
  <c r="L40" i="4"/>
  <c r="K40" i="4"/>
  <c r="L39" i="4"/>
  <c r="K39" i="4"/>
  <c r="O39" i="4"/>
  <c r="Y39" i="4" s="1"/>
  <c r="N39" i="4"/>
  <c r="M39" i="4"/>
  <c r="O38" i="4"/>
  <c r="Y38" i="4" s="1"/>
  <c r="N38" i="4"/>
  <c r="M38" i="4"/>
  <c r="L38" i="4"/>
  <c r="K38" i="4"/>
  <c r="N37" i="4"/>
  <c r="M37" i="4"/>
  <c r="O37" i="4"/>
  <c r="Y37" i="4" s="1"/>
  <c r="L37" i="4"/>
  <c r="K37" i="4"/>
  <c r="O36" i="4"/>
  <c r="Y36" i="4" s="1"/>
  <c r="N36" i="4"/>
  <c r="L36" i="4"/>
  <c r="K36" i="4"/>
  <c r="M36" i="4"/>
  <c r="I36" i="4"/>
  <c r="W35" i="4"/>
  <c r="O35" i="4"/>
  <c r="Y35" i="4" s="1"/>
  <c r="M35" i="4"/>
  <c r="L35" i="4"/>
  <c r="N35" i="4"/>
  <c r="K35" i="4"/>
  <c r="N34" i="4"/>
  <c r="M34" i="4"/>
  <c r="O34" i="4"/>
  <c r="Y34" i="4" s="1"/>
  <c r="L34" i="4"/>
  <c r="K34" i="4"/>
  <c r="O33" i="4"/>
  <c r="Y33" i="4" s="1"/>
  <c r="N33" i="4"/>
  <c r="M33" i="4"/>
  <c r="L33" i="4"/>
  <c r="K33" i="4"/>
  <c r="W32" i="4"/>
  <c r="O32" i="4"/>
  <c r="Y32" i="4" s="1"/>
  <c r="K32" i="4"/>
  <c r="N32" i="4"/>
  <c r="M32" i="4"/>
  <c r="L32" i="4"/>
  <c r="O30" i="4"/>
  <c r="Y30" i="4" s="1"/>
  <c r="N30" i="4"/>
  <c r="M30" i="4"/>
  <c r="M29" i="4"/>
  <c r="L29" i="4"/>
  <c r="O29" i="4"/>
  <c r="Y29" i="4" s="1"/>
  <c r="N29" i="4"/>
  <c r="K29" i="4"/>
  <c r="W28" i="4"/>
  <c r="N28" i="4"/>
  <c r="M28" i="4"/>
  <c r="K28" i="4"/>
  <c r="I28" i="4"/>
  <c r="O28" i="4"/>
  <c r="Y28" i="4" s="1"/>
  <c r="L28" i="4"/>
  <c r="N27" i="4"/>
  <c r="M27" i="4"/>
  <c r="O27" i="4"/>
  <c r="Y27" i="4" s="1"/>
  <c r="L27" i="4"/>
  <c r="K27" i="4"/>
  <c r="O26" i="4"/>
  <c r="Y26" i="4" s="1"/>
  <c r="N26" i="4"/>
  <c r="M26" i="4"/>
  <c r="L26" i="4"/>
  <c r="K26" i="4"/>
  <c r="O25" i="4"/>
  <c r="Y25" i="4" s="1"/>
  <c r="N25" i="4"/>
  <c r="M25" i="4"/>
  <c r="L24" i="4"/>
  <c r="K24" i="4"/>
  <c r="O24" i="4"/>
  <c r="Y24" i="4" s="1"/>
  <c r="N24" i="4"/>
  <c r="M24" i="4"/>
  <c r="M22" i="4"/>
  <c r="O22" i="4"/>
  <c r="Y22" i="4" s="1"/>
  <c r="N22" i="4"/>
  <c r="O21" i="4"/>
  <c r="Y21" i="4" s="1"/>
  <c r="K21" i="4"/>
  <c r="N21" i="4"/>
  <c r="M21" i="4"/>
  <c r="L21" i="4"/>
  <c r="V55" i="4"/>
  <c r="U55" i="4"/>
  <c r="R55" i="4"/>
  <c r="O20" i="4"/>
  <c r="Y20" i="4" s="1"/>
  <c r="L20" i="4"/>
  <c r="N20" i="4"/>
  <c r="M20" i="4"/>
  <c r="K20" i="4"/>
  <c r="W19" i="4"/>
  <c r="M19" i="4"/>
  <c r="O19" i="4"/>
  <c r="Y19" i="4" s="1"/>
  <c r="N19" i="4"/>
  <c r="L19" i="4"/>
  <c r="K19" i="4"/>
  <c r="W18" i="4"/>
  <c r="O18" i="4"/>
  <c r="Y18" i="4" s="1"/>
  <c r="K18" i="4"/>
  <c r="N18" i="4"/>
  <c r="M18" i="4"/>
  <c r="L18" i="4"/>
  <c r="W17" i="4"/>
  <c r="L17" i="4"/>
  <c r="K17" i="4"/>
  <c r="O17" i="4"/>
  <c r="Y17" i="4" s="1"/>
  <c r="N17" i="4"/>
  <c r="M17" i="4"/>
  <c r="N16" i="4"/>
  <c r="O16" i="4"/>
  <c r="Y16" i="4" s="1"/>
  <c r="M16" i="4"/>
  <c r="L16" i="4"/>
  <c r="K16" i="4"/>
  <c r="W15" i="4"/>
  <c r="O15" i="4"/>
  <c r="Y15" i="4" s="1"/>
  <c r="K15" i="4"/>
  <c r="N15" i="4"/>
  <c r="M15" i="4"/>
  <c r="L15" i="4"/>
  <c r="W14" i="4"/>
  <c r="L14" i="4"/>
  <c r="O14" i="4"/>
  <c r="Y14" i="4" s="1"/>
  <c r="N14" i="4"/>
  <c r="M14" i="4"/>
  <c r="M13" i="4"/>
  <c r="O13" i="4"/>
  <c r="Y13" i="4" s="1"/>
  <c r="N13" i="4"/>
  <c r="L13" i="4"/>
  <c r="K13" i="4"/>
  <c r="W12" i="4"/>
  <c r="N12" i="4"/>
  <c r="O12" i="4"/>
  <c r="Y12" i="4" s="1"/>
  <c r="M12" i="4"/>
  <c r="L12" i="4"/>
  <c r="K12" i="4"/>
  <c r="W11" i="4"/>
  <c r="O11" i="4"/>
  <c r="Y11" i="4" s="1"/>
  <c r="K11" i="4"/>
  <c r="N11" i="4"/>
  <c r="M11" i="4"/>
  <c r="L11" i="4"/>
  <c r="W10" i="4"/>
  <c r="L10" i="4"/>
  <c r="K10" i="4"/>
  <c r="O10" i="4"/>
  <c r="Y10" i="4" s="1"/>
  <c r="N10" i="4"/>
  <c r="M10" i="4"/>
  <c r="N9" i="4"/>
  <c r="O9" i="4"/>
  <c r="Y9" i="4" s="1"/>
  <c r="M9" i="4"/>
  <c r="L9" i="4"/>
  <c r="K9" i="4"/>
  <c r="O8" i="4"/>
  <c r="Y8" i="4" s="1"/>
  <c r="K8" i="4"/>
  <c r="N8" i="4"/>
  <c r="M8" i="4"/>
  <c r="L8" i="4"/>
  <c r="O7" i="4"/>
  <c r="Y7" i="4" s="1"/>
  <c r="N7" i="4"/>
  <c r="M7" i="4"/>
  <c r="L7" i="4"/>
  <c r="G51" i="4"/>
  <c r="F51" i="4"/>
  <c r="E51" i="4"/>
  <c r="K7" i="4"/>
  <c r="U13" i="4"/>
  <c r="T13" i="4"/>
  <c r="W3" i="4"/>
  <c r="W2" i="4"/>
  <c r="W5" i="4" l="1"/>
  <c r="P26" i="4"/>
  <c r="Z26" i="4" s="1"/>
  <c r="T55" i="4"/>
  <c r="W55" i="4" s="1"/>
  <c r="P38" i="4"/>
  <c r="P49" i="4"/>
  <c r="Z49" i="4" s="1"/>
  <c r="W4" i="4"/>
  <c r="N55" i="4"/>
  <c r="N60" i="4" s="1"/>
  <c r="P19" i="4"/>
  <c r="Z19" i="4" s="1"/>
  <c r="P35" i="4"/>
  <c r="Z35" i="4" s="1"/>
  <c r="P45" i="4"/>
  <c r="Z45" i="4" s="1"/>
  <c r="P47" i="4"/>
  <c r="Z47" i="4" s="1"/>
  <c r="P24" i="4"/>
  <c r="Z24" i="4" s="1"/>
  <c r="L51" i="4"/>
  <c r="P13" i="4"/>
  <c r="M51" i="4"/>
  <c r="O55" i="4"/>
  <c r="P21" i="4"/>
  <c r="P30" i="4"/>
  <c r="Z30" i="4" s="1"/>
  <c r="N51" i="4"/>
  <c r="P10" i="4"/>
  <c r="Z10" i="4" s="1"/>
  <c r="P20" i="4"/>
  <c r="Z20" i="4" s="1"/>
  <c r="P25" i="4"/>
  <c r="P44" i="4"/>
  <c r="Z44" i="4" s="1"/>
  <c r="P7" i="4"/>
  <c r="K56" i="4"/>
  <c r="O51" i="4"/>
  <c r="P17" i="4"/>
  <c r="Z17" i="4" s="1"/>
  <c r="P22" i="4"/>
  <c r="Z22" i="4" s="1"/>
  <c r="P27" i="4"/>
  <c r="P32" i="4"/>
  <c r="Z32" i="4" s="1"/>
  <c r="P36" i="4"/>
  <c r="P48" i="4"/>
  <c r="Z48" i="4" s="1"/>
  <c r="L55" i="4"/>
  <c r="L60" i="4" s="1"/>
  <c r="P8" i="4"/>
  <c r="Z8" i="4" s="1"/>
  <c r="P11" i="4"/>
  <c r="Z11" i="4" s="1"/>
  <c r="P37" i="4"/>
  <c r="P50" i="4"/>
  <c r="Z50" i="4" s="1"/>
  <c r="P29" i="4"/>
  <c r="Z29" i="4" s="1"/>
  <c r="M55" i="4"/>
  <c r="M60" i="4" s="1"/>
  <c r="P15" i="4"/>
  <c r="Z15" i="4" s="1"/>
  <c r="P18" i="4"/>
  <c r="Z18" i="4" s="1"/>
  <c r="P28" i="4"/>
  <c r="Z28" i="4" s="1"/>
  <c r="P33" i="4"/>
  <c r="Z33" i="4" s="1"/>
  <c r="P39" i="4"/>
  <c r="P40" i="4"/>
  <c r="Z40" i="4" s="1"/>
  <c r="P41" i="4"/>
  <c r="Z41" i="4" s="1"/>
  <c r="P42" i="4"/>
  <c r="Z42" i="4" s="1"/>
  <c r="P12" i="4"/>
  <c r="Z12" i="4" s="1"/>
  <c r="P46" i="4"/>
  <c r="P9" i="4"/>
  <c r="P16" i="4"/>
  <c r="P34" i="4"/>
  <c r="Z34" i="4" s="1"/>
  <c r="P43" i="4"/>
  <c r="Z43" i="4" s="1"/>
  <c r="I29" i="4"/>
  <c r="I30" i="4"/>
  <c r="I39" i="4"/>
  <c r="I46" i="4"/>
  <c r="L56" i="4"/>
  <c r="H51" i="4"/>
  <c r="R16" i="4"/>
  <c r="I25" i="4"/>
  <c r="I32" i="4"/>
  <c r="I42" i="4"/>
  <c r="M56" i="4"/>
  <c r="R13" i="4"/>
  <c r="I26" i="4"/>
  <c r="I33" i="4"/>
  <c r="I38" i="4"/>
  <c r="I43" i="4"/>
  <c r="N56" i="4"/>
  <c r="S16" i="4"/>
  <c r="S13" i="4"/>
  <c r="T16" i="4"/>
  <c r="I27" i="4"/>
  <c r="I34" i="4"/>
  <c r="I37" i="4"/>
  <c r="I40" i="4"/>
  <c r="I44" i="4"/>
  <c r="I47" i="4"/>
  <c r="O56" i="4"/>
  <c r="I7" i="4"/>
  <c r="U16" i="4"/>
  <c r="I35" i="4"/>
  <c r="I48" i="4"/>
  <c r="W13" i="4" l="1"/>
  <c r="Z13" i="4" s="1"/>
  <c r="R51" i="4"/>
  <c r="Z46" i="4"/>
  <c r="U56" i="4"/>
  <c r="R56" i="4"/>
  <c r="Z25" i="4"/>
  <c r="U51" i="4"/>
  <c r="T56" i="4"/>
  <c r="Z36" i="4"/>
  <c r="Z27" i="4"/>
  <c r="S51" i="4"/>
  <c r="T51" i="4"/>
  <c r="P56" i="4"/>
  <c r="S56" i="4"/>
  <c r="Z7" i="4"/>
  <c r="W16" i="4"/>
  <c r="Z16" i="4" s="1"/>
  <c r="V51" i="4"/>
  <c r="Y51" i="4" s="1"/>
  <c r="W38" i="4"/>
  <c r="Z38" i="4" s="1"/>
  <c r="Z39" i="4"/>
  <c r="V56" i="4"/>
  <c r="W37" i="4"/>
  <c r="Z37" i="4" s="1"/>
  <c r="Z21" i="4"/>
  <c r="U53" i="4" l="1"/>
  <c r="T53" i="4"/>
  <c r="S53" i="4"/>
  <c r="V53" i="4"/>
  <c r="W51" i="4"/>
  <c r="Z9" i="4"/>
  <c r="W56" i="4"/>
  <c r="E69" i="2" l="1"/>
  <c r="D69" i="2"/>
  <c r="G67" i="2"/>
  <c r="F67" i="2"/>
  <c r="E67" i="2"/>
  <c r="D67" i="2"/>
  <c r="H6" i="3" l="1"/>
  <c r="H7" i="3"/>
  <c r="H8" i="3"/>
  <c r="H9" i="3"/>
  <c r="H10" i="3"/>
  <c r="H5" i="3"/>
  <c r="F11" i="3"/>
  <c r="G11" i="3"/>
  <c r="D11" i="3"/>
  <c r="E11" i="3"/>
  <c r="C11" i="3"/>
  <c r="T6" i="3" l="1"/>
  <c r="U6" i="3"/>
  <c r="W6" i="3"/>
  <c r="V6" i="3"/>
  <c r="W10" i="3"/>
  <c r="T10" i="3"/>
  <c r="V10" i="3"/>
  <c r="U10" i="3"/>
  <c r="X8" i="3"/>
  <c r="V8" i="3"/>
  <c r="T8" i="3"/>
  <c r="U8" i="3"/>
  <c r="W8" i="3"/>
  <c r="H11" i="3"/>
  <c r="X9" i="3"/>
  <c r="U9" i="3"/>
  <c r="V9" i="3"/>
  <c r="W9" i="3"/>
  <c r="T9" i="3"/>
  <c r="V7" i="3"/>
  <c r="X7" i="3"/>
  <c r="U7" i="3"/>
  <c r="W7" i="3"/>
  <c r="T7" i="3"/>
  <c r="T5" i="3"/>
  <c r="U5" i="3"/>
  <c r="H67" i="2"/>
  <c r="T11" i="3" l="1"/>
  <c r="D68" i="2" s="1"/>
  <c r="X11" i="3"/>
  <c r="H68" i="2" s="1"/>
  <c r="V11" i="3"/>
  <c r="F68" i="2" s="1"/>
  <c r="I67" i="2"/>
  <c r="W11" i="3"/>
  <c r="G68" i="2" s="1"/>
  <c r="U11" i="3"/>
  <c r="E68" i="2" s="1"/>
  <c r="I58" i="2"/>
  <c r="E75" i="2" l="1"/>
  <c r="S60" i="4" s="1"/>
  <c r="S58" i="4" s="1"/>
  <c r="F75" i="2"/>
  <c r="T60" i="4" s="1"/>
  <c r="T58" i="4" s="1"/>
  <c r="G75" i="2"/>
  <c r="U60" i="4" s="1"/>
  <c r="U58" i="4" s="1"/>
  <c r="H75" i="2"/>
  <c r="V60" i="4" s="1"/>
  <c r="V58" i="4" s="1"/>
  <c r="D75" i="2"/>
  <c r="R60" i="4" s="1"/>
  <c r="D72" i="2"/>
  <c r="I72" i="2" s="1"/>
  <c r="I68" i="2"/>
  <c r="D7" i="2"/>
  <c r="D27" i="2" s="1"/>
  <c r="D14" i="4" s="1"/>
  <c r="W60" i="4" l="1"/>
  <c r="R58" i="4"/>
  <c r="W58" i="4" s="1"/>
  <c r="I14" i="4"/>
  <c r="I51" i="4" s="1"/>
  <c r="K14" i="4"/>
  <c r="D51" i="4"/>
  <c r="I75" i="2"/>
  <c r="K51" i="4" l="1"/>
  <c r="R53" i="4" s="1"/>
  <c r="K55" i="4"/>
  <c r="P14" i="4"/>
  <c r="E62" i="2"/>
  <c r="E71" i="2" s="1"/>
  <c r="F62" i="2"/>
  <c r="F71" i="2" s="1"/>
  <c r="G62" i="2"/>
  <c r="G71" i="2" s="1"/>
  <c r="H62" i="2"/>
  <c r="H71" i="2" s="1"/>
  <c r="D62" i="2"/>
  <c r="D71" i="2" s="1"/>
  <c r="D18" i="2"/>
  <c r="D66" i="2" s="1"/>
  <c r="D70" i="2" s="1"/>
  <c r="E18" i="2"/>
  <c r="E66" i="2" s="1"/>
  <c r="E70" i="2" s="1"/>
  <c r="F18" i="2"/>
  <c r="F66" i="2" s="1"/>
  <c r="F70" i="2" s="1"/>
  <c r="G18" i="2"/>
  <c r="G66" i="2" s="1"/>
  <c r="G70" i="2" s="1"/>
  <c r="H18" i="2"/>
  <c r="H66" i="2" s="1"/>
  <c r="H70" i="2" s="1"/>
  <c r="E8" i="2"/>
  <c r="F8" i="2"/>
  <c r="G8" i="2"/>
  <c r="H8" i="2"/>
  <c r="I4" i="2"/>
  <c r="I5" i="2"/>
  <c r="I6" i="2"/>
  <c r="I7" i="2"/>
  <c r="I11" i="2"/>
  <c r="I12" i="2"/>
  <c r="I13" i="2"/>
  <c r="I14" i="2"/>
  <c r="I15" i="2"/>
  <c r="I17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16" i="2"/>
  <c r="I59" i="2"/>
  <c r="I60" i="2"/>
  <c r="I61" i="2"/>
  <c r="I3" i="2"/>
  <c r="D8" i="2"/>
  <c r="Z14" i="4" l="1"/>
  <c r="Z51" i="4" s="1"/>
  <c r="P51" i="4"/>
  <c r="W53" i="4" s="1"/>
  <c r="K60" i="4"/>
  <c r="P55" i="4"/>
  <c r="P57" i="4" s="1"/>
  <c r="H73" i="2"/>
  <c r="H77" i="2" s="1"/>
  <c r="G73" i="2"/>
  <c r="G77" i="2" s="1"/>
  <c r="I70" i="2"/>
  <c r="F73" i="2"/>
  <c r="F77" i="2" s="1"/>
  <c r="E73" i="2"/>
  <c r="E77" i="2" s="1"/>
  <c r="I71" i="2"/>
  <c r="D73" i="2"/>
  <c r="I66" i="2"/>
  <c r="I69" i="2"/>
  <c r="H64" i="2"/>
  <c r="G64" i="2"/>
  <c r="I62" i="2"/>
  <c r="F64" i="2"/>
  <c r="D64" i="2"/>
  <c r="E64" i="2"/>
  <c r="I18" i="2"/>
  <c r="I8" i="2"/>
  <c r="D77" i="2" l="1"/>
  <c r="I77" i="2" s="1"/>
  <c r="I73" i="2"/>
  <c r="I6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Knox, Tara</author>
  </authors>
  <commentList>
    <comment ref="I67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Knox, Tara:</t>
        </r>
        <r>
          <rPr>
            <sz val="9"/>
            <color indexed="81"/>
            <rFont val="Tahoma"/>
            <charset val="1"/>
          </rPr>
          <t xml:space="preserve">
Non-Utility Schedule M's 997048 plus 997112 associated plant DFIT effect reverses over life of plant through depreciation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gzhkw6</author>
  </authors>
  <commentList>
    <comment ref="K1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tlk:</t>
        </r>
        <r>
          <rPr>
            <sz val="9"/>
            <color indexed="81"/>
            <rFont val="Tahoma"/>
            <charset val="1"/>
          </rPr>
          <t xml:space="preserve">
complete amortization as designed (flow through tax change difference)</t>
        </r>
      </text>
    </comment>
    <comment ref="K17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tlk:</t>
        </r>
        <r>
          <rPr>
            <sz val="9"/>
            <color indexed="81"/>
            <rFont val="Tahoma"/>
            <charset val="1"/>
          </rPr>
          <t xml:space="preserve">
complete amortization as designed (flow through tax change difference)</t>
        </r>
      </text>
    </comment>
  </commentList>
</comments>
</file>

<file path=xl/sharedStrings.xml><?xml version="1.0" encoding="utf-8"?>
<sst xmlns="http://schemas.openxmlformats.org/spreadsheetml/2006/main" count="257" uniqueCount="131">
  <si>
    <t>Oregon Gas</t>
  </si>
  <si>
    <t>Idaho Gas</t>
  </si>
  <si>
    <t>Washington Gas</t>
  </si>
  <si>
    <t>Idaho Electric</t>
  </si>
  <si>
    <t>Washington Electric</t>
  </si>
  <si>
    <t>Jurisdiction Total</t>
  </si>
  <si>
    <t>Book Depreciation</t>
  </si>
  <si>
    <t>Contributions In Aid of Construction</t>
  </si>
  <si>
    <t>Amort - Invest in Exch Pwr</t>
  </si>
  <si>
    <t>Tax Depreciation</t>
  </si>
  <si>
    <t>Book Transportation Depr</t>
  </si>
  <si>
    <t>Meal Disallowances</t>
  </si>
  <si>
    <t>Repairs 481 (a)</t>
  </si>
  <si>
    <t>AFUDC EQUITY TAX FLOW THROUGH</t>
  </si>
  <si>
    <t>AFUDC EQUITY CWIP</t>
  </si>
  <si>
    <t>Transportation Disallowance</t>
  </si>
  <si>
    <t>TOTAL</t>
  </si>
  <si>
    <t>DTE -</t>
  </si>
  <si>
    <t>Total</t>
  </si>
  <si>
    <t>Plant</t>
  </si>
  <si>
    <t>Perm</t>
  </si>
  <si>
    <t>Schedule Ms</t>
  </si>
  <si>
    <t>Boulder Park Write Off</t>
  </si>
  <si>
    <t>FAS106 Current Retiree Medical Accrual</t>
  </si>
  <si>
    <t>Idaho PCA</t>
  </si>
  <si>
    <t>DSM Book Amortization</t>
  </si>
  <si>
    <t>Rathdrum Turbine Lease</t>
  </si>
  <si>
    <t>Deferred Gas Credit and Refunds</t>
  </si>
  <si>
    <t>Redemption Expense</t>
  </si>
  <si>
    <t>DSM Tariff Rider</t>
  </si>
  <si>
    <t>FAS87 Current Pension Accrual</t>
  </si>
  <si>
    <t>Kettle Falls Disallowance</t>
  </si>
  <si>
    <t>Uncollectibles</t>
  </si>
  <si>
    <t>Decoupling Mechanism</t>
  </si>
  <si>
    <t>Interest Rate Swaps</t>
  </si>
  <si>
    <t>BPA Residential Exchange</t>
  </si>
  <si>
    <t>Montana Hydro Settlement</t>
  </si>
  <si>
    <t>SCH M (Leases)</t>
  </si>
  <si>
    <t>Washington Deferred Power Costs</t>
  </si>
  <si>
    <t>Non-Monetary Power Costs</t>
  </si>
  <si>
    <t>Nez Perce Settlement</t>
  </si>
  <si>
    <t>Spokane River Relicensing</t>
  </si>
  <si>
    <t>Spokane River Relicensing PME</t>
  </si>
  <si>
    <t>CDA Lake Settlement</t>
  </si>
  <si>
    <t>Amortization - Unbilled Revenue Add-Ins</t>
  </si>
  <si>
    <t>Deferred Compensation</t>
  </si>
  <si>
    <t>Paid Time Off</t>
  </si>
  <si>
    <t>Deferred O&amp;M Colstrip &amp; CS2</t>
  </si>
  <si>
    <t>WA REC DEF</t>
  </si>
  <si>
    <t>CDA Settlement Costs</t>
  </si>
  <si>
    <t>Kettle Falls Diesel Leak</t>
  </si>
  <si>
    <t>Amort Idaho Earnings Test (254229)</t>
  </si>
  <si>
    <t>Def Project Compass</t>
  </si>
  <si>
    <t>Spokane River TDG</t>
  </si>
  <si>
    <t>WA Excess Nat Gas Line Extension</t>
  </si>
  <si>
    <t>MDM System</t>
  </si>
  <si>
    <t>PROV FOR RATE REFUND - TAX REFORM</t>
  </si>
  <si>
    <t>TAX REFORM AMORTIZATION</t>
  </si>
  <si>
    <t>FISERVE</t>
  </si>
  <si>
    <t>CAPITALIZED TRANSPORTATION</t>
  </si>
  <si>
    <t>AFUDC DEBT CWIP</t>
  </si>
  <si>
    <t>AFUDC EQUITY TAX DEFERRAL</t>
  </si>
  <si>
    <t>Colstrip Plant ADJ</t>
  </si>
  <si>
    <t>Natural Gas Deprec Exp Deferral</t>
  </si>
  <si>
    <t>AFUDC Tax CPI</t>
  </si>
  <si>
    <t>SCHEDULE Ms</t>
  </si>
  <si>
    <t>Deferred Income Tax Expense</t>
  </si>
  <si>
    <t>Deferred Federal Income Tax Expense</t>
  </si>
  <si>
    <t>SCH M</t>
  </si>
  <si>
    <t>Temp</t>
  </si>
  <si>
    <t>DFIT Plant - Calculated</t>
  </si>
  <si>
    <t>ITC Flow Through DFIT and Allocation True-Up</t>
  </si>
  <si>
    <t>Other Flow-Through DFIT - Tax Reform</t>
  </si>
  <si>
    <t>TOTAL DFIT Calculated using Schedule M's</t>
  </si>
  <si>
    <t>PER ROO DFIT</t>
  </si>
  <si>
    <t>Difference - Immaterial</t>
  </si>
  <si>
    <t>Due to Allocation of Expense in ROO</t>
  </si>
  <si>
    <t>Other DFIT (on Temp items)</t>
  </si>
  <si>
    <t>Book AFUDC DFIT that will reverse in subsequent years</t>
  </si>
  <si>
    <t>Electric</t>
  </si>
  <si>
    <t>GAS</t>
  </si>
  <si>
    <t>GAS-Oregon</t>
  </si>
  <si>
    <t>Utility - CD AA</t>
  </si>
  <si>
    <t>Utility  - CD AN</t>
  </si>
  <si>
    <t>Rathdrum Turbine</t>
  </si>
  <si>
    <t>Total FT</t>
  </si>
  <si>
    <t>Other FT</t>
  </si>
  <si>
    <t>ARAM FT</t>
  </si>
  <si>
    <t>E</t>
  </si>
  <si>
    <t>GN</t>
  </si>
  <si>
    <t>GS</t>
  </si>
  <si>
    <t>FAS 106 FT</t>
  </si>
  <si>
    <t>WA E</t>
  </si>
  <si>
    <t>ID E</t>
  </si>
  <si>
    <t>WA G</t>
  </si>
  <si>
    <t>ID G</t>
  </si>
  <si>
    <t>OR G</t>
  </si>
  <si>
    <t>Flow Through DFIT, including ARAM</t>
  </si>
  <si>
    <t xml:space="preserve">   Plant DFIT </t>
  </si>
  <si>
    <t>EDAN</t>
  </si>
  <si>
    <t>Note 12</t>
  </si>
  <si>
    <t>GDAN</t>
  </si>
  <si>
    <t>CDAA</t>
  </si>
  <si>
    <t>Note 7 x Note 12</t>
  </si>
  <si>
    <t>CDAN</t>
  </si>
  <si>
    <t>Note 9 x Note 12</t>
  </si>
  <si>
    <t>Schedule M</t>
  </si>
  <si>
    <t>Calculated DFIT @ -21% of Schedule M</t>
  </si>
  <si>
    <t>GL DFIT</t>
  </si>
  <si>
    <t>A</t>
  </si>
  <si>
    <t>D</t>
  </si>
  <si>
    <t>Idaho includes tax reform amortization</t>
  </si>
  <si>
    <t>Segregate Direct vs Allocated</t>
  </si>
  <si>
    <t>Temp Difference</t>
  </si>
  <si>
    <t>Direct</t>
  </si>
  <si>
    <t>Allocated</t>
  </si>
  <si>
    <t>Direct per ROO</t>
  </si>
  <si>
    <t>Plant &amp; Flow Through</t>
  </si>
  <si>
    <t>WNP3, KF</t>
  </si>
  <si>
    <t>Tax Reform</t>
  </si>
  <si>
    <t>Tax Reform &amp; PGA</t>
  </si>
  <si>
    <t>Included in Plant related?</t>
  </si>
  <si>
    <t>EDAN, GDAN, GDOR</t>
  </si>
  <si>
    <t>WA Gas difference - erroneously recorded only decoupling side of 2018 Earnings Test Balance Sheet Transfer DFIT should net to $0 when include Provision for Rate Refund change.</t>
  </si>
  <si>
    <t>Total Diff</t>
  </si>
  <si>
    <t>OR Diff</t>
  </si>
  <si>
    <t>Overall DFIT</t>
  </si>
  <si>
    <t>Sch M times -21%</t>
  </si>
  <si>
    <t>DFIT Expense</t>
  </si>
  <si>
    <t>2019</t>
  </si>
  <si>
    <t>Finish amortization as scheduled flow through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</si>
</sst>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_);[Red]\(#,##0\);&quot; &quot;"/>
    <numFmt numFmtId="165" formatCode="#,##0.00_);[Red]\(#,##0.00\);&quot; &quot;"/>
    <numFmt numFmtId="166" formatCode="_(* #,##0_);_(* \(#,##0\);_(* &quot;-&quot;??_);_(@_)"/>
    <numFmt numFmtId="167" formatCode="0_);\(0\)"/>
    <numFmt numFmtId="168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left"/>
    </xf>
    <xf numFmtId="165" fontId="19" fillId="0" borderId="0" xfId="0" applyNumberFormat="1" applyFont="1" applyAlignment="1">
      <alignment horizontal="left"/>
    </xf>
    <xf numFmtId="166" fontId="18" fillId="0" borderId="0" xfId="1" applyNumberFormat="1" applyFont="1" applyAlignment="1">
      <alignment horizontal="right"/>
    </xf>
    <xf numFmtId="166" fontId="19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7" fontId="19" fillId="0" borderId="0" xfId="0" applyNumberFormat="1" applyFont="1" applyAlignment="1">
      <alignment horizontal="left"/>
    </xf>
    <xf numFmtId="167" fontId="18" fillId="0" borderId="0" xfId="0" applyNumberFormat="1" applyFont="1" applyAlignment="1">
      <alignment horizontal="left"/>
    </xf>
    <xf numFmtId="166" fontId="18" fillId="0" borderId="11" xfId="1" applyNumberFormat="1" applyFont="1" applyBorder="1" applyAlignment="1">
      <alignment horizontal="right"/>
    </xf>
    <xf numFmtId="167" fontId="19" fillId="0" borderId="0" xfId="0" applyNumberFormat="1" applyFont="1" applyAlignment="1">
      <alignment horizontal="center" wrapText="1"/>
    </xf>
    <xf numFmtId="49" fontId="19" fillId="0" borderId="0" xfId="0" applyNumberFormat="1" applyFont="1" applyAlignment="1">
      <alignment horizontal="center" wrapText="1"/>
    </xf>
    <xf numFmtId="9" fontId="18" fillId="0" borderId="0" xfId="2" applyFont="1" applyAlignment="1">
      <alignment horizontal="left"/>
    </xf>
    <xf numFmtId="164" fontId="18" fillId="0" borderId="0" xfId="0" applyNumberFormat="1" applyFont="1" applyFill="1" applyAlignment="1">
      <alignment horizontal="right"/>
    </xf>
    <xf numFmtId="164" fontId="18" fillId="0" borderId="0" xfId="0" applyNumberFormat="1" applyFont="1" applyBorder="1" applyAlignment="1">
      <alignment horizontal="right"/>
    </xf>
    <xf numFmtId="164" fontId="18" fillId="0" borderId="12" xfId="0" applyNumberFormat="1" applyFont="1" applyBorder="1" applyAlignment="1">
      <alignment horizontal="right"/>
    </xf>
    <xf numFmtId="164" fontId="18" fillId="0" borderId="10" xfId="0" applyNumberFormat="1" applyFont="1" applyBorder="1" applyAlignment="1">
      <alignment horizontal="right"/>
    </xf>
    <xf numFmtId="164" fontId="18" fillId="0" borderId="13" xfId="0" applyNumberFormat="1" applyFont="1" applyBorder="1" applyAlignment="1">
      <alignment horizontal="right"/>
    </xf>
    <xf numFmtId="0" fontId="1" fillId="0" borderId="0" xfId="0" applyFont="1"/>
    <xf numFmtId="168" fontId="0" fillId="0" borderId="0" xfId="2" applyNumberFormat="1" applyFont="1"/>
    <xf numFmtId="0" fontId="16" fillId="0" borderId="0" xfId="0" applyFont="1" applyAlignment="1">
      <alignment horizontal="center"/>
    </xf>
    <xf numFmtId="166" fontId="0" fillId="0" borderId="0" xfId="1" applyNumberFormat="1" applyFont="1"/>
    <xf numFmtId="166" fontId="0" fillId="0" borderId="13" xfId="1" applyNumberFormat="1" applyFont="1" applyBorder="1"/>
    <xf numFmtId="166" fontId="18" fillId="0" borderId="0" xfId="1" applyNumberFormat="1" applyFont="1" applyFill="1" applyAlignment="1">
      <alignment horizontal="right"/>
    </xf>
    <xf numFmtId="164" fontId="20" fillId="0" borderId="0" xfId="0" applyNumberFormat="1" applyFont="1" applyFill="1" applyAlignment="1">
      <alignment horizontal="right"/>
    </xf>
    <xf numFmtId="164" fontId="20" fillId="0" borderId="0" xfId="0" applyNumberFormat="1" applyFont="1" applyAlignment="1">
      <alignment horizontal="right"/>
    </xf>
    <xf numFmtId="166" fontId="20" fillId="0" borderId="0" xfId="1" applyNumberFormat="1" applyFont="1" applyFill="1" applyAlignment="1">
      <alignment horizontal="right"/>
    </xf>
    <xf numFmtId="49" fontId="18" fillId="0" borderId="0" xfId="0" applyNumberFormat="1" applyFont="1" applyAlignment="1">
      <alignment horizontal="right" wrapText="1"/>
    </xf>
    <xf numFmtId="0" fontId="18" fillId="0" borderId="0" xfId="1" applyNumberFormat="1" applyFont="1" applyAlignment="1">
      <alignment horizontal="left"/>
    </xf>
    <xf numFmtId="166" fontId="0" fillId="0" borderId="0" xfId="0" applyNumberFormat="1"/>
    <xf numFmtId="0" fontId="0" fillId="0" borderId="0" xfId="0" applyAlignment="1">
      <alignment horizontal="center"/>
    </xf>
    <xf numFmtId="166" fontId="0" fillId="33" borderId="0" xfId="1" applyNumberFormat="1" applyFont="1" applyFill="1"/>
    <xf numFmtId="166" fontId="0" fillId="34" borderId="0" xfId="1" applyNumberFormat="1" applyFont="1" applyFill="1"/>
    <xf numFmtId="166" fontId="21" fillId="34" borderId="0" xfId="1" applyNumberFormat="1" applyFont="1" applyFill="1"/>
    <xf numFmtId="167" fontId="18" fillId="34" borderId="0" xfId="0" applyNumberFormat="1" applyFont="1" applyFill="1" applyAlignment="1">
      <alignment horizontal="left"/>
    </xf>
    <xf numFmtId="165" fontId="18" fillId="34" borderId="0" xfId="0" applyNumberFormat="1" applyFont="1" applyFill="1" applyAlignment="1">
      <alignment horizontal="left"/>
    </xf>
    <xf numFmtId="166" fontId="18" fillId="34" borderId="0" xfId="1" applyNumberFormat="1" applyFont="1" applyFill="1" applyAlignment="1">
      <alignment horizontal="right"/>
    </xf>
    <xf numFmtId="0" fontId="0" fillId="34" borderId="0" xfId="0" applyFill="1"/>
    <xf numFmtId="166" fontId="0" fillId="34" borderId="0" xfId="0" applyNumberFormat="1" applyFill="1"/>
    <xf numFmtId="0" fontId="0" fillId="0" borderId="0" xfId="0" applyAlignment="1">
      <alignment horizontal="right"/>
    </xf>
    <xf numFmtId="166" fontId="0" fillId="35" borderId="0" xfId="0" applyNumberFormat="1" applyFill="1"/>
    <xf numFmtId="166" fontId="0" fillId="35" borderId="0" xfId="1" applyNumberFormat="1" applyFont="1" applyFill="1"/>
    <xf numFmtId="166" fontId="0" fillId="0" borderId="0" xfId="0" applyNumberFormat="1" applyFill="1"/>
    <xf numFmtId="166" fontId="18" fillId="36" borderId="0" xfId="1" applyNumberFormat="1" applyFont="1" applyFill="1" applyAlignment="1">
      <alignment horizontal="right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9"/>
  <sheetViews>
    <sheetView tabSelected="1" view="pageBreakPreview" topLeftCell="A35" zoomScaleNormal="100" zoomScaleSheetLayoutView="100" workbookViewId="0">
      <selection activeCell="I68" sqref="I68"/>
    </sheetView>
  </sheetViews>
  <sheetFormatPr defaultColWidth="8.85546875" defaultRowHeight="15" x14ac:dyDescent="0.25"/>
  <cols>
    <col min="1" max="1" width="8.140625" style="11" bestFit="1" customWidth="1"/>
    <col min="2" max="2" width="26.28515625" style="9" bestFit="1" customWidth="1"/>
    <col min="3" max="3" width="4.42578125" style="2" customWidth="1"/>
    <col min="4" max="4" width="12.7109375" style="1" bestFit="1" customWidth="1"/>
    <col min="5" max="8" width="10.85546875" style="1" bestFit="1" customWidth="1"/>
    <col min="9" max="9" width="11.7109375" style="1" bestFit="1" customWidth="1"/>
    <col min="10" max="10" width="10.140625" style="1" bestFit="1" customWidth="1"/>
    <col min="11" max="16384" width="8.85546875" style="1"/>
  </cols>
  <sheetData>
    <row r="1" spans="1:14" s="14" customFormat="1" ht="22.5" x14ac:dyDescent="0.2">
      <c r="A1" s="13"/>
      <c r="B1" s="14" t="s">
        <v>129</v>
      </c>
      <c r="D1" s="14" t="s">
        <v>4</v>
      </c>
      <c r="E1" s="14" t="s">
        <v>3</v>
      </c>
      <c r="F1" s="14" t="s">
        <v>2</v>
      </c>
      <c r="G1" s="14" t="s">
        <v>1</v>
      </c>
      <c r="H1" s="14" t="s">
        <v>0</v>
      </c>
      <c r="I1" s="14" t="s">
        <v>5</v>
      </c>
    </row>
    <row r="2" spans="1:14" ht="11.25" x14ac:dyDescent="0.2">
      <c r="A2" s="10" t="s">
        <v>68</v>
      </c>
      <c r="B2" s="2" t="s">
        <v>21</v>
      </c>
      <c r="C2" s="5"/>
    </row>
    <row r="3" spans="1:14" s="4" customFormat="1" ht="11.25" x14ac:dyDescent="0.2">
      <c r="A3" s="11">
        <v>997082</v>
      </c>
      <c r="B3" s="3" t="s">
        <v>11</v>
      </c>
      <c r="C3" s="3" t="s">
        <v>20</v>
      </c>
      <c r="D3" s="7">
        <v>435627</v>
      </c>
      <c r="E3" s="7">
        <v>193992</v>
      </c>
      <c r="F3" s="7">
        <v>132841</v>
      </c>
      <c r="G3" s="7">
        <v>50153</v>
      </c>
      <c r="H3" s="7">
        <v>79476</v>
      </c>
      <c r="I3" s="7">
        <f>SUM(D3:H3)</f>
        <v>892089</v>
      </c>
    </row>
    <row r="4" spans="1:14" s="4" customFormat="1" ht="11.25" x14ac:dyDescent="0.2">
      <c r="A4" s="11">
        <v>997112</v>
      </c>
      <c r="B4" s="3" t="s">
        <v>13</v>
      </c>
      <c r="C4" s="3" t="s">
        <v>20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f t="shared" ref="I4:I57" si="0">SUM(D4:H4)</f>
        <v>0</v>
      </c>
    </row>
    <row r="5" spans="1:14" s="4" customFormat="1" ht="11.25" x14ac:dyDescent="0.2">
      <c r="A5" s="11">
        <v>997113</v>
      </c>
      <c r="B5" s="3" t="s">
        <v>14</v>
      </c>
      <c r="C5" s="3" t="s">
        <v>20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f t="shared" si="0"/>
        <v>0</v>
      </c>
    </row>
    <row r="6" spans="1:14" s="4" customFormat="1" ht="11.25" x14ac:dyDescent="0.2">
      <c r="A6" s="11">
        <v>997120</v>
      </c>
      <c r="B6" s="2" t="s">
        <v>15</v>
      </c>
      <c r="C6" s="2" t="s">
        <v>20</v>
      </c>
      <c r="D6" s="7">
        <v>36234</v>
      </c>
      <c r="E6" s="7">
        <v>17576</v>
      </c>
      <c r="F6" s="7">
        <v>10973</v>
      </c>
      <c r="G6" s="7">
        <v>4666</v>
      </c>
      <c r="H6" s="7">
        <v>6792</v>
      </c>
      <c r="I6" s="7">
        <f t="shared" si="0"/>
        <v>76241</v>
      </c>
      <c r="J6" s="1"/>
      <c r="K6" s="1"/>
      <c r="L6" s="1"/>
      <c r="M6" s="1"/>
      <c r="N6" s="1"/>
    </row>
    <row r="7" spans="1:14" s="4" customFormat="1" ht="11.25" x14ac:dyDescent="0.2">
      <c r="A7" s="11">
        <v>997017</v>
      </c>
      <c r="B7" s="3" t="s">
        <v>8</v>
      </c>
      <c r="C7" s="3" t="s">
        <v>20</v>
      </c>
      <c r="D7" s="7">
        <f>1192020/12*8</f>
        <v>794680</v>
      </c>
      <c r="E7" s="7">
        <v>0</v>
      </c>
      <c r="F7" s="7">
        <v>0</v>
      </c>
      <c r="G7" s="7">
        <v>0</v>
      </c>
      <c r="H7" s="7">
        <v>0</v>
      </c>
      <c r="I7" s="7">
        <f t="shared" si="0"/>
        <v>794680</v>
      </c>
    </row>
    <row r="8" spans="1:14" s="4" customFormat="1" ht="11.25" x14ac:dyDescent="0.2">
      <c r="A8" s="11"/>
      <c r="B8" s="3"/>
      <c r="C8" s="3"/>
      <c r="D8" s="12">
        <f>SUM(D3:D7)</f>
        <v>1266541</v>
      </c>
      <c r="E8" s="12">
        <f t="shared" ref="E8:I8" si="1">SUM(E3:E7)</f>
        <v>211568</v>
      </c>
      <c r="F8" s="12">
        <f t="shared" si="1"/>
        <v>143814</v>
      </c>
      <c r="G8" s="12">
        <f t="shared" si="1"/>
        <v>54819</v>
      </c>
      <c r="H8" s="12">
        <f t="shared" si="1"/>
        <v>86268</v>
      </c>
      <c r="I8" s="12">
        <f t="shared" si="1"/>
        <v>1763010</v>
      </c>
    </row>
    <row r="9" spans="1:14" s="4" customFormat="1" ht="11.25" x14ac:dyDescent="0.2">
      <c r="A9" s="11"/>
      <c r="B9" s="3"/>
      <c r="C9" s="3"/>
      <c r="D9" s="7"/>
      <c r="E9" s="7"/>
      <c r="F9" s="7"/>
      <c r="G9" s="7"/>
      <c r="H9" s="7"/>
      <c r="I9" s="7"/>
    </row>
    <row r="10" spans="1:14" s="4" customFormat="1" ht="11.25" x14ac:dyDescent="0.2">
      <c r="A10" s="11"/>
      <c r="B10" s="3"/>
      <c r="C10" s="3"/>
      <c r="D10" s="7"/>
      <c r="E10" s="7"/>
      <c r="F10" s="7"/>
      <c r="G10" s="7"/>
      <c r="H10" s="7"/>
      <c r="I10" s="7"/>
    </row>
    <row r="11" spans="1:14" s="4" customFormat="1" ht="11.25" x14ac:dyDescent="0.2">
      <c r="A11" s="11">
        <v>997000</v>
      </c>
      <c r="B11" s="3" t="s">
        <v>6</v>
      </c>
      <c r="C11" s="3" t="s">
        <v>19</v>
      </c>
      <c r="D11" s="7">
        <v>99326036</v>
      </c>
      <c r="E11" s="7">
        <v>50351441</v>
      </c>
      <c r="F11" s="7">
        <v>23640751</v>
      </c>
      <c r="G11" s="7">
        <v>9409776</v>
      </c>
      <c r="H11" s="7">
        <v>13852849</v>
      </c>
      <c r="I11" s="7">
        <f t="shared" si="0"/>
        <v>196580853</v>
      </c>
    </row>
    <row r="12" spans="1:14" s="4" customFormat="1" ht="11.25" x14ac:dyDescent="0.2">
      <c r="A12" s="11">
        <v>997001</v>
      </c>
      <c r="B12" s="3" t="s">
        <v>7</v>
      </c>
      <c r="C12" s="3" t="s">
        <v>19</v>
      </c>
      <c r="D12" s="7">
        <v>4888064</v>
      </c>
      <c r="E12" s="7">
        <v>2371041</v>
      </c>
      <c r="F12" s="7">
        <v>587837</v>
      </c>
      <c r="G12" s="7">
        <v>249955</v>
      </c>
      <c r="H12" s="7">
        <v>121510</v>
      </c>
      <c r="I12" s="7">
        <f t="shared" si="0"/>
        <v>8218407</v>
      </c>
    </row>
    <row r="13" spans="1:14" s="4" customFormat="1" ht="11.25" x14ac:dyDescent="0.2">
      <c r="A13" s="11">
        <v>997049</v>
      </c>
      <c r="B13" s="3" t="s">
        <v>9</v>
      </c>
      <c r="C13" s="3" t="s">
        <v>19</v>
      </c>
      <c r="D13" s="7">
        <v>-122785667</v>
      </c>
      <c r="E13" s="7">
        <v>-59559354</v>
      </c>
      <c r="F13" s="7">
        <v>-28732182</v>
      </c>
      <c r="G13" s="7">
        <v>-12217268</v>
      </c>
      <c r="H13" s="7">
        <v>-19925537</v>
      </c>
      <c r="I13" s="7">
        <f t="shared" si="0"/>
        <v>-243220008</v>
      </c>
    </row>
    <row r="14" spans="1:14" s="4" customFormat="1" ht="11.25" x14ac:dyDescent="0.2">
      <c r="A14" s="11">
        <v>997080</v>
      </c>
      <c r="B14" s="3" t="s">
        <v>10</v>
      </c>
      <c r="C14" s="3" t="s">
        <v>19</v>
      </c>
      <c r="D14" s="7">
        <v>3934647</v>
      </c>
      <c r="E14" s="7">
        <v>1908570</v>
      </c>
      <c r="F14" s="7">
        <v>930793</v>
      </c>
      <c r="G14" s="7">
        <v>395785</v>
      </c>
      <c r="H14" s="7">
        <v>1666199</v>
      </c>
      <c r="I14" s="7">
        <f t="shared" si="0"/>
        <v>8835994</v>
      </c>
    </row>
    <row r="15" spans="1:14" s="4" customFormat="1" ht="11.25" x14ac:dyDescent="0.2">
      <c r="A15" s="11">
        <v>997101</v>
      </c>
      <c r="B15" s="3" t="s">
        <v>12</v>
      </c>
      <c r="C15" s="3" t="s">
        <v>19</v>
      </c>
      <c r="D15" s="7">
        <v>-21817188</v>
      </c>
      <c r="E15" s="7">
        <v>-10582812</v>
      </c>
      <c r="F15" s="7">
        <v>-3929240</v>
      </c>
      <c r="G15" s="7">
        <v>-1670760</v>
      </c>
      <c r="H15" s="7">
        <v>-3600000</v>
      </c>
      <c r="I15" s="7">
        <f t="shared" si="0"/>
        <v>-41600000</v>
      </c>
    </row>
    <row r="16" spans="1:14" s="4" customFormat="1" ht="11.25" x14ac:dyDescent="0.2">
      <c r="A16" s="11">
        <v>997111</v>
      </c>
      <c r="B16" s="3" t="s">
        <v>59</v>
      </c>
      <c r="C16" s="3"/>
      <c r="D16" s="7">
        <v>-163919</v>
      </c>
      <c r="E16" s="7">
        <v>-79512</v>
      </c>
      <c r="F16" s="7">
        <v>-49642</v>
      </c>
      <c r="G16" s="7">
        <v>-21109</v>
      </c>
      <c r="H16" s="7">
        <v>-30728</v>
      </c>
      <c r="I16" s="7">
        <f>SUM(D16:H16)</f>
        <v>-344910</v>
      </c>
    </row>
    <row r="17" spans="1:14" ht="11.25" x14ac:dyDescent="0.2">
      <c r="A17" s="11">
        <v>997119</v>
      </c>
      <c r="B17" s="2" t="s">
        <v>64</v>
      </c>
      <c r="D17" s="7">
        <v>2030087</v>
      </c>
      <c r="E17" s="7">
        <v>984730</v>
      </c>
      <c r="F17" s="7">
        <v>506100</v>
      </c>
      <c r="G17" s="7">
        <v>215200</v>
      </c>
      <c r="H17" s="7">
        <v>369479</v>
      </c>
      <c r="I17" s="7">
        <f t="shared" si="0"/>
        <v>4105596</v>
      </c>
    </row>
    <row r="18" spans="1:14" s="4" customFormat="1" ht="11.25" x14ac:dyDescent="0.2">
      <c r="A18" s="11"/>
      <c r="B18" s="3"/>
      <c r="C18" s="3"/>
      <c r="D18" s="12">
        <f t="shared" ref="D18:I18" si="2">SUM(D11:D17)</f>
        <v>-34587940</v>
      </c>
      <c r="E18" s="12">
        <f t="shared" si="2"/>
        <v>-14605896</v>
      </c>
      <c r="F18" s="12">
        <f t="shared" si="2"/>
        <v>-7045583</v>
      </c>
      <c r="G18" s="12">
        <f t="shared" si="2"/>
        <v>-3638421</v>
      </c>
      <c r="H18" s="12">
        <f t="shared" si="2"/>
        <v>-7546228</v>
      </c>
      <c r="I18" s="12">
        <f t="shared" si="2"/>
        <v>-67424068</v>
      </c>
    </row>
    <row r="19" spans="1:14" s="4" customFormat="1" ht="11.25" x14ac:dyDescent="0.2">
      <c r="A19" s="11"/>
      <c r="B19" s="3"/>
      <c r="C19" s="3"/>
      <c r="D19" s="7"/>
      <c r="E19" s="7"/>
      <c r="F19" s="7"/>
      <c r="G19" s="7"/>
      <c r="H19" s="7"/>
      <c r="I19" s="7"/>
    </row>
    <row r="20" spans="1:14" s="4" customFormat="1" ht="11.25" x14ac:dyDescent="0.2">
      <c r="A20" s="11">
        <v>997004</v>
      </c>
      <c r="B20" s="3" t="s">
        <v>22</v>
      </c>
      <c r="C20" s="3" t="s">
        <v>69</v>
      </c>
      <c r="D20" s="7">
        <v>0</v>
      </c>
      <c r="E20" s="7">
        <v>-112280</v>
      </c>
      <c r="F20" s="7">
        <v>0</v>
      </c>
      <c r="G20" s="7">
        <v>0</v>
      </c>
      <c r="H20" s="7">
        <v>0</v>
      </c>
      <c r="I20" s="7">
        <f t="shared" si="0"/>
        <v>-112280</v>
      </c>
      <c r="J20" s="7"/>
    </row>
    <row r="21" spans="1:14" s="4" customFormat="1" ht="11.25" x14ac:dyDescent="0.2">
      <c r="A21" s="11">
        <v>997005</v>
      </c>
      <c r="B21" s="3" t="s">
        <v>23</v>
      </c>
      <c r="C21" s="3" t="s">
        <v>69</v>
      </c>
      <c r="D21" s="7">
        <v>592084</v>
      </c>
      <c r="E21" s="7">
        <v>287201</v>
      </c>
      <c r="F21" s="7">
        <v>179312</v>
      </c>
      <c r="G21" s="7">
        <v>76246</v>
      </c>
      <c r="H21" s="7">
        <v>110991</v>
      </c>
      <c r="I21" s="7">
        <f t="shared" si="0"/>
        <v>1245834</v>
      </c>
      <c r="J21" s="7"/>
    </row>
    <row r="22" spans="1:14" s="4" customFormat="1" ht="11.25" x14ac:dyDescent="0.2">
      <c r="A22" s="11">
        <v>997007</v>
      </c>
      <c r="B22" s="3" t="s">
        <v>24</v>
      </c>
      <c r="C22" s="3" t="s">
        <v>69</v>
      </c>
      <c r="D22" s="7">
        <v>0</v>
      </c>
      <c r="E22" s="7">
        <v>-7886123</v>
      </c>
      <c r="F22" s="7">
        <v>0</v>
      </c>
      <c r="G22" s="7">
        <v>0</v>
      </c>
      <c r="H22" s="7">
        <v>0</v>
      </c>
      <c r="I22" s="7">
        <f t="shared" si="0"/>
        <v>-7886123</v>
      </c>
      <c r="J22" s="7"/>
    </row>
    <row r="23" spans="1:14" s="4" customFormat="1" ht="11.25" x14ac:dyDescent="0.2">
      <c r="A23" s="11">
        <v>997008</v>
      </c>
      <c r="B23" s="3" t="s">
        <v>25</v>
      </c>
      <c r="C23" s="3" t="s">
        <v>69</v>
      </c>
      <c r="D23" s="7">
        <v>0</v>
      </c>
      <c r="E23" s="7">
        <v>0</v>
      </c>
      <c r="F23" s="7">
        <v>0</v>
      </c>
      <c r="G23" s="7">
        <v>0</v>
      </c>
      <c r="H23" s="7">
        <v>-135318</v>
      </c>
      <c r="I23" s="7">
        <f t="shared" si="0"/>
        <v>-135318</v>
      </c>
      <c r="J23" s="7"/>
    </row>
    <row r="24" spans="1:14" s="4" customFormat="1" ht="11.25" x14ac:dyDescent="0.2">
      <c r="A24" s="11">
        <v>997009</v>
      </c>
      <c r="B24" s="3" t="s">
        <v>26</v>
      </c>
      <c r="C24" s="3" t="s">
        <v>69</v>
      </c>
      <c r="D24" s="7">
        <v>-22775</v>
      </c>
      <c r="E24" s="7">
        <v>-11047</v>
      </c>
      <c r="F24" s="7">
        <v>0</v>
      </c>
      <c r="G24" s="7">
        <v>0</v>
      </c>
      <c r="H24" s="7">
        <v>0</v>
      </c>
      <c r="I24" s="7">
        <f t="shared" si="0"/>
        <v>-33822</v>
      </c>
      <c r="J24" s="7"/>
    </row>
    <row r="25" spans="1:14" s="4" customFormat="1" ht="11.25" x14ac:dyDescent="0.2">
      <c r="A25" s="11">
        <v>997010</v>
      </c>
      <c r="B25" s="3" t="s">
        <v>27</v>
      </c>
      <c r="C25" s="3" t="s">
        <v>69</v>
      </c>
      <c r="D25" s="7">
        <v>0</v>
      </c>
      <c r="E25" s="7">
        <v>0</v>
      </c>
      <c r="F25" s="7">
        <v>-21959815</v>
      </c>
      <c r="G25" s="7">
        <v>-9719992</v>
      </c>
      <c r="H25" s="7">
        <v>-6168057</v>
      </c>
      <c r="I25" s="7">
        <f t="shared" si="0"/>
        <v>-37847864</v>
      </c>
      <c r="J25" s="7"/>
    </row>
    <row r="26" spans="1:14" s="4" customFormat="1" ht="11.25" x14ac:dyDescent="0.2">
      <c r="A26" s="11">
        <v>997016</v>
      </c>
      <c r="B26" s="3" t="s">
        <v>28</v>
      </c>
      <c r="C26" s="3" t="s">
        <v>69</v>
      </c>
      <c r="D26" s="7">
        <v>637405</v>
      </c>
      <c r="E26" s="7">
        <v>309184</v>
      </c>
      <c r="F26" s="7">
        <v>144469</v>
      </c>
      <c r="G26" s="7">
        <v>61430</v>
      </c>
      <c r="H26" s="7">
        <v>89424</v>
      </c>
      <c r="I26" s="7">
        <f t="shared" si="0"/>
        <v>1241912</v>
      </c>
      <c r="J26" s="7"/>
    </row>
    <row r="27" spans="1:14" s="4" customFormat="1" ht="11.25" x14ac:dyDescent="0.2">
      <c r="A27" s="11">
        <v>997017</v>
      </c>
      <c r="B27" s="3" t="s">
        <v>8</v>
      </c>
      <c r="C27" s="3" t="s">
        <v>69</v>
      </c>
      <c r="D27" s="7">
        <f>1632961-D7</f>
        <v>838281</v>
      </c>
      <c r="E27" s="7">
        <v>0</v>
      </c>
      <c r="F27" s="7">
        <v>0</v>
      </c>
      <c r="G27" s="7">
        <v>0</v>
      </c>
      <c r="H27" s="7">
        <v>0</v>
      </c>
      <c r="I27" s="7">
        <f t="shared" si="0"/>
        <v>838281</v>
      </c>
      <c r="J27" s="7"/>
    </row>
    <row r="28" spans="1:14" ht="11.25" x14ac:dyDescent="0.2">
      <c r="A28" s="11">
        <v>997018</v>
      </c>
      <c r="B28" s="3" t="s">
        <v>29</v>
      </c>
      <c r="C28" s="3" t="s">
        <v>69</v>
      </c>
      <c r="D28" s="7">
        <v>5008508</v>
      </c>
      <c r="E28" s="7">
        <v>2758982</v>
      </c>
      <c r="F28" s="7">
        <v>-263546</v>
      </c>
      <c r="G28" s="7">
        <v>-156114</v>
      </c>
      <c r="H28" s="7">
        <v>166439</v>
      </c>
      <c r="I28" s="7">
        <f t="shared" si="0"/>
        <v>7514269</v>
      </c>
      <c r="J28" s="7"/>
      <c r="K28" s="4"/>
      <c r="L28" s="4"/>
      <c r="M28" s="4"/>
      <c r="N28" s="4"/>
    </row>
    <row r="29" spans="1:14" s="4" customFormat="1" ht="11.25" x14ac:dyDescent="0.2">
      <c r="A29" s="11">
        <v>997020</v>
      </c>
      <c r="B29" s="3" t="s">
        <v>30</v>
      </c>
      <c r="C29" s="3" t="s">
        <v>69</v>
      </c>
      <c r="D29" s="7">
        <v>755995</v>
      </c>
      <c r="E29" s="7">
        <v>366709</v>
      </c>
      <c r="F29" s="7">
        <v>228952</v>
      </c>
      <c r="G29" s="7">
        <v>97353</v>
      </c>
      <c r="H29" s="7">
        <v>141718</v>
      </c>
      <c r="I29" s="7">
        <f t="shared" si="0"/>
        <v>1590727</v>
      </c>
      <c r="J29" s="7"/>
    </row>
    <row r="30" spans="1:14" s="4" customFormat="1" ht="11.25" x14ac:dyDescent="0.2">
      <c r="A30" s="11">
        <v>997024</v>
      </c>
      <c r="B30" s="3" t="s">
        <v>31</v>
      </c>
      <c r="C30" s="3" t="s">
        <v>69</v>
      </c>
      <c r="D30" s="7">
        <v>-5609</v>
      </c>
      <c r="E30" s="7">
        <v>0</v>
      </c>
      <c r="F30" s="7">
        <v>0</v>
      </c>
      <c r="G30" s="7">
        <v>0</v>
      </c>
      <c r="H30" s="7">
        <v>0</v>
      </c>
      <c r="I30" s="7">
        <f t="shared" si="0"/>
        <v>-5609</v>
      </c>
      <c r="J30" s="7"/>
    </row>
    <row r="31" spans="1:14" s="4" customFormat="1" ht="11.25" x14ac:dyDescent="0.2">
      <c r="A31" s="11">
        <v>997027</v>
      </c>
      <c r="B31" s="3" t="s">
        <v>32</v>
      </c>
      <c r="C31" s="3" t="s">
        <v>69</v>
      </c>
      <c r="D31" s="7">
        <v>-1337651</v>
      </c>
      <c r="E31" s="7">
        <v>-648851</v>
      </c>
      <c r="F31" s="7">
        <v>-405107</v>
      </c>
      <c r="G31" s="7">
        <v>-172256</v>
      </c>
      <c r="H31" s="7">
        <v>-250755</v>
      </c>
      <c r="I31" s="7">
        <f t="shared" si="0"/>
        <v>-2814620</v>
      </c>
      <c r="J31" s="7"/>
    </row>
    <row r="32" spans="1:14" s="4" customFormat="1" ht="11.25" x14ac:dyDescent="0.2">
      <c r="A32" s="11">
        <v>997031</v>
      </c>
      <c r="B32" s="3" t="s">
        <v>33</v>
      </c>
      <c r="C32" s="3" t="s">
        <v>69</v>
      </c>
      <c r="D32" s="7">
        <v>-8118704</v>
      </c>
      <c r="E32" s="7">
        <v>-580565</v>
      </c>
      <c r="F32" s="7">
        <v>-1404768</v>
      </c>
      <c r="G32" s="7">
        <v>223108</v>
      </c>
      <c r="H32" s="7">
        <v>-177184</v>
      </c>
      <c r="I32" s="7">
        <f t="shared" si="0"/>
        <v>-10058113</v>
      </c>
      <c r="J32" s="7"/>
    </row>
    <row r="33" spans="1:14" s="4" customFormat="1" ht="11.25" x14ac:dyDescent="0.2">
      <c r="A33" s="11">
        <v>997032</v>
      </c>
      <c r="B33" s="3" t="s">
        <v>34</v>
      </c>
      <c r="C33" s="3" t="s">
        <v>69</v>
      </c>
      <c r="D33" s="7">
        <v>-4986482</v>
      </c>
      <c r="E33" s="7">
        <v>-2418781</v>
      </c>
      <c r="F33" s="7">
        <v>-1510153</v>
      </c>
      <c r="G33" s="7">
        <v>-642135</v>
      </c>
      <c r="H33" s="7">
        <v>-934760</v>
      </c>
      <c r="I33" s="7">
        <f t="shared" si="0"/>
        <v>-10492311</v>
      </c>
      <c r="J33" s="7"/>
    </row>
    <row r="34" spans="1:14" s="4" customFormat="1" ht="11.25" x14ac:dyDescent="0.2">
      <c r="A34" s="11">
        <v>997033</v>
      </c>
      <c r="B34" s="3" t="s">
        <v>35</v>
      </c>
      <c r="C34" s="3" t="s">
        <v>69</v>
      </c>
      <c r="D34" s="7">
        <v>-666453</v>
      </c>
      <c r="E34" s="7">
        <v>-568209</v>
      </c>
      <c r="F34" s="7">
        <v>0</v>
      </c>
      <c r="G34" s="7">
        <v>0</v>
      </c>
      <c r="H34" s="7">
        <v>0</v>
      </c>
      <c r="I34" s="7">
        <f t="shared" si="0"/>
        <v>-1234662</v>
      </c>
      <c r="J34" s="7"/>
    </row>
    <row r="35" spans="1:14" s="4" customFormat="1" ht="11.25" x14ac:dyDescent="0.2">
      <c r="A35" s="11">
        <v>997034</v>
      </c>
      <c r="B35" s="3" t="s">
        <v>36</v>
      </c>
      <c r="C35" s="3" t="s">
        <v>69</v>
      </c>
      <c r="D35" s="7">
        <v>3258748</v>
      </c>
      <c r="E35" s="7">
        <v>1724809</v>
      </c>
      <c r="F35" s="7">
        <v>0</v>
      </c>
      <c r="G35" s="7">
        <v>0</v>
      </c>
      <c r="H35" s="7">
        <v>0</v>
      </c>
      <c r="I35" s="7">
        <f t="shared" si="0"/>
        <v>4983557</v>
      </c>
      <c r="J35" s="7"/>
    </row>
    <row r="36" spans="1:14" s="4" customFormat="1" ht="11.25" x14ac:dyDescent="0.2">
      <c r="A36" s="11">
        <v>997035</v>
      </c>
      <c r="B36" s="2" t="s">
        <v>37</v>
      </c>
      <c r="C36" s="3" t="s">
        <v>69</v>
      </c>
      <c r="D36" s="7">
        <v>17056</v>
      </c>
      <c r="E36" s="7">
        <v>7595</v>
      </c>
      <c r="F36" s="7">
        <v>5201</v>
      </c>
      <c r="G36" s="7">
        <v>1964</v>
      </c>
      <c r="H36" s="7">
        <v>3112</v>
      </c>
      <c r="I36" s="7">
        <f t="shared" si="0"/>
        <v>34928</v>
      </c>
      <c r="J36" s="7"/>
      <c r="K36" s="1"/>
      <c r="L36" s="1"/>
      <c r="M36" s="1"/>
      <c r="N36" s="1"/>
    </row>
    <row r="37" spans="1:14" s="4" customFormat="1" ht="11.25" x14ac:dyDescent="0.2">
      <c r="A37" s="11">
        <v>997043</v>
      </c>
      <c r="B37" s="3" t="s">
        <v>38</v>
      </c>
      <c r="C37" s="3" t="s">
        <v>69</v>
      </c>
      <c r="D37" s="7">
        <v>1096569</v>
      </c>
      <c r="E37" s="7">
        <v>0</v>
      </c>
      <c r="F37" s="7">
        <v>0</v>
      </c>
      <c r="G37" s="7">
        <v>0</v>
      </c>
      <c r="H37" s="7">
        <v>0</v>
      </c>
      <c r="I37" s="7">
        <f t="shared" si="0"/>
        <v>1096569</v>
      </c>
      <c r="J37" s="7"/>
    </row>
    <row r="38" spans="1:14" s="4" customFormat="1" ht="11.25" x14ac:dyDescent="0.2">
      <c r="A38" s="11">
        <v>997044</v>
      </c>
      <c r="B38" s="3" t="s">
        <v>39</v>
      </c>
      <c r="C38" s="3" t="s">
        <v>69</v>
      </c>
      <c r="D38" s="7">
        <v>171288</v>
      </c>
      <c r="E38" s="7">
        <v>83086</v>
      </c>
      <c r="F38" s="7">
        <v>0</v>
      </c>
      <c r="G38" s="7">
        <v>0</v>
      </c>
      <c r="H38" s="7">
        <v>0</v>
      </c>
      <c r="I38" s="7">
        <f t="shared" si="0"/>
        <v>254374</v>
      </c>
      <c r="J38" s="7"/>
    </row>
    <row r="39" spans="1:14" s="4" customFormat="1" ht="11.25" x14ac:dyDescent="0.2">
      <c r="A39" s="11">
        <v>997046</v>
      </c>
      <c r="B39" s="3" t="s">
        <v>40</v>
      </c>
      <c r="C39" s="3" t="s">
        <v>69</v>
      </c>
      <c r="D39" s="7">
        <v>-22008</v>
      </c>
      <c r="E39" s="7">
        <v>5188</v>
      </c>
      <c r="F39" s="7">
        <v>0</v>
      </c>
      <c r="G39" s="7">
        <v>0</v>
      </c>
      <c r="H39" s="7">
        <v>0</v>
      </c>
      <c r="I39" s="7">
        <f t="shared" si="0"/>
        <v>-16820</v>
      </c>
      <c r="J39" s="7"/>
    </row>
    <row r="40" spans="1:14" s="4" customFormat="1" ht="11.25" x14ac:dyDescent="0.2">
      <c r="A40" s="11">
        <v>997054</v>
      </c>
      <c r="B40" s="3" t="s">
        <v>41</v>
      </c>
      <c r="C40" s="3" t="s">
        <v>69</v>
      </c>
      <c r="D40" s="7">
        <v>72939</v>
      </c>
      <c r="E40" s="7">
        <v>5797</v>
      </c>
      <c r="F40" s="7">
        <v>0</v>
      </c>
      <c r="G40" s="7">
        <v>0</v>
      </c>
      <c r="H40" s="7">
        <v>0</v>
      </c>
      <c r="I40" s="7">
        <f t="shared" si="0"/>
        <v>78736</v>
      </c>
      <c r="J40" s="7"/>
    </row>
    <row r="41" spans="1:14" s="4" customFormat="1" ht="11.25" x14ac:dyDescent="0.2">
      <c r="A41" s="11">
        <v>997059</v>
      </c>
      <c r="B41" s="3" t="s">
        <v>42</v>
      </c>
      <c r="C41" s="3" t="s">
        <v>69</v>
      </c>
      <c r="D41" s="7">
        <v>46316</v>
      </c>
      <c r="E41" s="7">
        <v>26996</v>
      </c>
      <c r="F41" s="7">
        <v>0</v>
      </c>
      <c r="G41" s="7">
        <v>0</v>
      </c>
      <c r="H41" s="7">
        <v>0</v>
      </c>
      <c r="I41" s="7">
        <f t="shared" si="0"/>
        <v>73312</v>
      </c>
      <c r="J41" s="7"/>
    </row>
    <row r="42" spans="1:14" s="4" customFormat="1" ht="11.25" x14ac:dyDescent="0.2">
      <c r="A42" s="11">
        <v>997063</v>
      </c>
      <c r="B42" s="3" t="s">
        <v>43</v>
      </c>
      <c r="C42" s="3" t="s">
        <v>69</v>
      </c>
      <c r="D42" s="7">
        <v>747435</v>
      </c>
      <c r="E42" s="7">
        <v>319744</v>
      </c>
      <c r="F42" s="7">
        <v>0</v>
      </c>
      <c r="G42" s="7">
        <v>0</v>
      </c>
      <c r="H42" s="7">
        <v>0</v>
      </c>
      <c r="I42" s="7">
        <f t="shared" si="0"/>
        <v>1067179</v>
      </c>
      <c r="J42" s="7"/>
    </row>
    <row r="43" spans="1:14" s="4" customFormat="1" ht="11.25" x14ac:dyDescent="0.2">
      <c r="A43" s="11">
        <v>997065</v>
      </c>
      <c r="B43" s="3" t="s">
        <v>44</v>
      </c>
      <c r="C43" s="3" t="s">
        <v>69</v>
      </c>
      <c r="D43" s="7">
        <v>-359626</v>
      </c>
      <c r="E43" s="7">
        <v>22206</v>
      </c>
      <c r="F43" s="7">
        <v>269250</v>
      </c>
      <c r="G43" s="7">
        <v>-15144</v>
      </c>
      <c r="H43" s="7">
        <v>-253142</v>
      </c>
      <c r="I43" s="7">
        <f t="shared" si="0"/>
        <v>-336456</v>
      </c>
      <c r="J43" s="7"/>
    </row>
    <row r="44" spans="1:14" s="4" customFormat="1" ht="11.25" x14ac:dyDescent="0.2">
      <c r="A44" s="11">
        <v>997081</v>
      </c>
      <c r="B44" s="3" t="s">
        <v>45</v>
      </c>
      <c r="C44" s="3" t="s">
        <v>69</v>
      </c>
      <c r="D44" s="7">
        <v>453409</v>
      </c>
      <c r="E44" s="7">
        <v>219934</v>
      </c>
      <c r="F44" s="7">
        <v>137314</v>
      </c>
      <c r="G44" s="7">
        <v>58388</v>
      </c>
      <c r="H44" s="7">
        <v>84995</v>
      </c>
      <c r="I44" s="7">
        <f t="shared" si="0"/>
        <v>954040</v>
      </c>
      <c r="J44" s="7"/>
    </row>
    <row r="45" spans="1:14" s="4" customFormat="1" ht="11.25" x14ac:dyDescent="0.2">
      <c r="A45" s="11">
        <v>997083</v>
      </c>
      <c r="B45" s="3" t="s">
        <v>46</v>
      </c>
      <c r="C45" s="3" t="s">
        <v>69</v>
      </c>
      <c r="D45" s="7">
        <v>291672</v>
      </c>
      <c r="E45" s="7">
        <v>141481</v>
      </c>
      <c r="F45" s="7">
        <v>88333</v>
      </c>
      <c r="G45" s="7">
        <v>37560</v>
      </c>
      <c r="H45" s="7">
        <v>54677</v>
      </c>
      <c r="I45" s="7">
        <f t="shared" si="0"/>
        <v>613723</v>
      </c>
      <c r="J45" s="7"/>
    </row>
    <row r="46" spans="1:14" s="4" customFormat="1" ht="11.25" x14ac:dyDescent="0.2">
      <c r="A46" s="11">
        <v>997088</v>
      </c>
      <c r="B46" s="3" t="s">
        <v>47</v>
      </c>
      <c r="C46" s="3" t="s">
        <v>69</v>
      </c>
      <c r="D46" s="7">
        <v>0</v>
      </c>
      <c r="E46" s="7">
        <v>-261474</v>
      </c>
      <c r="F46" s="7">
        <v>0</v>
      </c>
      <c r="G46" s="7">
        <v>0</v>
      </c>
      <c r="H46" s="7">
        <v>0</v>
      </c>
      <c r="I46" s="7">
        <f t="shared" si="0"/>
        <v>-261474</v>
      </c>
      <c r="J46" s="7"/>
    </row>
    <row r="47" spans="1:14" s="4" customFormat="1" ht="11.25" x14ac:dyDescent="0.2">
      <c r="A47" s="11">
        <v>997095</v>
      </c>
      <c r="B47" s="3" t="s">
        <v>48</v>
      </c>
      <c r="C47" s="3" t="s">
        <v>69</v>
      </c>
      <c r="D47" s="7">
        <v>-1396907</v>
      </c>
      <c r="E47" s="7">
        <v>0</v>
      </c>
      <c r="F47" s="7">
        <v>0</v>
      </c>
      <c r="G47" s="7">
        <v>0</v>
      </c>
      <c r="H47" s="7">
        <v>0</v>
      </c>
      <c r="I47" s="7">
        <f t="shared" si="0"/>
        <v>-1396907</v>
      </c>
      <c r="J47" s="7"/>
    </row>
    <row r="48" spans="1:14" s="4" customFormat="1" ht="11.25" x14ac:dyDescent="0.2">
      <c r="A48" s="11">
        <v>997096</v>
      </c>
      <c r="B48" s="3" t="s">
        <v>49</v>
      </c>
      <c r="C48" s="3" t="s">
        <v>69</v>
      </c>
      <c r="D48" s="7">
        <v>22032</v>
      </c>
      <c r="E48" s="7">
        <v>10687</v>
      </c>
      <c r="F48" s="7">
        <v>0</v>
      </c>
      <c r="G48" s="7">
        <v>0</v>
      </c>
      <c r="H48" s="7">
        <v>0</v>
      </c>
      <c r="I48" s="7">
        <f t="shared" si="0"/>
        <v>32719</v>
      </c>
      <c r="J48" s="7"/>
    </row>
    <row r="49" spans="1:14" s="4" customFormat="1" ht="11.25" x14ac:dyDescent="0.2">
      <c r="A49" s="11">
        <v>997099</v>
      </c>
      <c r="B49" s="3" t="s">
        <v>50</v>
      </c>
      <c r="C49" s="3" t="s">
        <v>69</v>
      </c>
      <c r="D49" s="7">
        <v>124329</v>
      </c>
      <c r="E49" s="7">
        <v>60308</v>
      </c>
      <c r="F49" s="7">
        <v>0</v>
      </c>
      <c r="G49" s="7">
        <v>0</v>
      </c>
      <c r="H49" s="7">
        <v>0</v>
      </c>
      <c r="I49" s="7">
        <f t="shared" si="0"/>
        <v>184637</v>
      </c>
      <c r="J49" s="7"/>
    </row>
    <row r="50" spans="1:14" s="4" customFormat="1" ht="11.25" x14ac:dyDescent="0.2">
      <c r="A50" s="11">
        <v>997102</v>
      </c>
      <c r="B50" s="3" t="s">
        <v>51</v>
      </c>
      <c r="C50" s="3" t="s">
        <v>69</v>
      </c>
      <c r="D50" s="7">
        <v>0</v>
      </c>
      <c r="E50" s="7">
        <v>-87014</v>
      </c>
      <c r="F50" s="7">
        <v>0</v>
      </c>
      <c r="G50" s="7">
        <v>0</v>
      </c>
      <c r="H50" s="7">
        <v>0</v>
      </c>
      <c r="I50" s="7">
        <f t="shared" si="0"/>
        <v>-87014</v>
      </c>
      <c r="J50" s="7"/>
    </row>
    <row r="51" spans="1:14" s="4" customFormat="1" ht="11.25" x14ac:dyDescent="0.2">
      <c r="A51" s="11">
        <v>997103</v>
      </c>
      <c r="B51" s="3" t="s">
        <v>52</v>
      </c>
      <c r="C51" s="3" t="s">
        <v>69</v>
      </c>
      <c r="D51" s="7">
        <v>0</v>
      </c>
      <c r="E51" s="7">
        <v>668590</v>
      </c>
      <c r="F51" s="7">
        <v>0</v>
      </c>
      <c r="G51" s="7">
        <v>168136</v>
      </c>
      <c r="H51" s="7">
        <v>0</v>
      </c>
      <c r="I51" s="7">
        <f t="shared" si="0"/>
        <v>836726</v>
      </c>
      <c r="J51" s="7"/>
    </row>
    <row r="52" spans="1:14" s="4" customFormat="1" ht="11.25" x14ac:dyDescent="0.2">
      <c r="A52" s="11">
        <v>997104</v>
      </c>
      <c r="B52" s="3" t="s">
        <v>53</v>
      </c>
      <c r="C52" s="3" t="s">
        <v>69</v>
      </c>
      <c r="D52" s="7">
        <v>0</v>
      </c>
      <c r="E52" s="7">
        <v>117223</v>
      </c>
      <c r="F52" s="7">
        <v>0</v>
      </c>
      <c r="G52" s="7">
        <v>0</v>
      </c>
      <c r="H52" s="7">
        <v>0</v>
      </c>
      <c r="I52" s="7">
        <f t="shared" si="0"/>
        <v>117223</v>
      </c>
      <c r="J52" s="7"/>
    </row>
    <row r="53" spans="1:14" s="4" customFormat="1" ht="11.25" x14ac:dyDescent="0.2">
      <c r="A53" s="11">
        <v>997105</v>
      </c>
      <c r="B53" s="3" t="s">
        <v>54</v>
      </c>
      <c r="C53" s="3" t="s">
        <v>69</v>
      </c>
      <c r="D53" s="7">
        <v>0</v>
      </c>
      <c r="E53" s="7">
        <v>0</v>
      </c>
      <c r="F53" s="7">
        <v>-657272</v>
      </c>
      <c r="G53" s="7">
        <v>0</v>
      </c>
      <c r="H53" s="7">
        <v>0</v>
      </c>
      <c r="I53" s="7">
        <f t="shared" si="0"/>
        <v>-657272</v>
      </c>
      <c r="J53" s="7"/>
    </row>
    <row r="54" spans="1:14" s="4" customFormat="1" ht="11.25" x14ac:dyDescent="0.2">
      <c r="A54" s="11">
        <v>997107</v>
      </c>
      <c r="B54" s="3" t="s">
        <v>55</v>
      </c>
      <c r="C54" s="3" t="s">
        <v>69</v>
      </c>
      <c r="D54" s="7">
        <v>-17272075</v>
      </c>
      <c r="E54" s="7">
        <v>0</v>
      </c>
      <c r="F54" s="7">
        <v>-3953313</v>
      </c>
      <c r="G54" s="7">
        <v>0</v>
      </c>
      <c r="H54" s="7">
        <v>249000</v>
      </c>
      <c r="I54" s="7">
        <f t="shared" si="0"/>
        <v>-20976388</v>
      </c>
      <c r="J54" s="7"/>
    </row>
    <row r="55" spans="1:14" s="4" customFormat="1" ht="11.25" x14ac:dyDescent="0.2">
      <c r="A55" s="11">
        <v>997108</v>
      </c>
      <c r="B55" s="3" t="s">
        <v>56</v>
      </c>
      <c r="C55" s="3" t="s">
        <v>69</v>
      </c>
      <c r="D55" s="7">
        <v>0</v>
      </c>
      <c r="E55" s="7">
        <v>-40777.07</v>
      </c>
      <c r="F55" s="7">
        <v>0</v>
      </c>
      <c r="G55" s="7">
        <v>0</v>
      </c>
      <c r="H55" s="7">
        <v>2468771</v>
      </c>
      <c r="I55" s="7">
        <f t="shared" si="0"/>
        <v>2427993.9300000002</v>
      </c>
      <c r="J55" s="7"/>
    </row>
    <row r="56" spans="1:14" s="4" customFormat="1" ht="11.25" x14ac:dyDescent="0.2">
      <c r="A56" s="11">
        <v>997109</v>
      </c>
      <c r="B56" s="3" t="s">
        <v>57</v>
      </c>
      <c r="C56" s="3" t="s">
        <v>69</v>
      </c>
      <c r="D56" s="7">
        <v>-4146455</v>
      </c>
      <c r="E56" s="7">
        <v>-3787244</v>
      </c>
      <c r="F56" s="7">
        <v>-1469943</v>
      </c>
      <c r="G56" s="7">
        <v>0</v>
      </c>
      <c r="H56" s="7">
        <v>-2246387</v>
      </c>
      <c r="I56" s="7">
        <f t="shared" si="0"/>
        <v>-11650029</v>
      </c>
      <c r="J56" s="7"/>
    </row>
    <row r="57" spans="1:14" s="4" customFormat="1" ht="11.25" x14ac:dyDescent="0.2">
      <c r="A57" s="11">
        <v>997110</v>
      </c>
      <c r="B57" s="3" t="s">
        <v>58</v>
      </c>
      <c r="C57" s="3" t="s">
        <v>69</v>
      </c>
      <c r="D57" s="7">
        <v>-728253</v>
      </c>
      <c r="E57" s="7">
        <v>-330841</v>
      </c>
      <c r="F57" s="7">
        <v>-445756</v>
      </c>
      <c r="G57" s="7">
        <v>-214574</v>
      </c>
      <c r="H57" s="7">
        <v>55908</v>
      </c>
      <c r="I57" s="7">
        <f t="shared" si="0"/>
        <v>-1663516</v>
      </c>
      <c r="J57" s="7"/>
    </row>
    <row r="58" spans="1:14" s="4" customFormat="1" ht="11.25" x14ac:dyDescent="0.2">
      <c r="A58" s="11">
        <v>997114</v>
      </c>
      <c r="B58" s="3" t="s">
        <v>60</v>
      </c>
      <c r="C58" s="3" t="s">
        <v>69</v>
      </c>
      <c r="D58" s="7">
        <v>311589</v>
      </c>
      <c r="E58" s="7">
        <v>151142</v>
      </c>
      <c r="F58" s="7">
        <v>94364</v>
      </c>
      <c r="G58" s="7">
        <v>40125</v>
      </c>
      <c r="H58" s="7">
        <v>58410</v>
      </c>
      <c r="I58" s="7">
        <f t="shared" ref="I58" si="3">SUM(D58:H58)</f>
        <v>655630</v>
      </c>
      <c r="J58" s="7"/>
    </row>
    <row r="59" spans="1:14" ht="11.25" x14ac:dyDescent="0.2">
      <c r="A59" s="11">
        <v>997115</v>
      </c>
      <c r="B59" s="3" t="s">
        <v>61</v>
      </c>
      <c r="C59" s="3" t="s">
        <v>69</v>
      </c>
      <c r="D59" s="7">
        <v>778866</v>
      </c>
      <c r="E59" s="7">
        <v>342779</v>
      </c>
      <c r="F59" s="7">
        <v>229489</v>
      </c>
      <c r="G59" s="7">
        <v>110152</v>
      </c>
      <c r="H59" s="7">
        <v>-157643</v>
      </c>
      <c r="I59" s="7">
        <f t="shared" ref="I59:I61" si="4">SUM(D59:H59)</f>
        <v>1303643</v>
      </c>
      <c r="J59" s="7"/>
      <c r="K59" s="4"/>
      <c r="L59" s="4"/>
      <c r="M59" s="4"/>
      <c r="N59" s="4"/>
    </row>
    <row r="60" spans="1:14" ht="11.25" x14ac:dyDescent="0.2">
      <c r="A60" s="11">
        <v>997117</v>
      </c>
      <c r="B60" s="2" t="s">
        <v>62</v>
      </c>
      <c r="C60" s="3" t="s">
        <v>69</v>
      </c>
      <c r="D60" s="7">
        <v>0</v>
      </c>
      <c r="E60" s="7">
        <v>-1428366</v>
      </c>
      <c r="F60" s="7">
        <v>0</v>
      </c>
      <c r="G60" s="7">
        <v>0</v>
      </c>
      <c r="H60" s="7">
        <v>0</v>
      </c>
      <c r="I60" s="7">
        <f t="shared" si="4"/>
        <v>-1428366</v>
      </c>
      <c r="J60" s="7"/>
    </row>
    <row r="61" spans="1:14" ht="11.25" x14ac:dyDescent="0.2">
      <c r="A61" s="11">
        <v>997118</v>
      </c>
      <c r="B61" s="2" t="s">
        <v>63</v>
      </c>
      <c r="C61" s="3" t="s">
        <v>69</v>
      </c>
      <c r="D61" s="7">
        <v>0</v>
      </c>
      <c r="E61" s="7">
        <v>0</v>
      </c>
      <c r="F61" s="7">
        <v>0</v>
      </c>
      <c r="G61" s="7">
        <v>81297</v>
      </c>
      <c r="H61" s="7">
        <v>0</v>
      </c>
      <c r="I61" s="7">
        <f t="shared" si="4"/>
        <v>81297</v>
      </c>
      <c r="J61" s="7"/>
    </row>
    <row r="62" spans="1:14" ht="11.25" x14ac:dyDescent="0.2">
      <c r="B62" s="2"/>
      <c r="D62" s="12">
        <f t="shared" ref="D62:I62" si="5">SUM(D20:D61)</f>
        <v>-23838477</v>
      </c>
      <c r="E62" s="12">
        <f t="shared" si="5"/>
        <v>-10531931.07</v>
      </c>
      <c r="F62" s="12">
        <f t="shared" si="5"/>
        <v>-30692989</v>
      </c>
      <c r="G62" s="12">
        <f t="shared" si="5"/>
        <v>-9964456</v>
      </c>
      <c r="H62" s="12">
        <f t="shared" si="5"/>
        <v>-6839801</v>
      </c>
      <c r="I62" s="12">
        <f t="shared" si="5"/>
        <v>-81867654.069999993</v>
      </c>
    </row>
    <row r="63" spans="1:14" ht="11.25" x14ac:dyDescent="0.2">
      <c r="B63" s="2"/>
      <c r="D63" s="7"/>
      <c r="E63" s="7"/>
      <c r="F63" s="7"/>
      <c r="G63" s="7"/>
      <c r="H63" s="7"/>
      <c r="I63" s="7"/>
    </row>
    <row r="64" spans="1:14" ht="11.25" x14ac:dyDescent="0.2">
      <c r="A64" s="10" t="s">
        <v>16</v>
      </c>
      <c r="B64" s="3" t="s">
        <v>65</v>
      </c>
      <c r="D64" s="7">
        <f t="shared" ref="D64:I64" si="6">SUM(D62,D18,D8)</f>
        <v>-57159876</v>
      </c>
      <c r="E64" s="7">
        <f t="shared" si="6"/>
        <v>-24926259.07</v>
      </c>
      <c r="F64" s="7">
        <f t="shared" si="6"/>
        <v>-37594758</v>
      </c>
      <c r="G64" s="7">
        <f t="shared" si="6"/>
        <v>-13548058</v>
      </c>
      <c r="H64" s="7">
        <f t="shared" si="6"/>
        <v>-14299761</v>
      </c>
      <c r="I64" s="7">
        <f t="shared" si="6"/>
        <v>-147528712.06999999</v>
      </c>
    </row>
    <row r="65" spans="1:15" ht="11.25" x14ac:dyDescent="0.2">
      <c r="B65" s="2"/>
      <c r="D65" s="7"/>
      <c r="E65" s="7"/>
      <c r="F65" s="7"/>
      <c r="G65" s="7"/>
      <c r="H65" s="7"/>
      <c r="I65" s="7"/>
    </row>
    <row r="66" spans="1:15" ht="11.25" x14ac:dyDescent="0.2">
      <c r="B66" s="2" t="s">
        <v>70</v>
      </c>
      <c r="C66" s="15">
        <v>-0.21</v>
      </c>
      <c r="D66" s="1">
        <f>D18*$C$66</f>
        <v>7263467.3999999994</v>
      </c>
      <c r="E66" s="1">
        <f>E18*$C$66</f>
        <v>3067238.1599999997</v>
      </c>
      <c r="F66" s="1">
        <f>F18*$C$66</f>
        <v>1479572.43</v>
      </c>
      <c r="G66" s="1">
        <f>G18*$C$66</f>
        <v>764068.40999999992</v>
      </c>
      <c r="H66" s="1">
        <f>H18*$C$66</f>
        <v>1584707.88</v>
      </c>
      <c r="I66" s="1">
        <f t="shared" ref="I66:I69" si="7">SUM(D66:H66)</f>
        <v>14159054.279999997</v>
      </c>
    </row>
    <row r="67" spans="1:15" ht="11.25" x14ac:dyDescent="0.2">
      <c r="B67" s="2" t="s">
        <v>78</v>
      </c>
      <c r="C67" s="15"/>
      <c r="D67" s="1">
        <f>((-2362205-3844783)*-0.21)*'Flow-Thru Detail'!N5</f>
        <v>877715.89700760006</v>
      </c>
      <c r="E67" s="1">
        <f>((-2362205-3844783)*-0.21)*'Flow-Thru Detail'!O5</f>
        <v>425751.58299239998</v>
      </c>
      <c r="F67" s="1">
        <f>((-261572-429727)*-0.21)*'Flow-Thru Detail'!P6</f>
        <v>101860.4881035</v>
      </c>
      <c r="G67" s="1">
        <f>((-261572-429727)*-0.21)*'Flow-Thru Detail'!Q6</f>
        <v>43312.301896500001</v>
      </c>
      <c r="H67" s="1">
        <f>(-117470-191542)*-0.21</f>
        <v>64892.52</v>
      </c>
      <c r="I67" s="1">
        <f t="shared" si="7"/>
        <v>1513532.79</v>
      </c>
    </row>
    <row r="68" spans="1:15" ht="11.25" x14ac:dyDescent="0.2">
      <c r="B68" s="2" t="s">
        <v>97</v>
      </c>
      <c r="D68" s="46">
        <f>'Flow-Thru Detail'!T11</f>
        <v>-4950407.7830990702</v>
      </c>
      <c r="E68" s="46">
        <f>'Flow-Thru Detail'!U11</f>
        <v>-2401282.6443020166</v>
      </c>
      <c r="F68" s="46">
        <f>'Flow-Thru Detail'!V11</f>
        <v>-989692.77049917588</v>
      </c>
      <c r="G68" s="46">
        <f>'Flow-Thru Detail'!W11</f>
        <v>-420829.24261160003</v>
      </c>
      <c r="H68" s="46">
        <f>'Flow-Thru Detail'!X11</f>
        <v>-700839.09988813382</v>
      </c>
      <c r="I68" s="46">
        <f t="shared" si="7"/>
        <v>-9463051.5403999947</v>
      </c>
      <c r="K68" s="16"/>
      <c r="L68" s="16"/>
      <c r="M68" s="16"/>
      <c r="N68" s="16"/>
      <c r="O68" s="16"/>
    </row>
    <row r="69" spans="1:15" ht="11.25" x14ac:dyDescent="0.2">
      <c r="B69" s="2" t="s">
        <v>71</v>
      </c>
      <c r="D69" s="18">
        <f>54022*'Flow-Thru Detail'!N5</f>
        <v>36376.794139999998</v>
      </c>
      <c r="E69" s="18">
        <f>54022*'Flow-Thru Detail'!O5</f>
        <v>17645.205859999998</v>
      </c>
      <c r="F69" s="18"/>
      <c r="G69" s="18"/>
      <c r="H69" s="18"/>
      <c r="I69" s="17">
        <f t="shared" si="7"/>
        <v>54022</v>
      </c>
    </row>
    <row r="70" spans="1:15" ht="11.25" x14ac:dyDescent="0.2">
      <c r="B70" s="2" t="s">
        <v>98</v>
      </c>
      <c r="D70" s="16">
        <f>SUM(D66:D69)</f>
        <v>3227152.3080485296</v>
      </c>
      <c r="E70" s="16">
        <f t="shared" ref="E70:G70" si="8">SUM(E66:E69)</f>
        <v>1109352.3045503832</v>
      </c>
      <c r="F70" s="16">
        <f t="shared" si="8"/>
        <v>591740.14760432416</v>
      </c>
      <c r="G70" s="16">
        <f t="shared" si="8"/>
        <v>386551.46928489994</v>
      </c>
      <c r="H70" s="16">
        <f>SUM(H66:H69)</f>
        <v>948761.30011186609</v>
      </c>
      <c r="I70" s="19">
        <f>SUM(D70:H70)</f>
        <v>6263557.5296000019</v>
      </c>
    </row>
    <row r="71" spans="1:15" ht="11.25" x14ac:dyDescent="0.2">
      <c r="B71" s="2" t="s">
        <v>77</v>
      </c>
      <c r="C71" s="15">
        <v>-0.21</v>
      </c>
      <c r="D71" s="1">
        <f>(D62*$C$71)-(293523-176039)+(3683-1178)</f>
        <v>4891101.17</v>
      </c>
      <c r="E71" s="1">
        <f>E62*$C$71</f>
        <v>2211705.5247</v>
      </c>
      <c r="F71" s="1">
        <f>F62*$C$71</f>
        <v>6445527.6899999995</v>
      </c>
      <c r="G71" s="1">
        <f>G62*$C$71</f>
        <v>2092535.76</v>
      </c>
      <c r="H71" s="1">
        <f>H62*$C$71</f>
        <v>1436358.21</v>
      </c>
      <c r="I71" s="1">
        <f>SUM(D71:H71)</f>
        <v>17077228.354699999</v>
      </c>
      <c r="L71" s="2"/>
    </row>
    <row r="72" spans="1:15" ht="11.25" x14ac:dyDescent="0.2">
      <c r="B72" s="2" t="s">
        <v>72</v>
      </c>
      <c r="D72" s="1">
        <f>(D22+D25)*-(0.35-0.21)</f>
        <v>0</v>
      </c>
      <c r="F72" s="7">
        <v>-651196</v>
      </c>
      <c r="G72" s="7">
        <v>41610</v>
      </c>
      <c r="H72" s="7">
        <v>-148968</v>
      </c>
      <c r="I72" s="7">
        <f>SUM(D72:H72)</f>
        <v>-758554</v>
      </c>
    </row>
    <row r="73" spans="1:15" ht="12" thickBot="1" x14ac:dyDescent="0.25">
      <c r="B73" s="2" t="s">
        <v>73</v>
      </c>
      <c r="D73" s="20">
        <f>SUM(D70,D72,D71)</f>
        <v>8118253.4780485295</v>
      </c>
      <c r="E73" s="20">
        <f>SUM(E70,E72,E71)</f>
        <v>3321057.8292503832</v>
      </c>
      <c r="F73" s="20">
        <f>SUM(F70,F72,F71)</f>
        <v>6386071.8376043234</v>
      </c>
      <c r="G73" s="20">
        <f>SUM(G70,G72,G71)</f>
        <v>2520697.2292848998</v>
      </c>
      <c r="H73" s="20">
        <f>SUM(H70,H72,H71)</f>
        <v>2236151.5101118661</v>
      </c>
      <c r="I73" s="20">
        <f>SUM(D73:H73)</f>
        <v>22582231.884300001</v>
      </c>
    </row>
    <row r="74" spans="1:15" ht="11.25" x14ac:dyDescent="0.2">
      <c r="B74" s="2"/>
    </row>
    <row r="75" spans="1:15" ht="11.25" x14ac:dyDescent="0.2">
      <c r="B75" s="2" t="s">
        <v>74</v>
      </c>
      <c r="D75" s="27">
        <f>D83</f>
        <v>7830166</v>
      </c>
      <c r="E75" s="27">
        <f t="shared" ref="E75:H75" si="9">E83</f>
        <v>3631221</v>
      </c>
      <c r="F75" s="27">
        <f t="shared" si="9"/>
        <v>6500601</v>
      </c>
      <c r="G75" s="27">
        <f t="shared" si="9"/>
        <v>2434408</v>
      </c>
      <c r="H75" s="27">
        <f t="shared" si="9"/>
        <v>2248418</v>
      </c>
      <c r="I75" s="1">
        <f>SUM(D75:H75)</f>
        <v>22644814</v>
      </c>
    </row>
    <row r="76" spans="1:15" ht="11.25" x14ac:dyDescent="0.2">
      <c r="B76" s="2"/>
      <c r="D76" s="28"/>
      <c r="E76" s="28"/>
      <c r="F76" s="28"/>
      <c r="G76" s="28"/>
      <c r="H76" s="28"/>
    </row>
    <row r="77" spans="1:15" ht="11.25" x14ac:dyDescent="0.2">
      <c r="B77" s="2" t="s">
        <v>75</v>
      </c>
      <c r="D77" s="29">
        <f>D75-ROUND(D73,0)</f>
        <v>-288087</v>
      </c>
      <c r="E77" s="29">
        <f t="shared" ref="E77:H77" si="10">E75-ROUND(E73,0)</f>
        <v>310163</v>
      </c>
      <c r="F77" s="29">
        <f t="shared" si="10"/>
        <v>114529</v>
      </c>
      <c r="G77" s="29">
        <f t="shared" si="10"/>
        <v>-86289</v>
      </c>
      <c r="H77" s="29">
        <f t="shared" si="10"/>
        <v>12266</v>
      </c>
      <c r="I77" s="7">
        <f>SUM(D77:H77)</f>
        <v>62582</v>
      </c>
    </row>
    <row r="78" spans="1:15" ht="11.25" x14ac:dyDescent="0.2">
      <c r="B78" s="2" t="s">
        <v>76</v>
      </c>
      <c r="D78" s="7"/>
      <c r="E78" s="7"/>
      <c r="F78" s="7"/>
      <c r="G78" s="7"/>
      <c r="H78" s="7"/>
      <c r="I78" s="7"/>
    </row>
    <row r="79" spans="1:15" ht="11.25" x14ac:dyDescent="0.2">
      <c r="B79" s="2"/>
      <c r="D79" s="7"/>
      <c r="E79" s="7"/>
      <c r="F79" s="7"/>
      <c r="G79" s="7"/>
      <c r="H79" s="7"/>
      <c r="I79" s="7"/>
    </row>
    <row r="80" spans="1:15" ht="11.25" x14ac:dyDescent="0.2">
      <c r="A80" s="10" t="s">
        <v>17</v>
      </c>
      <c r="B80" s="2" t="s">
        <v>66</v>
      </c>
      <c r="C80" s="5"/>
      <c r="D80" s="7"/>
      <c r="E80" s="7"/>
      <c r="F80" s="7"/>
      <c r="G80" s="7"/>
      <c r="H80" s="7"/>
      <c r="I80" s="7"/>
    </row>
    <row r="81" spans="1:9" s="4" customFormat="1" ht="11.25" x14ac:dyDescent="0.2">
      <c r="A81" s="11">
        <v>410100</v>
      </c>
      <c r="B81" s="3" t="s">
        <v>67</v>
      </c>
      <c r="C81" s="3"/>
      <c r="D81" s="7">
        <v>8434736</v>
      </c>
      <c r="E81" s="7">
        <v>3823861</v>
      </c>
      <c r="F81" s="7">
        <v>6604530</v>
      </c>
      <c r="G81" s="7">
        <v>2451377</v>
      </c>
      <c r="H81" s="7">
        <v>2224589</v>
      </c>
      <c r="I81" s="7">
        <v>23597942.289999999</v>
      </c>
    </row>
    <row r="82" spans="1:9" s="4" customFormat="1" ht="11.25" x14ac:dyDescent="0.2">
      <c r="A82" s="11">
        <v>411100</v>
      </c>
      <c r="B82" s="3" t="s">
        <v>67</v>
      </c>
      <c r="C82" s="3"/>
      <c r="D82" s="7">
        <v>-604570</v>
      </c>
      <c r="E82" s="7">
        <v>-192640</v>
      </c>
      <c r="F82" s="7">
        <v>-103929</v>
      </c>
      <c r="G82" s="7">
        <v>-16969</v>
      </c>
      <c r="H82" s="7">
        <v>23829</v>
      </c>
      <c r="I82" s="7">
        <v>-894278.47</v>
      </c>
    </row>
    <row r="83" spans="1:9" s="4" customFormat="1" ht="11.25" x14ac:dyDescent="0.2">
      <c r="A83" s="10" t="s">
        <v>18</v>
      </c>
      <c r="B83" s="3" t="s">
        <v>67</v>
      </c>
      <c r="C83" s="6"/>
      <c r="D83" s="8">
        <v>7830166</v>
      </c>
      <c r="E83" s="8">
        <v>3631221</v>
      </c>
      <c r="F83" s="8">
        <v>6500601</v>
      </c>
      <c r="G83" s="8">
        <v>2434408</v>
      </c>
      <c r="H83" s="8">
        <v>2248418</v>
      </c>
      <c r="I83" s="8">
        <v>22703663.82</v>
      </c>
    </row>
    <row r="84" spans="1:9" ht="11.25" x14ac:dyDescent="0.2">
      <c r="B84" s="2"/>
    </row>
    <row r="85" spans="1:9" ht="11.25" x14ac:dyDescent="0.2">
      <c r="B85" s="2"/>
    </row>
    <row r="86" spans="1:9" ht="11.25" x14ac:dyDescent="0.2">
      <c r="B86" s="2"/>
    </row>
    <row r="87" spans="1:9" ht="11.25" x14ac:dyDescent="0.2">
      <c r="B87" s="2"/>
    </row>
    <row r="88" spans="1:9" ht="11.25" x14ac:dyDescent="0.2">
      <c r="B88" s="2"/>
    </row>
    <row r="89" spans="1:9" ht="11.25" x14ac:dyDescent="0.2">
      <c r="B89" s="2"/>
    </row>
    <row r="90" spans="1:9" ht="11.25" x14ac:dyDescent="0.2">
      <c r="B90" s="2"/>
    </row>
    <row r="91" spans="1:9" ht="11.25" x14ac:dyDescent="0.2">
      <c r="B91" s="2"/>
    </row>
    <row r="92" spans="1:9" ht="11.25" x14ac:dyDescent="0.2">
      <c r="B92" s="2"/>
    </row>
    <row r="93" spans="1:9" ht="11.25" x14ac:dyDescent="0.2">
      <c r="B93" s="2"/>
    </row>
    <row r="94" spans="1:9" ht="11.25" x14ac:dyDescent="0.2">
      <c r="B94" s="2"/>
    </row>
    <row r="95" spans="1:9" ht="11.25" x14ac:dyDescent="0.2">
      <c r="B95" s="2"/>
    </row>
    <row r="96" spans="1:9" ht="11.25" x14ac:dyDescent="0.2">
      <c r="B96" s="2"/>
    </row>
    <row r="97" spans="2:2" ht="11.25" x14ac:dyDescent="0.2">
      <c r="B97" s="2"/>
    </row>
    <row r="98" spans="2:2" ht="11.25" x14ac:dyDescent="0.2">
      <c r="B98" s="2"/>
    </row>
    <row r="99" spans="2:2" ht="11.25" x14ac:dyDescent="0.2">
      <c r="B99" s="2"/>
    </row>
    <row r="100" spans="2:2" ht="11.25" x14ac:dyDescent="0.2">
      <c r="B100" s="2"/>
    </row>
    <row r="101" spans="2:2" ht="11.25" x14ac:dyDescent="0.2">
      <c r="B101" s="2"/>
    </row>
    <row r="102" spans="2:2" ht="11.25" x14ac:dyDescent="0.2">
      <c r="B102" s="2"/>
    </row>
    <row r="103" spans="2:2" ht="11.25" x14ac:dyDescent="0.2">
      <c r="B103" s="2"/>
    </row>
    <row r="104" spans="2:2" ht="11.25" x14ac:dyDescent="0.2">
      <c r="B104" s="2"/>
    </row>
    <row r="105" spans="2:2" ht="11.25" x14ac:dyDescent="0.2">
      <c r="B105" s="2"/>
    </row>
    <row r="106" spans="2:2" ht="11.25" x14ac:dyDescent="0.2">
      <c r="B106" s="2"/>
    </row>
    <row r="107" spans="2:2" ht="11.25" x14ac:dyDescent="0.2">
      <c r="B107" s="2"/>
    </row>
    <row r="108" spans="2:2" ht="11.25" x14ac:dyDescent="0.2">
      <c r="B108" s="2"/>
    </row>
    <row r="109" spans="2:2" ht="11.25" x14ac:dyDescent="0.2">
      <c r="B109" s="2"/>
    </row>
    <row r="110" spans="2:2" ht="11.25" x14ac:dyDescent="0.2">
      <c r="B110" s="2"/>
    </row>
    <row r="111" spans="2:2" ht="11.25" x14ac:dyDescent="0.2">
      <c r="B111" s="2"/>
    </row>
    <row r="112" spans="2:2" ht="11.25" x14ac:dyDescent="0.2">
      <c r="B112" s="2"/>
    </row>
    <row r="113" spans="2:2" ht="11.25" x14ac:dyDescent="0.2">
      <c r="B113" s="2"/>
    </row>
    <row r="114" spans="2:2" ht="11.25" x14ac:dyDescent="0.2">
      <c r="B114" s="2"/>
    </row>
    <row r="115" spans="2:2" ht="11.25" x14ac:dyDescent="0.2">
      <c r="B115" s="2"/>
    </row>
    <row r="116" spans="2:2" ht="11.25" x14ac:dyDescent="0.2">
      <c r="B116" s="2"/>
    </row>
    <row r="117" spans="2:2" ht="11.25" x14ac:dyDescent="0.2">
      <c r="B117" s="2"/>
    </row>
    <row r="118" spans="2:2" ht="11.25" x14ac:dyDescent="0.2">
      <c r="B118" s="2"/>
    </row>
    <row r="119" spans="2:2" ht="11.25" x14ac:dyDescent="0.2">
      <c r="B119" s="2"/>
    </row>
    <row r="120" spans="2:2" ht="11.25" x14ac:dyDescent="0.2">
      <c r="B120" s="2"/>
    </row>
    <row r="121" spans="2:2" ht="11.25" x14ac:dyDescent="0.2">
      <c r="B121" s="2"/>
    </row>
    <row r="122" spans="2:2" ht="11.25" x14ac:dyDescent="0.2">
      <c r="B122" s="2"/>
    </row>
    <row r="123" spans="2:2" ht="11.25" x14ac:dyDescent="0.2">
      <c r="B123" s="2"/>
    </row>
    <row r="124" spans="2:2" ht="11.25" x14ac:dyDescent="0.2">
      <c r="B124" s="2"/>
    </row>
    <row r="125" spans="2:2" ht="11.25" x14ac:dyDescent="0.2">
      <c r="B125" s="2"/>
    </row>
    <row r="126" spans="2:2" ht="11.25" x14ac:dyDescent="0.2">
      <c r="B126" s="2"/>
    </row>
    <row r="127" spans="2:2" ht="11.25" x14ac:dyDescent="0.2">
      <c r="B127" s="2"/>
    </row>
    <row r="128" spans="2:2" ht="11.25" x14ac:dyDescent="0.2">
      <c r="B128" s="2"/>
    </row>
    <row r="129" spans="2:2" ht="11.25" x14ac:dyDescent="0.2">
      <c r="B129" s="2"/>
    </row>
    <row r="130" spans="2:2" ht="11.25" x14ac:dyDescent="0.2">
      <c r="B130" s="2"/>
    </row>
    <row r="131" spans="2:2" ht="11.25" x14ac:dyDescent="0.2">
      <c r="B131" s="2"/>
    </row>
    <row r="132" spans="2:2" ht="11.25" x14ac:dyDescent="0.2">
      <c r="B132" s="2"/>
    </row>
    <row r="133" spans="2:2" ht="11.25" x14ac:dyDescent="0.2">
      <c r="B133" s="2"/>
    </row>
    <row r="134" spans="2:2" ht="11.25" x14ac:dyDescent="0.2">
      <c r="B134" s="2"/>
    </row>
    <row r="135" spans="2:2" ht="11.25" x14ac:dyDescent="0.2">
      <c r="B135" s="2"/>
    </row>
    <row r="136" spans="2:2" ht="11.25" x14ac:dyDescent="0.2">
      <c r="B136" s="2"/>
    </row>
    <row r="137" spans="2:2" ht="11.25" x14ac:dyDescent="0.2">
      <c r="B137" s="2"/>
    </row>
    <row r="138" spans="2:2" ht="11.25" x14ac:dyDescent="0.2">
      <c r="B138" s="2"/>
    </row>
    <row r="139" spans="2:2" ht="11.25" x14ac:dyDescent="0.2">
      <c r="B139" s="2"/>
    </row>
    <row r="140" spans="2:2" ht="11.25" x14ac:dyDescent="0.2">
      <c r="B140" s="2"/>
    </row>
    <row r="141" spans="2:2" ht="11.25" x14ac:dyDescent="0.2">
      <c r="B141" s="2"/>
    </row>
    <row r="142" spans="2:2" ht="11.25" x14ac:dyDescent="0.2">
      <c r="B142" s="2"/>
    </row>
    <row r="143" spans="2:2" ht="11.25" x14ac:dyDescent="0.2">
      <c r="B143" s="2"/>
    </row>
    <row r="144" spans="2:2" ht="11.25" x14ac:dyDescent="0.2">
      <c r="B144" s="2"/>
    </row>
    <row r="145" spans="2:2" ht="11.25" x14ac:dyDescent="0.2">
      <c r="B145" s="2"/>
    </row>
    <row r="146" spans="2:2" ht="11.25" x14ac:dyDescent="0.2">
      <c r="B146" s="2"/>
    </row>
    <row r="147" spans="2:2" ht="11.25" x14ac:dyDescent="0.2">
      <c r="B147" s="2"/>
    </row>
    <row r="148" spans="2:2" ht="11.25" x14ac:dyDescent="0.2">
      <c r="B148" s="2"/>
    </row>
    <row r="149" spans="2:2" ht="11.25" x14ac:dyDescent="0.2">
      <c r="B149" s="2"/>
    </row>
    <row r="150" spans="2:2" ht="11.25" x14ac:dyDescent="0.2">
      <c r="B150" s="2"/>
    </row>
    <row r="151" spans="2:2" ht="11.25" x14ac:dyDescent="0.2">
      <c r="B151" s="2"/>
    </row>
    <row r="152" spans="2:2" ht="11.25" x14ac:dyDescent="0.2">
      <c r="B152" s="2"/>
    </row>
    <row r="153" spans="2:2" ht="11.25" x14ac:dyDescent="0.2">
      <c r="B153" s="2"/>
    </row>
    <row r="154" spans="2:2" ht="11.25" x14ac:dyDescent="0.2">
      <c r="B154" s="2"/>
    </row>
    <row r="155" spans="2:2" ht="11.25" x14ac:dyDescent="0.2">
      <c r="B155" s="2"/>
    </row>
    <row r="156" spans="2:2" ht="11.25" x14ac:dyDescent="0.2">
      <c r="B156" s="2"/>
    </row>
    <row r="157" spans="2:2" ht="11.25" x14ac:dyDescent="0.2">
      <c r="B157" s="2"/>
    </row>
    <row r="158" spans="2:2" ht="11.25" x14ac:dyDescent="0.2">
      <c r="B158" s="2"/>
    </row>
    <row r="159" spans="2:2" ht="11.25" x14ac:dyDescent="0.2">
      <c r="B159" s="2"/>
    </row>
    <row r="160" spans="2:2" ht="11.25" x14ac:dyDescent="0.2">
      <c r="B160" s="2"/>
    </row>
    <row r="161" spans="2:2" ht="11.25" x14ac:dyDescent="0.2">
      <c r="B161" s="2"/>
    </row>
    <row r="162" spans="2:2" ht="11.25" x14ac:dyDescent="0.2">
      <c r="B162" s="2"/>
    </row>
    <row r="163" spans="2:2" ht="11.25" x14ac:dyDescent="0.2">
      <c r="B163" s="2"/>
    </row>
    <row r="164" spans="2:2" ht="11.25" x14ac:dyDescent="0.2">
      <c r="B164" s="2"/>
    </row>
    <row r="165" spans="2:2" ht="11.25" x14ac:dyDescent="0.2">
      <c r="B165" s="2"/>
    </row>
    <row r="166" spans="2:2" ht="11.25" x14ac:dyDescent="0.2">
      <c r="B166" s="2"/>
    </row>
    <row r="167" spans="2:2" ht="11.25" x14ac:dyDescent="0.2">
      <c r="B167" s="2"/>
    </row>
    <row r="168" spans="2:2" ht="11.25" x14ac:dyDescent="0.2">
      <c r="B168" s="2"/>
    </row>
    <row r="169" spans="2:2" ht="11.25" x14ac:dyDescent="0.2">
      <c r="B169" s="2"/>
    </row>
    <row r="170" spans="2:2" ht="11.25" x14ac:dyDescent="0.2">
      <c r="B170" s="2"/>
    </row>
    <row r="171" spans="2:2" ht="11.25" x14ac:dyDescent="0.2">
      <c r="B171" s="2"/>
    </row>
    <row r="172" spans="2:2" ht="11.25" x14ac:dyDescent="0.2">
      <c r="B172" s="2"/>
    </row>
    <row r="173" spans="2:2" ht="11.25" x14ac:dyDescent="0.2">
      <c r="B173" s="2"/>
    </row>
    <row r="174" spans="2:2" ht="11.25" x14ac:dyDescent="0.2">
      <c r="B174" s="2"/>
    </row>
    <row r="175" spans="2:2" ht="11.25" x14ac:dyDescent="0.2">
      <c r="B175" s="2"/>
    </row>
    <row r="176" spans="2:2" ht="11.25" x14ac:dyDescent="0.2">
      <c r="B176" s="2"/>
    </row>
    <row r="177" spans="2:2" ht="11.25" x14ac:dyDescent="0.2">
      <c r="B177" s="2"/>
    </row>
    <row r="178" spans="2:2" ht="11.25" x14ac:dyDescent="0.2">
      <c r="B178" s="2"/>
    </row>
    <row r="179" spans="2:2" ht="11.25" x14ac:dyDescent="0.2">
      <c r="B179" s="2"/>
    </row>
    <row r="180" spans="2:2" ht="11.25" x14ac:dyDescent="0.2">
      <c r="B180" s="2"/>
    </row>
    <row r="181" spans="2:2" ht="11.25" x14ac:dyDescent="0.2">
      <c r="B181" s="2"/>
    </row>
    <row r="182" spans="2:2" ht="11.25" x14ac:dyDescent="0.2">
      <c r="B182" s="2"/>
    </row>
    <row r="183" spans="2:2" ht="11.25" x14ac:dyDescent="0.2">
      <c r="B183" s="2"/>
    </row>
    <row r="184" spans="2:2" ht="11.25" x14ac:dyDescent="0.2">
      <c r="B184" s="2"/>
    </row>
    <row r="185" spans="2:2" ht="11.25" x14ac:dyDescent="0.2">
      <c r="B185" s="2"/>
    </row>
    <row r="186" spans="2:2" ht="11.25" x14ac:dyDescent="0.2">
      <c r="B186" s="2"/>
    </row>
    <row r="187" spans="2:2" ht="11.25" x14ac:dyDescent="0.2">
      <c r="B187" s="2"/>
    </row>
    <row r="188" spans="2:2" ht="11.25" x14ac:dyDescent="0.2">
      <c r="B188" s="2"/>
    </row>
    <row r="189" spans="2:2" ht="11.25" x14ac:dyDescent="0.2">
      <c r="B189" s="2"/>
    </row>
    <row r="190" spans="2:2" ht="11.25" x14ac:dyDescent="0.2">
      <c r="B190" s="2"/>
    </row>
    <row r="191" spans="2:2" ht="11.25" x14ac:dyDescent="0.2">
      <c r="B191" s="2"/>
    </row>
    <row r="192" spans="2:2" ht="11.25" x14ac:dyDescent="0.2">
      <c r="B192" s="2"/>
    </row>
    <row r="193" spans="2:2" ht="11.25" x14ac:dyDescent="0.2">
      <c r="B193" s="2"/>
    </row>
    <row r="194" spans="2:2" ht="11.25" x14ac:dyDescent="0.2">
      <c r="B194" s="2"/>
    </row>
    <row r="195" spans="2:2" ht="11.25" x14ac:dyDescent="0.2">
      <c r="B195" s="2"/>
    </row>
    <row r="196" spans="2:2" ht="11.25" x14ac:dyDescent="0.2">
      <c r="B196" s="2"/>
    </row>
    <row r="197" spans="2:2" ht="11.25" x14ac:dyDescent="0.2">
      <c r="B197" s="2"/>
    </row>
    <row r="198" spans="2:2" ht="11.25" x14ac:dyDescent="0.2">
      <c r="B198" s="2"/>
    </row>
    <row r="199" spans="2:2" ht="11.25" x14ac:dyDescent="0.2">
      <c r="B199" s="2"/>
    </row>
    <row r="200" spans="2:2" ht="11.25" x14ac:dyDescent="0.2">
      <c r="B200" s="2"/>
    </row>
    <row r="201" spans="2:2" ht="11.25" x14ac:dyDescent="0.2">
      <c r="B201" s="2"/>
    </row>
    <row r="202" spans="2:2" ht="11.25" x14ac:dyDescent="0.2">
      <c r="B202" s="2"/>
    </row>
    <row r="203" spans="2:2" ht="11.25" x14ac:dyDescent="0.2">
      <c r="B203" s="2"/>
    </row>
    <row r="204" spans="2:2" ht="11.25" x14ac:dyDescent="0.2">
      <c r="B204" s="2"/>
    </row>
    <row r="205" spans="2:2" ht="11.25" x14ac:dyDescent="0.2">
      <c r="B205" s="2"/>
    </row>
    <row r="206" spans="2:2" ht="11.25" x14ac:dyDescent="0.2">
      <c r="B206" s="2"/>
    </row>
    <row r="207" spans="2:2" ht="11.25" x14ac:dyDescent="0.2">
      <c r="B207" s="2"/>
    </row>
    <row r="208" spans="2:2" ht="11.25" x14ac:dyDescent="0.2">
      <c r="B208" s="2"/>
    </row>
    <row r="209" spans="2:2" ht="11.25" x14ac:dyDescent="0.2">
      <c r="B209" s="2"/>
    </row>
    <row r="210" spans="2:2" ht="11.25" x14ac:dyDescent="0.2">
      <c r="B210" s="2"/>
    </row>
    <row r="211" spans="2:2" ht="11.25" x14ac:dyDescent="0.2">
      <c r="B211" s="2"/>
    </row>
    <row r="212" spans="2:2" ht="11.25" x14ac:dyDescent="0.2">
      <c r="B212" s="2"/>
    </row>
    <row r="213" spans="2:2" ht="11.25" x14ac:dyDescent="0.2">
      <c r="B213" s="2"/>
    </row>
    <row r="214" spans="2:2" ht="11.25" x14ac:dyDescent="0.2">
      <c r="B214" s="2"/>
    </row>
    <row r="215" spans="2:2" ht="11.25" x14ac:dyDescent="0.2">
      <c r="B215" s="2"/>
    </row>
    <row r="216" spans="2:2" ht="11.25" x14ac:dyDescent="0.2">
      <c r="B216" s="2"/>
    </row>
    <row r="217" spans="2:2" ht="11.25" x14ac:dyDescent="0.2">
      <c r="B217" s="2"/>
    </row>
    <row r="218" spans="2:2" ht="11.25" x14ac:dyDescent="0.2">
      <c r="B218" s="2"/>
    </row>
    <row r="219" spans="2:2" ht="11.25" x14ac:dyDescent="0.2">
      <c r="B219" s="2"/>
    </row>
    <row r="220" spans="2:2" ht="11.25" x14ac:dyDescent="0.2">
      <c r="B220" s="2"/>
    </row>
    <row r="221" spans="2:2" ht="11.25" x14ac:dyDescent="0.2">
      <c r="B221" s="2"/>
    </row>
    <row r="222" spans="2:2" ht="11.25" x14ac:dyDescent="0.2">
      <c r="B222" s="2"/>
    </row>
    <row r="223" spans="2:2" ht="11.25" x14ac:dyDescent="0.2">
      <c r="B223" s="2"/>
    </row>
    <row r="224" spans="2:2" ht="11.25" x14ac:dyDescent="0.2">
      <c r="B224" s="2"/>
    </row>
    <row r="225" spans="2:2" ht="11.25" x14ac:dyDescent="0.2">
      <c r="B225" s="2"/>
    </row>
    <row r="226" spans="2:2" ht="11.25" x14ac:dyDescent="0.2">
      <c r="B226" s="2"/>
    </row>
    <row r="227" spans="2:2" ht="11.25" x14ac:dyDescent="0.2">
      <c r="B227" s="2"/>
    </row>
    <row r="228" spans="2:2" ht="11.25" x14ac:dyDescent="0.2">
      <c r="B228" s="2"/>
    </row>
    <row r="229" spans="2:2" ht="11.25" x14ac:dyDescent="0.2">
      <c r="B229" s="2"/>
    </row>
    <row r="230" spans="2:2" ht="11.25" x14ac:dyDescent="0.2">
      <c r="B230" s="2"/>
    </row>
    <row r="231" spans="2:2" ht="11.25" x14ac:dyDescent="0.2">
      <c r="B231" s="2"/>
    </row>
    <row r="232" spans="2:2" ht="11.25" x14ac:dyDescent="0.2">
      <c r="B232" s="2"/>
    </row>
    <row r="233" spans="2:2" ht="11.25" x14ac:dyDescent="0.2">
      <c r="B233" s="2"/>
    </row>
    <row r="234" spans="2:2" ht="11.25" x14ac:dyDescent="0.2">
      <c r="B234" s="2"/>
    </row>
    <row r="235" spans="2:2" ht="11.25" x14ac:dyDescent="0.2">
      <c r="B235" s="2"/>
    </row>
    <row r="236" spans="2:2" ht="11.25" x14ac:dyDescent="0.2">
      <c r="B236" s="2"/>
    </row>
    <row r="237" spans="2:2" ht="11.25" x14ac:dyDescent="0.2">
      <c r="B237" s="2"/>
    </row>
    <row r="238" spans="2:2" ht="11.25" x14ac:dyDescent="0.2">
      <c r="B238" s="2"/>
    </row>
    <row r="239" spans="2:2" ht="11.25" x14ac:dyDescent="0.2">
      <c r="B239" s="2"/>
    </row>
    <row r="240" spans="2:2" ht="11.25" x14ac:dyDescent="0.2">
      <c r="B240" s="2"/>
    </row>
    <row r="241" spans="2:2" ht="11.25" x14ac:dyDescent="0.2">
      <c r="B241" s="2"/>
    </row>
    <row r="242" spans="2:2" ht="11.25" x14ac:dyDescent="0.2">
      <c r="B242" s="2"/>
    </row>
    <row r="243" spans="2:2" ht="11.25" x14ac:dyDescent="0.2">
      <c r="B243" s="2"/>
    </row>
    <row r="244" spans="2:2" ht="11.25" x14ac:dyDescent="0.2">
      <c r="B244" s="2"/>
    </row>
    <row r="245" spans="2:2" ht="11.25" x14ac:dyDescent="0.2">
      <c r="B245" s="2"/>
    </row>
    <row r="246" spans="2:2" ht="11.25" x14ac:dyDescent="0.2">
      <c r="B246" s="2"/>
    </row>
    <row r="247" spans="2:2" ht="11.25" x14ac:dyDescent="0.2">
      <c r="B247" s="2"/>
    </row>
    <row r="248" spans="2:2" ht="11.25" x14ac:dyDescent="0.2">
      <c r="B248" s="2"/>
    </row>
    <row r="249" spans="2:2" ht="11.25" x14ac:dyDescent="0.2">
      <c r="B249" s="2"/>
    </row>
    <row r="250" spans="2:2" ht="11.25" x14ac:dyDescent="0.2">
      <c r="B250" s="2"/>
    </row>
    <row r="251" spans="2:2" ht="11.25" x14ac:dyDescent="0.2">
      <c r="B251" s="2"/>
    </row>
    <row r="252" spans="2:2" ht="11.25" x14ac:dyDescent="0.2">
      <c r="B252" s="2"/>
    </row>
    <row r="253" spans="2:2" ht="11.25" x14ac:dyDescent="0.2">
      <c r="B253" s="2"/>
    </row>
    <row r="254" spans="2:2" ht="11.25" x14ac:dyDescent="0.2">
      <c r="B254" s="2"/>
    </row>
    <row r="255" spans="2:2" ht="11.25" x14ac:dyDescent="0.2">
      <c r="B255" s="2"/>
    </row>
    <row r="256" spans="2:2" ht="11.25" x14ac:dyDescent="0.2">
      <c r="B256" s="2"/>
    </row>
    <row r="257" spans="2:2" ht="11.25" x14ac:dyDescent="0.2">
      <c r="B257" s="2"/>
    </row>
    <row r="258" spans="2:2" ht="11.25" x14ac:dyDescent="0.2">
      <c r="B258" s="2"/>
    </row>
    <row r="259" spans="2:2" ht="11.25" x14ac:dyDescent="0.2">
      <c r="B259" s="2"/>
    </row>
    <row r="260" spans="2:2" ht="11.25" x14ac:dyDescent="0.2">
      <c r="B260" s="2"/>
    </row>
    <row r="261" spans="2:2" ht="11.25" x14ac:dyDescent="0.2">
      <c r="B261" s="2"/>
    </row>
    <row r="262" spans="2:2" ht="11.25" x14ac:dyDescent="0.2">
      <c r="B262" s="2"/>
    </row>
    <row r="263" spans="2:2" ht="11.25" x14ac:dyDescent="0.2">
      <c r="B263" s="2"/>
    </row>
    <row r="264" spans="2:2" ht="11.25" x14ac:dyDescent="0.2">
      <c r="B264" s="2"/>
    </row>
    <row r="265" spans="2:2" ht="11.25" x14ac:dyDescent="0.2">
      <c r="B265" s="2"/>
    </row>
    <row r="266" spans="2:2" ht="11.25" x14ac:dyDescent="0.2">
      <c r="B266" s="2"/>
    </row>
    <row r="267" spans="2:2" ht="11.25" x14ac:dyDescent="0.2">
      <c r="B267" s="2"/>
    </row>
    <row r="268" spans="2:2" ht="11.25" x14ac:dyDescent="0.2">
      <c r="B268" s="2"/>
    </row>
    <row r="269" spans="2:2" ht="11.25" x14ac:dyDescent="0.2">
      <c r="B269" s="2"/>
    </row>
    <row r="270" spans="2:2" ht="11.25" x14ac:dyDescent="0.2">
      <c r="B270" s="2"/>
    </row>
    <row r="271" spans="2:2" ht="11.25" x14ac:dyDescent="0.2">
      <c r="B271" s="2"/>
    </row>
    <row r="272" spans="2:2" ht="11.25" x14ac:dyDescent="0.2">
      <c r="B272" s="2"/>
    </row>
    <row r="273" spans="2:2" ht="11.25" x14ac:dyDescent="0.2">
      <c r="B273" s="2"/>
    </row>
    <row r="274" spans="2:2" ht="11.25" x14ac:dyDescent="0.2">
      <c r="B274" s="2"/>
    </row>
    <row r="275" spans="2:2" ht="11.25" x14ac:dyDescent="0.2">
      <c r="B275" s="2"/>
    </row>
    <row r="276" spans="2:2" ht="11.25" x14ac:dyDescent="0.2">
      <c r="B276" s="2"/>
    </row>
    <row r="277" spans="2:2" ht="11.25" x14ac:dyDescent="0.2">
      <c r="B277" s="2"/>
    </row>
    <row r="278" spans="2:2" ht="11.25" x14ac:dyDescent="0.2">
      <c r="B278" s="2"/>
    </row>
    <row r="279" spans="2:2" ht="11.25" x14ac:dyDescent="0.2">
      <c r="B279" s="2"/>
    </row>
    <row r="280" spans="2:2" ht="11.25" x14ac:dyDescent="0.2">
      <c r="B280" s="2"/>
    </row>
    <row r="281" spans="2:2" ht="11.25" x14ac:dyDescent="0.2">
      <c r="B281" s="2"/>
    </row>
    <row r="282" spans="2:2" ht="11.25" x14ac:dyDescent="0.2">
      <c r="B282" s="2"/>
    </row>
    <row r="283" spans="2:2" ht="11.25" x14ac:dyDescent="0.2">
      <c r="B283" s="2"/>
    </row>
    <row r="284" spans="2:2" ht="11.25" x14ac:dyDescent="0.2">
      <c r="B284" s="2"/>
    </row>
    <row r="285" spans="2:2" ht="11.25" x14ac:dyDescent="0.2">
      <c r="B285" s="2"/>
    </row>
    <row r="286" spans="2:2" ht="11.25" x14ac:dyDescent="0.2">
      <c r="B286" s="2"/>
    </row>
    <row r="287" spans="2:2" ht="11.25" x14ac:dyDescent="0.2">
      <c r="B287" s="2"/>
    </row>
    <row r="288" spans="2:2" ht="11.25" x14ac:dyDescent="0.2">
      <c r="B288" s="2"/>
    </row>
    <row r="289" spans="2:2" ht="11.25" x14ac:dyDescent="0.2">
      <c r="B289" s="2"/>
    </row>
    <row r="290" spans="2:2" ht="11.25" x14ac:dyDescent="0.2">
      <c r="B290" s="2"/>
    </row>
    <row r="291" spans="2:2" ht="11.25" x14ac:dyDescent="0.2">
      <c r="B291" s="2"/>
    </row>
    <row r="292" spans="2:2" ht="11.25" x14ac:dyDescent="0.2">
      <c r="B292" s="2"/>
    </row>
    <row r="293" spans="2:2" ht="11.25" x14ac:dyDescent="0.2">
      <c r="B293" s="2"/>
    </row>
    <row r="294" spans="2:2" ht="11.25" x14ac:dyDescent="0.2">
      <c r="B294" s="2"/>
    </row>
    <row r="295" spans="2:2" ht="11.25" x14ac:dyDescent="0.2">
      <c r="B295" s="2"/>
    </row>
    <row r="296" spans="2:2" ht="11.25" x14ac:dyDescent="0.2">
      <c r="B296" s="2"/>
    </row>
    <row r="297" spans="2:2" ht="11.25" x14ac:dyDescent="0.2">
      <c r="B297" s="2"/>
    </row>
    <row r="298" spans="2:2" ht="11.25" x14ac:dyDescent="0.2">
      <c r="B298" s="2"/>
    </row>
    <row r="299" spans="2:2" ht="11.25" x14ac:dyDescent="0.2">
      <c r="B299" s="2"/>
    </row>
    <row r="300" spans="2:2" ht="11.25" x14ac:dyDescent="0.2">
      <c r="B300" s="2"/>
    </row>
    <row r="301" spans="2:2" ht="11.25" x14ac:dyDescent="0.2">
      <c r="B301" s="2"/>
    </row>
    <row r="302" spans="2:2" ht="11.25" x14ac:dyDescent="0.2">
      <c r="B302" s="2"/>
    </row>
    <row r="303" spans="2:2" ht="11.25" x14ac:dyDescent="0.2">
      <c r="B303" s="2"/>
    </row>
    <row r="304" spans="2:2" ht="11.25" x14ac:dyDescent="0.2">
      <c r="B304" s="2"/>
    </row>
    <row r="305" spans="2:2" ht="11.25" x14ac:dyDescent="0.2">
      <c r="B305" s="2"/>
    </row>
    <row r="306" spans="2:2" ht="11.25" x14ac:dyDescent="0.2">
      <c r="B306" s="2"/>
    </row>
    <row r="307" spans="2:2" ht="11.25" x14ac:dyDescent="0.2">
      <c r="B307" s="2"/>
    </row>
    <row r="308" spans="2:2" ht="11.25" x14ac:dyDescent="0.2">
      <c r="B308" s="2"/>
    </row>
    <row r="309" spans="2:2" ht="11.25" x14ac:dyDescent="0.2">
      <c r="B309" s="2"/>
    </row>
    <row r="310" spans="2:2" ht="11.25" x14ac:dyDescent="0.2">
      <c r="B310" s="2"/>
    </row>
    <row r="311" spans="2:2" ht="11.25" x14ac:dyDescent="0.2">
      <c r="B311" s="2"/>
    </row>
    <row r="312" spans="2:2" ht="11.25" x14ac:dyDescent="0.2">
      <c r="B312" s="2"/>
    </row>
    <row r="313" spans="2:2" ht="11.25" x14ac:dyDescent="0.2">
      <c r="B313" s="2"/>
    </row>
    <row r="314" spans="2:2" ht="11.25" x14ac:dyDescent="0.2">
      <c r="B314" s="2"/>
    </row>
    <row r="315" spans="2:2" ht="11.25" x14ac:dyDescent="0.2">
      <c r="B315" s="2"/>
    </row>
    <row r="316" spans="2:2" ht="11.25" x14ac:dyDescent="0.2">
      <c r="B316" s="2"/>
    </row>
    <row r="317" spans="2:2" ht="11.25" x14ac:dyDescent="0.2">
      <c r="B317" s="2"/>
    </row>
    <row r="318" spans="2:2" ht="11.25" x14ac:dyDescent="0.2">
      <c r="B318" s="2"/>
    </row>
    <row r="319" spans="2:2" ht="11.25" x14ac:dyDescent="0.2">
      <c r="B319" s="2"/>
    </row>
    <row r="320" spans="2:2" ht="11.25" x14ac:dyDescent="0.2">
      <c r="B320" s="2"/>
    </row>
    <row r="321" spans="2:2" ht="11.25" x14ac:dyDescent="0.2">
      <c r="B321" s="2"/>
    </row>
    <row r="322" spans="2:2" ht="11.25" x14ac:dyDescent="0.2">
      <c r="B322" s="2"/>
    </row>
    <row r="323" spans="2:2" ht="11.25" x14ac:dyDescent="0.2">
      <c r="B323" s="2"/>
    </row>
    <row r="324" spans="2:2" ht="11.25" x14ac:dyDescent="0.2">
      <c r="B324" s="2"/>
    </row>
    <row r="325" spans="2:2" ht="11.25" x14ac:dyDescent="0.2">
      <c r="B325" s="2"/>
    </row>
    <row r="326" spans="2:2" ht="11.25" x14ac:dyDescent="0.2">
      <c r="B326" s="2"/>
    </row>
    <row r="327" spans="2:2" ht="11.25" x14ac:dyDescent="0.2">
      <c r="B327" s="2"/>
    </row>
    <row r="328" spans="2:2" ht="11.25" x14ac:dyDescent="0.2">
      <c r="B328" s="2"/>
    </row>
    <row r="329" spans="2:2" ht="11.25" x14ac:dyDescent="0.2">
      <c r="B329" s="2"/>
    </row>
    <row r="330" spans="2:2" ht="11.25" x14ac:dyDescent="0.2">
      <c r="B330" s="2"/>
    </row>
    <row r="331" spans="2:2" ht="11.25" x14ac:dyDescent="0.2">
      <c r="B331" s="2"/>
    </row>
    <row r="332" spans="2:2" ht="11.25" x14ac:dyDescent="0.2">
      <c r="B332" s="2"/>
    </row>
    <row r="333" spans="2:2" ht="11.25" x14ac:dyDescent="0.2">
      <c r="B333" s="2"/>
    </row>
    <row r="334" spans="2:2" ht="11.25" x14ac:dyDescent="0.2">
      <c r="B334" s="2"/>
    </row>
    <row r="335" spans="2:2" ht="11.25" x14ac:dyDescent="0.2">
      <c r="B335" s="2"/>
    </row>
    <row r="336" spans="2:2" ht="11.25" x14ac:dyDescent="0.2">
      <c r="B336" s="2"/>
    </row>
    <row r="337" spans="2:2" ht="11.25" x14ac:dyDescent="0.2">
      <c r="B337" s="2"/>
    </row>
    <row r="338" spans="2:2" ht="11.25" x14ac:dyDescent="0.2">
      <c r="B338" s="2"/>
    </row>
    <row r="339" spans="2:2" ht="11.25" x14ac:dyDescent="0.2">
      <c r="B339" s="2"/>
    </row>
    <row r="340" spans="2:2" ht="11.25" x14ac:dyDescent="0.2">
      <c r="B340" s="2"/>
    </row>
    <row r="341" spans="2:2" ht="11.25" x14ac:dyDescent="0.2">
      <c r="B341" s="2"/>
    </row>
    <row r="342" spans="2:2" ht="11.25" x14ac:dyDescent="0.2">
      <c r="B342" s="2"/>
    </row>
    <row r="343" spans="2:2" ht="11.25" x14ac:dyDescent="0.2">
      <c r="B343" s="2"/>
    </row>
    <row r="344" spans="2:2" ht="11.25" x14ac:dyDescent="0.2">
      <c r="B344" s="2"/>
    </row>
    <row r="345" spans="2:2" ht="11.25" x14ac:dyDescent="0.2">
      <c r="B345" s="2"/>
    </row>
    <row r="346" spans="2:2" ht="11.25" x14ac:dyDescent="0.2">
      <c r="B346" s="2"/>
    </row>
    <row r="347" spans="2:2" ht="11.25" x14ac:dyDescent="0.2">
      <c r="B347" s="2"/>
    </row>
    <row r="348" spans="2:2" ht="11.25" x14ac:dyDescent="0.2">
      <c r="B348" s="2"/>
    </row>
    <row r="349" spans="2:2" ht="11.25" x14ac:dyDescent="0.2">
      <c r="B349" s="2"/>
    </row>
    <row r="350" spans="2:2" ht="11.25" x14ac:dyDescent="0.2">
      <c r="B350" s="2"/>
    </row>
    <row r="351" spans="2:2" ht="11.25" x14ac:dyDescent="0.2">
      <c r="B351" s="2"/>
    </row>
    <row r="352" spans="2:2" ht="11.25" x14ac:dyDescent="0.2">
      <c r="B352" s="2"/>
    </row>
    <row r="353" spans="2:2" ht="11.25" x14ac:dyDescent="0.2">
      <c r="B353" s="2"/>
    </row>
    <row r="354" spans="2:2" ht="11.25" x14ac:dyDescent="0.2">
      <c r="B354" s="2"/>
    </row>
    <row r="355" spans="2:2" ht="11.25" x14ac:dyDescent="0.2">
      <c r="B355" s="2"/>
    </row>
    <row r="356" spans="2:2" ht="11.25" x14ac:dyDescent="0.2">
      <c r="B356" s="2"/>
    </row>
    <row r="357" spans="2:2" ht="11.25" x14ac:dyDescent="0.2">
      <c r="B357" s="2"/>
    </row>
    <row r="358" spans="2:2" ht="11.25" x14ac:dyDescent="0.2">
      <c r="B358" s="2"/>
    </row>
    <row r="359" spans="2:2" ht="11.25" x14ac:dyDescent="0.2">
      <c r="B359" s="2"/>
    </row>
    <row r="360" spans="2:2" ht="11.25" x14ac:dyDescent="0.2">
      <c r="B360" s="2"/>
    </row>
    <row r="361" spans="2:2" ht="11.25" x14ac:dyDescent="0.2">
      <c r="B361" s="2"/>
    </row>
    <row r="362" spans="2:2" ht="11.25" x14ac:dyDescent="0.2">
      <c r="B362" s="2"/>
    </row>
    <row r="363" spans="2:2" ht="11.25" x14ac:dyDescent="0.2">
      <c r="B363" s="2"/>
    </row>
    <row r="364" spans="2:2" ht="11.25" x14ac:dyDescent="0.2">
      <c r="B364" s="2"/>
    </row>
    <row r="365" spans="2:2" ht="11.25" x14ac:dyDescent="0.2">
      <c r="B365" s="2"/>
    </row>
    <row r="366" spans="2:2" ht="11.25" x14ac:dyDescent="0.2">
      <c r="B366" s="2"/>
    </row>
    <row r="367" spans="2:2" ht="11.25" x14ac:dyDescent="0.2">
      <c r="B367" s="2"/>
    </row>
    <row r="368" spans="2:2" ht="11.25" x14ac:dyDescent="0.2">
      <c r="B368" s="2"/>
    </row>
    <row r="369" spans="2:2" ht="11.25" x14ac:dyDescent="0.2">
      <c r="B369" s="2"/>
    </row>
    <row r="370" spans="2:2" ht="11.25" x14ac:dyDescent="0.2">
      <c r="B370" s="2"/>
    </row>
    <row r="371" spans="2:2" ht="11.25" x14ac:dyDescent="0.2">
      <c r="B371" s="2"/>
    </row>
    <row r="372" spans="2:2" ht="11.25" x14ac:dyDescent="0.2">
      <c r="B372" s="2"/>
    </row>
    <row r="373" spans="2:2" ht="11.25" x14ac:dyDescent="0.2">
      <c r="B373" s="2"/>
    </row>
    <row r="374" spans="2:2" ht="11.25" x14ac:dyDescent="0.2">
      <c r="B374" s="2"/>
    </row>
    <row r="375" spans="2:2" ht="11.25" x14ac:dyDescent="0.2">
      <c r="B375" s="2"/>
    </row>
    <row r="376" spans="2:2" ht="11.25" x14ac:dyDescent="0.2">
      <c r="B376" s="2"/>
    </row>
    <row r="377" spans="2:2" ht="11.25" x14ac:dyDescent="0.2">
      <c r="B377" s="2"/>
    </row>
    <row r="378" spans="2:2" ht="11.25" x14ac:dyDescent="0.2">
      <c r="B378" s="2"/>
    </row>
    <row r="379" spans="2:2" ht="11.25" x14ac:dyDescent="0.2">
      <c r="B379" s="2"/>
    </row>
    <row r="380" spans="2:2" ht="11.25" x14ac:dyDescent="0.2">
      <c r="B380" s="2"/>
    </row>
    <row r="381" spans="2:2" ht="11.25" x14ac:dyDescent="0.2">
      <c r="B381" s="2"/>
    </row>
    <row r="382" spans="2:2" ht="11.25" x14ac:dyDescent="0.2">
      <c r="B382" s="2"/>
    </row>
    <row r="383" spans="2:2" ht="11.25" x14ac:dyDescent="0.2">
      <c r="B383" s="2"/>
    </row>
    <row r="384" spans="2:2" ht="11.25" x14ac:dyDescent="0.2">
      <c r="B384" s="2"/>
    </row>
    <row r="385" spans="2:2" ht="11.25" x14ac:dyDescent="0.2">
      <c r="B385" s="2"/>
    </row>
    <row r="386" spans="2:2" ht="11.25" x14ac:dyDescent="0.2">
      <c r="B386" s="2"/>
    </row>
    <row r="387" spans="2:2" ht="11.25" x14ac:dyDescent="0.2">
      <c r="B387" s="2"/>
    </row>
    <row r="388" spans="2:2" ht="11.25" x14ac:dyDescent="0.2">
      <c r="B388" s="2"/>
    </row>
    <row r="389" spans="2:2" ht="11.25" x14ac:dyDescent="0.2">
      <c r="B389" s="2"/>
    </row>
    <row r="390" spans="2:2" ht="11.25" x14ac:dyDescent="0.2">
      <c r="B390" s="2"/>
    </row>
    <row r="391" spans="2:2" ht="11.25" x14ac:dyDescent="0.2">
      <c r="B391" s="2"/>
    </row>
    <row r="392" spans="2:2" ht="11.25" x14ac:dyDescent="0.2">
      <c r="B392" s="2"/>
    </row>
    <row r="393" spans="2:2" ht="11.25" x14ac:dyDescent="0.2">
      <c r="B393" s="2"/>
    </row>
    <row r="394" spans="2:2" ht="11.25" x14ac:dyDescent="0.2">
      <c r="B394" s="2"/>
    </row>
    <row r="395" spans="2:2" ht="11.25" x14ac:dyDescent="0.2">
      <c r="B395" s="2"/>
    </row>
    <row r="396" spans="2:2" ht="11.25" x14ac:dyDescent="0.2">
      <c r="B396" s="2"/>
    </row>
    <row r="397" spans="2:2" ht="11.25" x14ac:dyDescent="0.2">
      <c r="B397" s="2"/>
    </row>
    <row r="398" spans="2:2" ht="11.25" x14ac:dyDescent="0.2">
      <c r="B398" s="2"/>
    </row>
    <row r="399" spans="2:2" ht="11.25" x14ac:dyDescent="0.2">
      <c r="B399" s="2"/>
    </row>
    <row r="400" spans="2:2" ht="11.25" x14ac:dyDescent="0.2">
      <c r="B400" s="2"/>
    </row>
    <row r="401" spans="2:2" ht="11.25" x14ac:dyDescent="0.2">
      <c r="B401" s="2"/>
    </row>
    <row r="402" spans="2:2" ht="11.25" x14ac:dyDescent="0.2">
      <c r="B402" s="2"/>
    </row>
    <row r="403" spans="2:2" ht="11.25" x14ac:dyDescent="0.2">
      <c r="B403" s="2"/>
    </row>
    <row r="404" spans="2:2" ht="11.25" x14ac:dyDescent="0.2">
      <c r="B404" s="2"/>
    </row>
    <row r="405" spans="2:2" ht="11.25" x14ac:dyDescent="0.2">
      <c r="B405" s="2"/>
    </row>
    <row r="406" spans="2:2" ht="11.25" x14ac:dyDescent="0.2">
      <c r="B406" s="2"/>
    </row>
    <row r="407" spans="2:2" ht="11.25" x14ac:dyDescent="0.2">
      <c r="B407" s="2"/>
    </row>
    <row r="408" spans="2:2" ht="11.25" x14ac:dyDescent="0.2">
      <c r="B408" s="2"/>
    </row>
    <row r="409" spans="2:2" ht="11.25" x14ac:dyDescent="0.2">
      <c r="B409" s="2"/>
    </row>
    <row r="410" spans="2:2" ht="11.25" x14ac:dyDescent="0.2">
      <c r="B410" s="2"/>
    </row>
    <row r="411" spans="2:2" ht="11.25" x14ac:dyDescent="0.2">
      <c r="B411" s="2"/>
    </row>
    <row r="412" spans="2:2" ht="11.25" x14ac:dyDescent="0.2">
      <c r="B412" s="2"/>
    </row>
    <row r="413" spans="2:2" ht="11.25" x14ac:dyDescent="0.2">
      <c r="B413" s="2"/>
    </row>
    <row r="414" spans="2:2" ht="11.25" x14ac:dyDescent="0.2">
      <c r="B414" s="2"/>
    </row>
    <row r="415" spans="2:2" ht="11.25" x14ac:dyDescent="0.2">
      <c r="B415" s="2"/>
    </row>
    <row r="416" spans="2:2" ht="11.25" x14ac:dyDescent="0.2">
      <c r="B416" s="2"/>
    </row>
    <row r="417" spans="2:2" ht="11.25" x14ac:dyDescent="0.2">
      <c r="B417" s="2"/>
    </row>
    <row r="418" spans="2:2" ht="11.25" x14ac:dyDescent="0.2">
      <c r="B418" s="2"/>
    </row>
    <row r="419" spans="2:2" ht="11.25" x14ac:dyDescent="0.2">
      <c r="B419" s="2"/>
    </row>
    <row r="420" spans="2:2" ht="11.25" x14ac:dyDescent="0.2">
      <c r="B420" s="2"/>
    </row>
    <row r="421" spans="2:2" ht="11.25" x14ac:dyDescent="0.2">
      <c r="B421" s="2"/>
    </row>
    <row r="422" spans="2:2" ht="11.25" x14ac:dyDescent="0.2">
      <c r="B422" s="2"/>
    </row>
    <row r="423" spans="2:2" ht="11.25" x14ac:dyDescent="0.2">
      <c r="B423" s="2"/>
    </row>
    <row r="424" spans="2:2" ht="11.25" x14ac:dyDescent="0.2">
      <c r="B424" s="2"/>
    </row>
    <row r="425" spans="2:2" ht="11.25" x14ac:dyDescent="0.2">
      <c r="B425" s="2"/>
    </row>
    <row r="426" spans="2:2" ht="11.25" x14ac:dyDescent="0.2">
      <c r="B426" s="2"/>
    </row>
    <row r="427" spans="2:2" ht="11.25" x14ac:dyDescent="0.2">
      <c r="B427" s="2"/>
    </row>
    <row r="428" spans="2:2" ht="11.25" x14ac:dyDescent="0.2">
      <c r="B428" s="2"/>
    </row>
    <row r="429" spans="2:2" ht="11.25" x14ac:dyDescent="0.2">
      <c r="B429" s="2"/>
    </row>
    <row r="430" spans="2:2" ht="11.25" x14ac:dyDescent="0.2">
      <c r="B430" s="2"/>
    </row>
    <row r="431" spans="2:2" ht="11.25" x14ac:dyDescent="0.2">
      <c r="B431" s="2"/>
    </row>
    <row r="432" spans="2:2" ht="11.25" x14ac:dyDescent="0.2">
      <c r="B432" s="2"/>
    </row>
    <row r="433" spans="2:2" ht="11.25" x14ac:dyDescent="0.2">
      <c r="B433" s="2"/>
    </row>
    <row r="434" spans="2:2" ht="11.25" x14ac:dyDescent="0.2">
      <c r="B434" s="2"/>
    </row>
    <row r="435" spans="2:2" ht="11.25" x14ac:dyDescent="0.2">
      <c r="B435" s="2"/>
    </row>
    <row r="436" spans="2:2" ht="11.25" x14ac:dyDescent="0.2">
      <c r="B436" s="2"/>
    </row>
    <row r="437" spans="2:2" ht="11.25" x14ac:dyDescent="0.2">
      <c r="B437" s="2"/>
    </row>
    <row r="438" spans="2:2" ht="11.25" x14ac:dyDescent="0.2">
      <c r="B438" s="2"/>
    </row>
    <row r="439" spans="2:2" ht="11.25" x14ac:dyDescent="0.2">
      <c r="B439" s="2"/>
    </row>
    <row r="440" spans="2:2" ht="11.25" x14ac:dyDescent="0.2">
      <c r="B440" s="2"/>
    </row>
    <row r="441" spans="2:2" ht="11.25" x14ac:dyDescent="0.2">
      <c r="B441" s="2"/>
    </row>
    <row r="442" spans="2:2" ht="11.25" x14ac:dyDescent="0.2">
      <c r="B442" s="2"/>
    </row>
    <row r="443" spans="2:2" ht="11.25" x14ac:dyDescent="0.2">
      <c r="B443" s="2"/>
    </row>
    <row r="444" spans="2:2" ht="11.25" x14ac:dyDescent="0.2">
      <c r="B444" s="2"/>
    </row>
    <row r="445" spans="2:2" ht="11.25" x14ac:dyDescent="0.2">
      <c r="B445" s="2"/>
    </row>
    <row r="446" spans="2:2" ht="11.25" x14ac:dyDescent="0.2">
      <c r="B446" s="2"/>
    </row>
    <row r="447" spans="2:2" ht="11.25" x14ac:dyDescent="0.2">
      <c r="B447" s="2"/>
    </row>
    <row r="448" spans="2:2" ht="11.25" x14ac:dyDescent="0.2">
      <c r="B448" s="2"/>
    </row>
    <row r="449" spans="2:2" ht="11.25" x14ac:dyDescent="0.2">
      <c r="B449" s="2"/>
    </row>
    <row r="450" spans="2:2" ht="11.25" x14ac:dyDescent="0.2">
      <c r="B450" s="2"/>
    </row>
    <row r="451" spans="2:2" ht="11.25" x14ac:dyDescent="0.2">
      <c r="B451" s="2"/>
    </row>
    <row r="452" spans="2:2" ht="11.25" x14ac:dyDescent="0.2">
      <c r="B452" s="2"/>
    </row>
    <row r="453" spans="2:2" ht="11.25" x14ac:dyDescent="0.2">
      <c r="B453" s="2"/>
    </row>
    <row r="454" spans="2:2" ht="11.25" x14ac:dyDescent="0.2">
      <c r="B454" s="2"/>
    </row>
    <row r="455" spans="2:2" ht="11.25" x14ac:dyDescent="0.2">
      <c r="B455" s="2"/>
    </row>
    <row r="456" spans="2:2" ht="11.25" x14ac:dyDescent="0.2">
      <c r="B456" s="2"/>
    </row>
    <row r="457" spans="2:2" ht="11.25" x14ac:dyDescent="0.2">
      <c r="B457" s="2"/>
    </row>
    <row r="458" spans="2:2" ht="11.25" x14ac:dyDescent="0.2">
      <c r="B458" s="2"/>
    </row>
    <row r="459" spans="2:2" ht="11.25" x14ac:dyDescent="0.2">
      <c r="B459" s="2"/>
    </row>
    <row r="460" spans="2:2" ht="11.25" x14ac:dyDescent="0.2">
      <c r="B460" s="2"/>
    </row>
    <row r="461" spans="2:2" ht="11.25" x14ac:dyDescent="0.2">
      <c r="B461" s="2"/>
    </row>
    <row r="462" spans="2:2" ht="11.25" x14ac:dyDescent="0.2">
      <c r="B462" s="2"/>
    </row>
    <row r="463" spans="2:2" ht="11.25" x14ac:dyDescent="0.2">
      <c r="B463" s="2"/>
    </row>
    <row r="464" spans="2:2" ht="11.25" x14ac:dyDescent="0.2">
      <c r="B464" s="2"/>
    </row>
    <row r="465" spans="2:2" ht="11.25" x14ac:dyDescent="0.2">
      <c r="B465" s="2"/>
    </row>
    <row r="466" spans="2:2" ht="11.25" x14ac:dyDescent="0.2">
      <c r="B466" s="2"/>
    </row>
    <row r="467" spans="2:2" ht="11.25" x14ac:dyDescent="0.2">
      <c r="B467" s="2"/>
    </row>
    <row r="468" spans="2:2" ht="11.25" x14ac:dyDescent="0.2">
      <c r="B468" s="2"/>
    </row>
    <row r="469" spans="2:2" ht="11.25" x14ac:dyDescent="0.2">
      <c r="B469" s="2"/>
    </row>
    <row r="470" spans="2:2" ht="11.25" x14ac:dyDescent="0.2">
      <c r="B470" s="2"/>
    </row>
    <row r="471" spans="2:2" ht="11.25" x14ac:dyDescent="0.2">
      <c r="B471" s="2"/>
    </row>
    <row r="472" spans="2:2" ht="11.25" x14ac:dyDescent="0.2">
      <c r="B472" s="2"/>
    </row>
    <row r="473" spans="2:2" ht="11.25" x14ac:dyDescent="0.2">
      <c r="B473" s="2"/>
    </row>
    <row r="474" spans="2:2" ht="11.25" x14ac:dyDescent="0.2">
      <c r="B474" s="2"/>
    </row>
    <row r="475" spans="2:2" ht="11.25" x14ac:dyDescent="0.2">
      <c r="B475" s="2"/>
    </row>
    <row r="476" spans="2:2" ht="11.25" x14ac:dyDescent="0.2">
      <c r="B476" s="2"/>
    </row>
    <row r="477" spans="2:2" ht="11.25" x14ac:dyDescent="0.2">
      <c r="B477" s="2"/>
    </row>
    <row r="478" spans="2:2" ht="11.25" x14ac:dyDescent="0.2">
      <c r="B478" s="2"/>
    </row>
    <row r="479" spans="2:2" ht="11.25" x14ac:dyDescent="0.2">
      <c r="B479" s="2"/>
    </row>
    <row r="480" spans="2:2" ht="11.25" x14ac:dyDescent="0.2">
      <c r="B480" s="2"/>
    </row>
    <row r="481" spans="2:2" ht="11.25" x14ac:dyDescent="0.2">
      <c r="B481" s="2"/>
    </row>
    <row r="482" spans="2:2" ht="11.25" x14ac:dyDescent="0.2">
      <c r="B482" s="2"/>
    </row>
    <row r="483" spans="2:2" ht="11.25" x14ac:dyDescent="0.2">
      <c r="B483" s="2"/>
    </row>
    <row r="484" spans="2:2" ht="11.25" x14ac:dyDescent="0.2">
      <c r="B484" s="2"/>
    </row>
    <row r="485" spans="2:2" ht="11.25" x14ac:dyDescent="0.2">
      <c r="B485" s="2"/>
    </row>
    <row r="486" spans="2:2" ht="11.25" x14ac:dyDescent="0.2">
      <c r="B486" s="2"/>
    </row>
    <row r="487" spans="2:2" ht="11.25" x14ac:dyDescent="0.2">
      <c r="B487" s="2"/>
    </row>
    <row r="488" spans="2:2" ht="11.25" x14ac:dyDescent="0.2">
      <c r="B488" s="2"/>
    </row>
    <row r="489" spans="2:2" ht="11.25" x14ac:dyDescent="0.2">
      <c r="B489" s="2"/>
    </row>
    <row r="490" spans="2:2" ht="11.25" x14ac:dyDescent="0.2">
      <c r="B490" s="2"/>
    </row>
    <row r="491" spans="2:2" ht="11.25" x14ac:dyDescent="0.2">
      <c r="B491" s="2"/>
    </row>
    <row r="492" spans="2:2" ht="11.25" x14ac:dyDescent="0.2">
      <c r="B492" s="2"/>
    </row>
    <row r="493" spans="2:2" ht="11.25" x14ac:dyDescent="0.2">
      <c r="B493" s="2"/>
    </row>
    <row r="494" spans="2:2" ht="11.25" x14ac:dyDescent="0.2">
      <c r="B494" s="2"/>
    </row>
    <row r="495" spans="2:2" ht="11.25" x14ac:dyDescent="0.2">
      <c r="B495" s="2"/>
    </row>
    <row r="496" spans="2:2" ht="11.25" x14ac:dyDescent="0.2">
      <c r="B496" s="2"/>
    </row>
    <row r="497" spans="2:2" ht="11.25" x14ac:dyDescent="0.2">
      <c r="B497" s="2"/>
    </row>
    <row r="498" spans="2:2" ht="11.25" x14ac:dyDescent="0.2">
      <c r="B498" s="2"/>
    </row>
    <row r="499" spans="2:2" ht="11.25" x14ac:dyDescent="0.2">
      <c r="B499" s="2"/>
    </row>
    <row r="500" spans="2:2" ht="11.25" x14ac:dyDescent="0.2">
      <c r="B500" s="2"/>
    </row>
    <row r="501" spans="2:2" ht="11.25" x14ac:dyDescent="0.2">
      <c r="B501" s="2"/>
    </row>
    <row r="502" spans="2:2" ht="11.25" x14ac:dyDescent="0.2">
      <c r="B502" s="2"/>
    </row>
    <row r="503" spans="2:2" ht="11.25" x14ac:dyDescent="0.2">
      <c r="B503" s="2"/>
    </row>
    <row r="504" spans="2:2" ht="11.25" x14ac:dyDescent="0.2">
      <c r="B504" s="2"/>
    </row>
    <row r="505" spans="2:2" ht="11.25" x14ac:dyDescent="0.2">
      <c r="B505" s="2"/>
    </row>
    <row r="506" spans="2:2" ht="11.25" x14ac:dyDescent="0.2">
      <c r="B506" s="2"/>
    </row>
    <row r="507" spans="2:2" ht="11.25" x14ac:dyDescent="0.2">
      <c r="B507" s="2"/>
    </row>
    <row r="508" spans="2:2" ht="11.25" x14ac:dyDescent="0.2">
      <c r="B508" s="2"/>
    </row>
    <row r="509" spans="2:2" ht="11.25" x14ac:dyDescent="0.2">
      <c r="B509" s="2"/>
    </row>
    <row r="510" spans="2:2" ht="11.25" x14ac:dyDescent="0.2">
      <c r="B510" s="2"/>
    </row>
    <row r="511" spans="2:2" ht="11.25" x14ac:dyDescent="0.2">
      <c r="B511" s="2"/>
    </row>
    <row r="512" spans="2:2" ht="11.25" x14ac:dyDescent="0.2">
      <c r="B512" s="2"/>
    </row>
    <row r="513" spans="2:2" ht="11.25" x14ac:dyDescent="0.2">
      <c r="B513" s="2"/>
    </row>
    <row r="514" spans="2:2" ht="11.25" x14ac:dyDescent="0.2">
      <c r="B514" s="2"/>
    </row>
    <row r="515" spans="2:2" ht="11.25" x14ac:dyDescent="0.2">
      <c r="B515" s="2"/>
    </row>
    <row r="516" spans="2:2" ht="11.25" x14ac:dyDescent="0.2">
      <c r="B516" s="2"/>
    </row>
    <row r="517" spans="2:2" ht="11.25" x14ac:dyDescent="0.2">
      <c r="B517" s="2"/>
    </row>
    <row r="518" spans="2:2" ht="11.25" x14ac:dyDescent="0.2">
      <c r="B518" s="2"/>
    </row>
    <row r="519" spans="2:2" ht="11.25" x14ac:dyDescent="0.2">
      <c r="B519" s="2"/>
    </row>
  </sheetData>
  <sortState xmlns:xlrd2="http://schemas.microsoft.com/office/spreadsheetml/2017/richdata2" ref="A5:N67">
    <sortCondition ref="C5:C67"/>
    <sortCondition ref="A5:A67"/>
  </sortState>
  <printOptions horizontalCentered="1"/>
  <pageMargins left="0.7" right="0.7" top="0.75" bottom="0.75" header="0.3" footer="0.3"/>
  <pageSetup scale="79" orientation="portrait" useFirstPageNumber="1" r:id="rId1"/>
  <headerFooter>
    <oddFooter>&amp;LAvista
&amp;F
&amp;A&amp;RPage &amp;P of 3</oddFooter>
  </headerFooter>
  <colBreaks count="1" manualBreakCount="1">
    <brk id="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61"/>
  <sheetViews>
    <sheetView view="pageBreakPreview" zoomScale="60" zoomScaleNormal="100" workbookViewId="0">
      <selection activeCell="U70" sqref="U70"/>
    </sheetView>
  </sheetViews>
  <sheetFormatPr defaultRowHeight="15" x14ac:dyDescent="0.25"/>
  <cols>
    <col min="2" max="2" width="22.140625" customWidth="1"/>
    <col min="4" max="4" width="10.28515625" customWidth="1"/>
    <col min="5" max="5" width="10.42578125" customWidth="1"/>
    <col min="6" max="6" width="10.85546875" customWidth="1"/>
    <col min="7" max="7" width="9.28515625" customWidth="1"/>
    <col min="8" max="8" width="9.5703125" customWidth="1"/>
    <col min="9" max="9" width="10.140625" customWidth="1"/>
    <col min="10" max="10" width="2.42578125" customWidth="1"/>
    <col min="11" max="11" width="12.28515625" customWidth="1"/>
    <col min="12" max="12" width="11.85546875" customWidth="1"/>
    <col min="13" max="13" width="13" customWidth="1"/>
    <col min="14" max="14" width="11.5703125" customWidth="1"/>
    <col min="15" max="15" width="11.85546875" customWidth="1"/>
    <col min="16" max="16" width="13.5703125" customWidth="1"/>
    <col min="18" max="18" width="12.7109375" customWidth="1"/>
    <col min="19" max="19" width="12.140625" customWidth="1"/>
    <col min="20" max="20" width="11.42578125" customWidth="1"/>
    <col min="21" max="21" width="12.140625" customWidth="1"/>
    <col min="22" max="22" width="11.42578125" customWidth="1"/>
    <col min="23" max="23" width="13.42578125" customWidth="1"/>
    <col min="24" max="24" width="12.7109375" customWidth="1"/>
    <col min="25" max="25" width="11" hidden="1" customWidth="1"/>
    <col min="26" max="26" width="11.28515625" customWidth="1"/>
  </cols>
  <sheetData>
    <row r="1" spans="1:27" ht="23.25" x14ac:dyDescent="0.25">
      <c r="D1" s="30" t="s">
        <v>4</v>
      </c>
      <c r="E1" s="30" t="s">
        <v>3</v>
      </c>
      <c r="F1" s="30" t="s">
        <v>2</v>
      </c>
      <c r="G1" s="30" t="s">
        <v>1</v>
      </c>
      <c r="H1" s="30" t="s">
        <v>0</v>
      </c>
      <c r="I1" s="30" t="s">
        <v>5</v>
      </c>
      <c r="K1" s="30" t="s">
        <v>4</v>
      </c>
      <c r="L1" s="30" t="s">
        <v>3</v>
      </c>
      <c r="M1" s="30" t="s">
        <v>2</v>
      </c>
      <c r="N1" s="30" t="s">
        <v>1</v>
      </c>
      <c r="O1" s="30" t="s">
        <v>0</v>
      </c>
      <c r="P1" s="30" t="s">
        <v>5</v>
      </c>
      <c r="R1" s="30" t="s">
        <v>4</v>
      </c>
      <c r="S1" s="30" t="s">
        <v>3</v>
      </c>
      <c r="T1" s="30" t="s">
        <v>2</v>
      </c>
      <c r="U1" s="30" t="s">
        <v>1</v>
      </c>
      <c r="V1" s="30" t="s">
        <v>0</v>
      </c>
      <c r="W1" s="30" t="s">
        <v>5</v>
      </c>
    </row>
    <row r="2" spans="1:27" x14ac:dyDescent="0.25">
      <c r="D2" s="30"/>
      <c r="E2" s="30"/>
      <c r="F2" s="30"/>
      <c r="G2" s="30"/>
      <c r="H2" s="30"/>
      <c r="I2" s="30"/>
      <c r="K2" s="30"/>
      <c r="L2" s="30"/>
      <c r="M2" s="30"/>
      <c r="N2" s="30"/>
      <c r="O2" s="30"/>
      <c r="P2" s="30"/>
      <c r="Q2" t="s">
        <v>99</v>
      </c>
      <c r="R2" s="22">
        <f>'Flow-Thru Detail'!N5</f>
        <v>0.67337000000000002</v>
      </c>
      <c r="S2" s="22">
        <f>'Flow-Thru Detail'!O5</f>
        <v>0.32662999999999998</v>
      </c>
      <c r="T2" s="22"/>
      <c r="U2" s="22"/>
      <c r="V2" s="22"/>
      <c r="W2" s="22">
        <f>SUM(R2:V2)</f>
        <v>1</v>
      </c>
      <c r="X2" t="s">
        <v>100</v>
      </c>
    </row>
    <row r="3" spans="1:27" x14ac:dyDescent="0.25">
      <c r="D3" s="30"/>
      <c r="E3" s="30"/>
      <c r="F3" s="30"/>
      <c r="G3" s="30"/>
      <c r="H3" s="30"/>
      <c r="I3" s="30"/>
      <c r="K3" s="30"/>
      <c r="L3" s="30"/>
      <c r="M3" s="30"/>
      <c r="N3" s="30"/>
      <c r="O3" s="30"/>
      <c r="P3" s="30"/>
      <c r="Q3" t="s">
        <v>101</v>
      </c>
      <c r="R3" s="22"/>
      <c r="S3" s="22"/>
      <c r="T3" s="22">
        <f>'Flow-Thru Detail'!P6</f>
        <v>0.70165</v>
      </c>
      <c r="U3" s="22">
        <f>'Flow-Thru Detail'!Q6</f>
        <v>0.29835</v>
      </c>
      <c r="V3" s="22"/>
      <c r="W3" s="22">
        <f t="shared" ref="W3:W5" si="0">SUM(R3:V3)</f>
        <v>1</v>
      </c>
      <c r="X3" t="s">
        <v>100</v>
      </c>
    </row>
    <row r="4" spans="1:27" x14ac:dyDescent="0.25">
      <c r="D4" s="30"/>
      <c r="E4" s="30"/>
      <c r="F4" s="30"/>
      <c r="G4" s="30"/>
      <c r="H4" s="30"/>
      <c r="I4" s="30"/>
      <c r="K4" s="30"/>
      <c r="L4" s="30"/>
      <c r="M4" s="30"/>
      <c r="N4" s="30"/>
      <c r="O4" s="30"/>
      <c r="P4" s="30"/>
      <c r="Q4" t="s">
        <v>102</v>
      </c>
      <c r="R4" s="22">
        <f>R2*'Flow-Thru Detail'!J8</f>
        <v>0.47525107859999999</v>
      </c>
      <c r="S4" s="22">
        <f>S2*'Flow-Thru Detail'!J8</f>
        <v>0.23052892139999998</v>
      </c>
      <c r="T4" s="22">
        <f>T3*'Flow-Thru Detail'!K8</f>
        <v>0.14392946449999999</v>
      </c>
      <c r="U4" s="22">
        <f>U3*'Flow-Thru Detail'!K8</f>
        <v>6.12005355E-2</v>
      </c>
      <c r="V4" s="22">
        <f>'Flow-Thru Detail'!L8</f>
        <v>8.9090000000000003E-2</v>
      </c>
      <c r="W4" s="22">
        <f t="shared" si="0"/>
        <v>1</v>
      </c>
      <c r="X4" t="s">
        <v>103</v>
      </c>
    </row>
    <row r="5" spans="1:27" x14ac:dyDescent="0.25">
      <c r="D5" s="30"/>
      <c r="E5" s="30"/>
      <c r="F5" s="30"/>
      <c r="G5" s="30"/>
      <c r="H5" s="30"/>
      <c r="I5" s="30"/>
      <c r="K5" s="30"/>
      <c r="L5" s="30"/>
      <c r="M5" s="30"/>
      <c r="N5" s="30"/>
      <c r="O5" s="30"/>
      <c r="P5" s="30"/>
      <c r="Q5" t="s">
        <v>104</v>
      </c>
      <c r="R5" s="22">
        <f>R2*'Flow-Thru Detail'!J9</f>
        <v>0.52438015380000003</v>
      </c>
      <c r="S5" s="22">
        <f>S2*'Flow-Thru Detail'!J9</f>
        <v>0.25435984619999996</v>
      </c>
      <c r="T5" s="22">
        <f>T3*'Flow-Thru Detail'!K9</f>
        <v>0.15524707900000001</v>
      </c>
      <c r="U5" s="22">
        <f>U3*'Flow-Thru Detail'!K9</f>
        <v>6.6012921000000002E-2</v>
      </c>
      <c r="V5" s="22"/>
      <c r="W5" s="22">
        <f t="shared" si="0"/>
        <v>1</v>
      </c>
      <c r="X5" t="s">
        <v>105</v>
      </c>
    </row>
    <row r="6" spans="1:27" x14ac:dyDescent="0.25">
      <c r="B6" t="s">
        <v>106</v>
      </c>
      <c r="K6" t="s">
        <v>107</v>
      </c>
      <c r="O6" t="s">
        <v>127</v>
      </c>
      <c r="R6" t="s">
        <v>108</v>
      </c>
      <c r="V6" t="s">
        <v>128</v>
      </c>
      <c r="Y6" t="s">
        <v>125</v>
      </c>
      <c r="Z6" t="s">
        <v>124</v>
      </c>
    </row>
    <row r="7" spans="1:27" x14ac:dyDescent="0.25">
      <c r="A7" s="31">
        <f>'Recon SCH Ms'!A20</f>
        <v>997004</v>
      </c>
      <c r="B7" s="31" t="str">
        <f>'Recon SCH Ms'!B20</f>
        <v>Boulder Park Write Off</v>
      </c>
      <c r="C7" s="31" t="str">
        <f>'Recon SCH Ms'!C20</f>
        <v>Temp</v>
      </c>
      <c r="D7" s="7">
        <f>'Recon SCH Ms'!D20</f>
        <v>0</v>
      </c>
      <c r="E7" s="7">
        <f>'Recon SCH Ms'!E20</f>
        <v>-112280</v>
      </c>
      <c r="F7" s="7">
        <f>'Recon SCH Ms'!F20</f>
        <v>0</v>
      </c>
      <c r="G7" s="7">
        <f>'Recon SCH Ms'!G20</f>
        <v>0</v>
      </c>
      <c r="H7" s="7">
        <f>'Recon SCH Ms'!H20</f>
        <v>0</v>
      </c>
      <c r="I7" s="7">
        <f t="shared" ref="I7:I49" si="1">SUM(D7:H7)</f>
        <v>-112280</v>
      </c>
      <c r="K7" s="32">
        <f>D7*-0.21</f>
        <v>0</v>
      </c>
      <c r="L7" s="32">
        <f t="shared" ref="L7:O22" si="2">E7*-0.21</f>
        <v>23578.799999999999</v>
      </c>
      <c r="M7" s="32">
        <f t="shared" si="2"/>
        <v>0</v>
      </c>
      <c r="N7" s="32">
        <f t="shared" si="2"/>
        <v>0</v>
      </c>
      <c r="O7" s="32">
        <f t="shared" si="2"/>
        <v>0</v>
      </c>
      <c r="P7" s="32">
        <f>SUM(K7:O7)</f>
        <v>23578.799999999999</v>
      </c>
      <c r="Q7" s="33" t="s">
        <v>110</v>
      </c>
      <c r="R7" s="35"/>
      <c r="S7" s="35">
        <v>23578.799999999999</v>
      </c>
      <c r="T7" s="35"/>
      <c r="U7" s="35"/>
      <c r="V7" s="35"/>
      <c r="W7" s="35">
        <f t="shared" ref="W7:W9" si="3">SUM(R7:V7)</f>
        <v>23578.799999999999</v>
      </c>
      <c r="X7" s="24">
        <v>0</v>
      </c>
      <c r="Y7" s="24">
        <f>V7-O7</f>
        <v>0</v>
      </c>
      <c r="Z7" s="32">
        <f t="shared" ref="Z7:Z19" si="4">P7-W7</f>
        <v>0</v>
      </c>
    </row>
    <row r="8" spans="1:27" x14ac:dyDescent="0.25">
      <c r="A8" s="31">
        <f>'Recon SCH Ms'!A21</f>
        <v>997005</v>
      </c>
      <c r="B8" s="31" t="str">
        <f>'Recon SCH Ms'!B21</f>
        <v>FAS106 Current Retiree Medical Accrual</v>
      </c>
      <c r="C8" s="31" t="str">
        <f>'Recon SCH Ms'!C21</f>
        <v>Temp</v>
      </c>
      <c r="D8" s="7">
        <f>'Recon SCH Ms'!D21</f>
        <v>592084</v>
      </c>
      <c r="E8" s="7">
        <f>'Recon SCH Ms'!E21</f>
        <v>287201</v>
      </c>
      <c r="F8" s="7">
        <f>'Recon SCH Ms'!F21</f>
        <v>179312</v>
      </c>
      <c r="G8" s="7">
        <f>'Recon SCH Ms'!G21</f>
        <v>76246</v>
      </c>
      <c r="H8" s="7">
        <f>'Recon SCH Ms'!H21</f>
        <v>110991</v>
      </c>
      <c r="I8" s="7">
        <f t="shared" ref="I8:I24" si="5">SUM(D8:H8)</f>
        <v>1245834</v>
      </c>
      <c r="K8" s="32">
        <f t="shared" ref="K8:O24" si="6">D8*-0.21</f>
        <v>-124337.64</v>
      </c>
      <c r="L8" s="32">
        <f t="shared" si="2"/>
        <v>-60312.21</v>
      </c>
      <c r="M8" s="32">
        <f t="shared" si="2"/>
        <v>-37655.519999999997</v>
      </c>
      <c r="N8" s="32">
        <f t="shared" si="2"/>
        <v>-16011.66</v>
      </c>
      <c r="O8" s="32">
        <f t="shared" si="2"/>
        <v>-23308.11</v>
      </c>
      <c r="P8" s="32">
        <f t="shared" ref="P8:P50" si="7">SUM(K8:O8)</f>
        <v>-261625.14</v>
      </c>
      <c r="Q8" s="33" t="s">
        <v>109</v>
      </c>
      <c r="R8" s="34">
        <f>$X8*R$4</f>
        <v>-124337.72977660251</v>
      </c>
      <c r="S8" s="34">
        <f t="shared" ref="S8:V8" si="8">$X8*S$4</f>
        <v>-60312.209746397486</v>
      </c>
      <c r="T8" s="34">
        <f t="shared" si="8"/>
        <v>-37655.596525125075</v>
      </c>
      <c r="U8" s="34">
        <f t="shared" si="8"/>
        <v>-16011.611520374925</v>
      </c>
      <c r="V8" s="34">
        <f t="shared" si="8"/>
        <v>-23308.202431500002</v>
      </c>
      <c r="W8" s="34">
        <f t="shared" si="3"/>
        <v>-261625.34999999998</v>
      </c>
      <c r="X8" s="24">
        <f>-297441.76+61756.73-25940.32</f>
        <v>-261625.35</v>
      </c>
      <c r="Y8" s="24">
        <f t="shared" ref="Y8:Y51" si="9">V8-O8</f>
        <v>-9.2431500001111999E-2</v>
      </c>
      <c r="Z8" s="32">
        <f t="shared" si="4"/>
        <v>0.2099999999627471</v>
      </c>
    </row>
    <row r="9" spans="1:27" x14ac:dyDescent="0.25">
      <c r="A9" s="31">
        <f>'Recon SCH Ms'!A22</f>
        <v>997007</v>
      </c>
      <c r="B9" s="31" t="str">
        <f>'Recon SCH Ms'!B22</f>
        <v>Idaho PCA</v>
      </c>
      <c r="C9" s="31" t="str">
        <f>'Recon SCH Ms'!C22</f>
        <v>Temp</v>
      </c>
      <c r="D9" s="7">
        <f>'Recon SCH Ms'!D22</f>
        <v>0</v>
      </c>
      <c r="E9" s="7">
        <f>'Recon SCH Ms'!E22</f>
        <v>-7886123</v>
      </c>
      <c r="F9" s="7">
        <f>'Recon SCH Ms'!F22</f>
        <v>0</v>
      </c>
      <c r="G9" s="7">
        <f>'Recon SCH Ms'!G22</f>
        <v>0</v>
      </c>
      <c r="H9" s="7">
        <f>'Recon SCH Ms'!H22</f>
        <v>0</v>
      </c>
      <c r="I9" s="7">
        <f t="shared" si="5"/>
        <v>-7886123</v>
      </c>
      <c r="K9" s="32">
        <f t="shared" si="6"/>
        <v>0</v>
      </c>
      <c r="L9" s="32">
        <f t="shared" si="2"/>
        <v>1656085.8299999998</v>
      </c>
      <c r="M9" s="32">
        <f t="shared" si="2"/>
        <v>0</v>
      </c>
      <c r="N9" s="32">
        <f t="shared" si="2"/>
        <v>0</v>
      </c>
      <c r="O9" s="32">
        <f t="shared" si="2"/>
        <v>0</v>
      </c>
      <c r="P9" s="32">
        <f t="shared" si="7"/>
        <v>1656085.8299999998</v>
      </c>
      <c r="Q9" s="33" t="s">
        <v>110</v>
      </c>
      <c r="R9" s="35"/>
      <c r="S9" s="35">
        <v>1656085.88</v>
      </c>
      <c r="T9" s="35"/>
      <c r="U9" s="35"/>
      <c r="V9" s="35"/>
      <c r="W9" s="35">
        <f t="shared" si="3"/>
        <v>1656085.88</v>
      </c>
      <c r="X9" s="24"/>
      <c r="Y9" s="24">
        <f t="shared" si="9"/>
        <v>0</v>
      </c>
      <c r="Z9" s="32">
        <f t="shared" si="4"/>
        <v>-5.0000000046566129E-2</v>
      </c>
    </row>
    <row r="10" spans="1:27" x14ac:dyDescent="0.25">
      <c r="A10" s="31">
        <f>'Recon SCH Ms'!A23</f>
        <v>997008</v>
      </c>
      <c r="B10" s="31" t="str">
        <f>'Recon SCH Ms'!B23</f>
        <v>DSM Book Amortization</v>
      </c>
      <c r="C10" s="31" t="str">
        <f>'Recon SCH Ms'!C23</f>
        <v>Temp</v>
      </c>
      <c r="D10" s="7">
        <f>'Recon SCH Ms'!D23</f>
        <v>0</v>
      </c>
      <c r="E10" s="7">
        <f>'Recon SCH Ms'!E23</f>
        <v>0</v>
      </c>
      <c r="F10" s="7">
        <f>'Recon SCH Ms'!F23</f>
        <v>0</v>
      </c>
      <c r="G10" s="7">
        <f>'Recon SCH Ms'!G23</f>
        <v>0</v>
      </c>
      <c r="H10" s="7">
        <f>'Recon SCH Ms'!H23</f>
        <v>-135318</v>
      </c>
      <c r="I10" s="7">
        <f t="shared" si="5"/>
        <v>-135318</v>
      </c>
      <c r="K10" s="32">
        <f t="shared" si="6"/>
        <v>0</v>
      </c>
      <c r="L10" s="32">
        <f t="shared" si="2"/>
        <v>0</v>
      </c>
      <c r="M10" s="32">
        <f t="shared" si="2"/>
        <v>0</v>
      </c>
      <c r="N10" s="32">
        <f t="shared" si="2"/>
        <v>0</v>
      </c>
      <c r="O10" s="32">
        <f t="shared" si="2"/>
        <v>28416.78</v>
      </c>
      <c r="P10" s="32">
        <f t="shared" ref="P10" si="10">SUM(K10:O10)</f>
        <v>28416.78</v>
      </c>
      <c r="Q10" s="33" t="s">
        <v>110</v>
      </c>
      <c r="R10" s="35"/>
      <c r="S10" s="35"/>
      <c r="T10" s="35"/>
      <c r="U10" s="35"/>
      <c r="V10" s="35">
        <v>28416.68</v>
      </c>
      <c r="W10" s="35">
        <f t="shared" ref="W10:W50" si="11">SUM(R10:V10)</f>
        <v>28416.68</v>
      </c>
      <c r="Y10" s="24">
        <f t="shared" si="9"/>
        <v>-9.9999999998544808E-2</v>
      </c>
      <c r="Z10" s="32">
        <f t="shared" si="4"/>
        <v>9.9999999998544808E-2</v>
      </c>
    </row>
    <row r="11" spans="1:27" x14ac:dyDescent="0.25">
      <c r="A11" s="31">
        <f>'Recon SCH Ms'!A24</f>
        <v>997009</v>
      </c>
      <c r="B11" s="31" t="str">
        <f>'Recon SCH Ms'!B24</f>
        <v>Rathdrum Turbine Lease</v>
      </c>
      <c r="C11" s="31" t="str">
        <f>'Recon SCH Ms'!C24</f>
        <v>Temp</v>
      </c>
      <c r="D11" s="7">
        <f>'Recon SCH Ms'!D24</f>
        <v>-22775</v>
      </c>
      <c r="E11" s="7">
        <f>'Recon SCH Ms'!E24</f>
        <v>-11047</v>
      </c>
      <c r="F11" s="7">
        <f>'Recon SCH Ms'!F24</f>
        <v>0</v>
      </c>
      <c r="G11" s="7">
        <f>'Recon SCH Ms'!G24</f>
        <v>0</v>
      </c>
      <c r="H11" s="7">
        <f>'Recon SCH Ms'!H24</f>
        <v>0</v>
      </c>
      <c r="I11" s="7">
        <f t="shared" si="5"/>
        <v>-33822</v>
      </c>
      <c r="K11" s="32">
        <f t="shared" si="6"/>
        <v>4782.75</v>
      </c>
      <c r="L11" s="32">
        <f t="shared" si="2"/>
        <v>2319.87</v>
      </c>
      <c r="M11" s="32">
        <f t="shared" si="2"/>
        <v>0</v>
      </c>
      <c r="N11" s="32">
        <f t="shared" si="2"/>
        <v>0</v>
      </c>
      <c r="O11" s="32">
        <f t="shared" si="2"/>
        <v>0</v>
      </c>
      <c r="P11" s="32">
        <f t="shared" si="7"/>
        <v>7102.62</v>
      </c>
      <c r="Q11" s="33" t="s">
        <v>110</v>
      </c>
      <c r="R11" s="35"/>
      <c r="S11" s="35"/>
      <c r="T11" s="35"/>
      <c r="U11" s="35"/>
      <c r="V11" s="35"/>
      <c r="W11" s="35">
        <f t="shared" si="11"/>
        <v>0</v>
      </c>
      <c r="Y11" s="24">
        <f t="shared" si="9"/>
        <v>0</v>
      </c>
      <c r="Z11" s="45">
        <f t="shared" si="4"/>
        <v>7102.62</v>
      </c>
      <c r="AA11" t="s">
        <v>121</v>
      </c>
    </row>
    <row r="12" spans="1:27" x14ac:dyDescent="0.25">
      <c r="A12" s="31">
        <f>'Recon SCH Ms'!A25</f>
        <v>997010</v>
      </c>
      <c r="B12" s="31" t="str">
        <f>'Recon SCH Ms'!B25</f>
        <v>Deferred Gas Credit and Refunds</v>
      </c>
      <c r="C12" s="31" t="str">
        <f>'Recon SCH Ms'!C25</f>
        <v>Temp</v>
      </c>
      <c r="D12" s="7">
        <f>'Recon SCH Ms'!D25</f>
        <v>0</v>
      </c>
      <c r="E12" s="7">
        <f>'Recon SCH Ms'!E25</f>
        <v>0</v>
      </c>
      <c r="F12" s="7">
        <f>'Recon SCH Ms'!F25</f>
        <v>-21959815</v>
      </c>
      <c r="G12" s="7">
        <f>'Recon SCH Ms'!G25</f>
        <v>-9719992</v>
      </c>
      <c r="H12" s="7">
        <f>'Recon SCH Ms'!H25</f>
        <v>-6168057</v>
      </c>
      <c r="I12" s="7">
        <f t="shared" si="5"/>
        <v>-37847864</v>
      </c>
      <c r="K12" s="32">
        <f t="shared" si="6"/>
        <v>0</v>
      </c>
      <c r="L12" s="32">
        <f t="shared" si="2"/>
        <v>0</v>
      </c>
      <c r="M12" s="32">
        <f t="shared" si="2"/>
        <v>4611561.1499999994</v>
      </c>
      <c r="N12" s="32">
        <f t="shared" si="2"/>
        <v>2041198.3199999998</v>
      </c>
      <c r="O12" s="32">
        <f t="shared" si="2"/>
        <v>1295291.97</v>
      </c>
      <c r="P12" s="32">
        <f t="shared" si="7"/>
        <v>7948051.4399999985</v>
      </c>
      <c r="Q12" s="33" t="s">
        <v>110</v>
      </c>
      <c r="R12" s="35"/>
      <c r="S12" s="35"/>
      <c r="T12" s="35">
        <f>4585954.43+25606.82</f>
        <v>4611561.25</v>
      </c>
      <c r="U12" s="35">
        <f>2042364.95+3597.7-4764.35</f>
        <v>2041198.2999999998</v>
      </c>
      <c r="V12" s="35">
        <v>1295291.96</v>
      </c>
      <c r="W12" s="35">
        <f t="shared" si="11"/>
        <v>7948051.5099999998</v>
      </c>
      <c r="Y12" s="24">
        <f t="shared" si="9"/>
        <v>-1.0000000009313226E-2</v>
      </c>
      <c r="Z12" s="45">
        <f t="shared" si="4"/>
        <v>-7.0000001229345798E-2</v>
      </c>
      <c r="AA12" t="s">
        <v>111</v>
      </c>
    </row>
    <row r="13" spans="1:27" x14ac:dyDescent="0.25">
      <c r="A13" s="31">
        <f>'Recon SCH Ms'!A26</f>
        <v>997016</v>
      </c>
      <c r="B13" s="31" t="str">
        <f>'Recon SCH Ms'!B26</f>
        <v>Redemption Expense</v>
      </c>
      <c r="C13" s="31" t="str">
        <f>'Recon SCH Ms'!C26</f>
        <v>Temp</v>
      </c>
      <c r="D13" s="7">
        <f>'Recon SCH Ms'!D26</f>
        <v>637405</v>
      </c>
      <c r="E13" s="7">
        <f>'Recon SCH Ms'!E26</f>
        <v>309184</v>
      </c>
      <c r="F13" s="7">
        <f>'Recon SCH Ms'!F26</f>
        <v>144469</v>
      </c>
      <c r="G13" s="7">
        <f>'Recon SCH Ms'!G26</f>
        <v>61430</v>
      </c>
      <c r="H13" s="7">
        <f>'Recon SCH Ms'!H26</f>
        <v>89424</v>
      </c>
      <c r="I13" s="7">
        <f t="shared" si="5"/>
        <v>1241912</v>
      </c>
      <c r="K13" s="32">
        <f t="shared" si="6"/>
        <v>-133855.04999999999</v>
      </c>
      <c r="L13" s="32">
        <f t="shared" si="2"/>
        <v>-64928.639999999999</v>
      </c>
      <c r="M13" s="32">
        <f t="shared" si="2"/>
        <v>-30338.489999999998</v>
      </c>
      <c r="N13" s="32">
        <f t="shared" si="2"/>
        <v>-12900.3</v>
      </c>
      <c r="O13" s="32">
        <f t="shared" si="2"/>
        <v>-18779.04</v>
      </c>
      <c r="P13" s="32">
        <f t="shared" si="7"/>
        <v>-260801.52</v>
      </c>
      <c r="Q13" s="33" t="s">
        <v>109</v>
      </c>
      <c r="R13" s="34">
        <f>$X13*R$4-50013.96*R2</f>
        <v>-133855.02955092106</v>
      </c>
      <c r="S13" s="34">
        <f>$X13*S$4-50013.96*S2</f>
        <v>-64928.743933078913</v>
      </c>
      <c r="T13" s="34">
        <f t="shared" ref="T13:V13" si="12">$X13*T$4</f>
        <v>-30338.575177133098</v>
      </c>
      <c r="U13" s="34">
        <f t="shared" si="12"/>
        <v>-12900.326236866898</v>
      </c>
      <c r="V13" s="34">
        <f t="shared" si="12"/>
        <v>-18779.085102000001</v>
      </c>
      <c r="W13" s="34">
        <f>SUM(R13:V13)</f>
        <v>-260801.76</v>
      </c>
      <c r="X13" s="24">
        <v>-210787.8</v>
      </c>
      <c r="Y13" s="24">
        <f t="shared" si="9"/>
        <v>-4.5102000000042608E-2</v>
      </c>
      <c r="Z13" s="32">
        <f t="shared" si="4"/>
        <v>0.2400000000197906</v>
      </c>
    </row>
    <row r="14" spans="1:27" x14ac:dyDescent="0.25">
      <c r="A14" s="31">
        <f>'Recon SCH Ms'!A27</f>
        <v>997017</v>
      </c>
      <c r="B14" s="31" t="str">
        <f>'Recon SCH Ms'!B27</f>
        <v>Amort - Invest in Exch Pwr</v>
      </c>
      <c r="C14" s="31" t="str">
        <f>'Recon SCH Ms'!C27</f>
        <v>Temp</v>
      </c>
      <c r="D14" s="7">
        <f>'Recon SCH Ms'!D27</f>
        <v>838281</v>
      </c>
      <c r="E14" s="7">
        <f>'Recon SCH Ms'!E27</f>
        <v>0</v>
      </c>
      <c r="F14" s="7">
        <f>'Recon SCH Ms'!F27</f>
        <v>0</v>
      </c>
      <c r="G14" s="7">
        <f>'Recon SCH Ms'!G27</f>
        <v>0</v>
      </c>
      <c r="H14" s="7">
        <f>'Recon SCH Ms'!H27</f>
        <v>0</v>
      </c>
      <c r="I14" s="7">
        <f t="shared" si="5"/>
        <v>838281</v>
      </c>
      <c r="K14" s="32">
        <f t="shared" si="6"/>
        <v>-176039.00999999998</v>
      </c>
      <c r="L14" s="32">
        <f t="shared" si="2"/>
        <v>0</v>
      </c>
      <c r="M14" s="32">
        <f t="shared" si="2"/>
        <v>0</v>
      </c>
      <c r="N14" s="32">
        <f t="shared" si="2"/>
        <v>0</v>
      </c>
      <c r="O14" s="32">
        <f t="shared" si="2"/>
        <v>0</v>
      </c>
      <c r="P14" s="32">
        <f t="shared" ref="P14" si="13">SUM(K14:O14)</f>
        <v>-176039.00999999998</v>
      </c>
      <c r="Q14" s="33" t="s">
        <v>110</v>
      </c>
      <c r="R14" s="35">
        <v>-293523</v>
      </c>
      <c r="S14" s="35"/>
      <c r="T14" s="35"/>
      <c r="U14" s="35"/>
      <c r="V14" s="35"/>
      <c r="W14" s="35">
        <f t="shared" si="11"/>
        <v>-293523</v>
      </c>
      <c r="Y14" s="24">
        <f t="shared" si="9"/>
        <v>0</v>
      </c>
      <c r="Z14" s="32">
        <f t="shared" si="4"/>
        <v>117483.99000000002</v>
      </c>
      <c r="AA14" t="s">
        <v>130</v>
      </c>
    </row>
    <row r="15" spans="1:27" x14ac:dyDescent="0.25">
      <c r="A15" s="31">
        <f>'Recon SCH Ms'!A28</f>
        <v>997018</v>
      </c>
      <c r="B15" s="31" t="str">
        <f>'Recon SCH Ms'!B28</f>
        <v>DSM Tariff Rider</v>
      </c>
      <c r="C15" s="31" t="str">
        <f>'Recon SCH Ms'!C28</f>
        <v>Temp</v>
      </c>
      <c r="D15" s="7">
        <f>'Recon SCH Ms'!D28</f>
        <v>5008508</v>
      </c>
      <c r="E15" s="7">
        <f>'Recon SCH Ms'!E28</f>
        <v>2758982</v>
      </c>
      <c r="F15" s="7">
        <f>'Recon SCH Ms'!F28</f>
        <v>-263546</v>
      </c>
      <c r="G15" s="7">
        <f>'Recon SCH Ms'!G28</f>
        <v>-156114</v>
      </c>
      <c r="H15" s="7">
        <f>'Recon SCH Ms'!H28</f>
        <v>166439</v>
      </c>
      <c r="I15" s="7">
        <f t="shared" si="5"/>
        <v>7514269</v>
      </c>
      <c r="K15" s="32">
        <f t="shared" si="6"/>
        <v>-1051786.68</v>
      </c>
      <c r="L15" s="32">
        <f t="shared" si="2"/>
        <v>-579386.22</v>
      </c>
      <c r="M15" s="32">
        <f t="shared" si="2"/>
        <v>55344.659999999996</v>
      </c>
      <c r="N15" s="32">
        <f t="shared" si="2"/>
        <v>32783.94</v>
      </c>
      <c r="O15" s="32">
        <f t="shared" si="2"/>
        <v>-34952.19</v>
      </c>
      <c r="P15" s="32">
        <f t="shared" si="7"/>
        <v>-1577996.49</v>
      </c>
      <c r="Q15" s="33" t="s">
        <v>110</v>
      </c>
      <c r="R15" s="35">
        <f>-1051776.81-14.63*R2</f>
        <v>-1051786.6614031</v>
      </c>
      <c r="S15" s="35">
        <f>-579381.51-14.63*S2</f>
        <v>-579386.28859690006</v>
      </c>
      <c r="T15" s="35">
        <v>55344.61</v>
      </c>
      <c r="U15" s="35">
        <v>32784.019999999997</v>
      </c>
      <c r="V15" s="35">
        <v>-34952.15</v>
      </c>
      <c r="W15" s="35">
        <f t="shared" si="11"/>
        <v>-1577996.47</v>
      </c>
      <c r="Y15" s="24">
        <f t="shared" si="9"/>
        <v>4.0000000000873115E-2</v>
      </c>
      <c r="Z15" s="32">
        <f t="shared" si="4"/>
        <v>-2.0000000018626451E-2</v>
      </c>
    </row>
    <row r="16" spans="1:27" x14ac:dyDescent="0.25">
      <c r="A16" s="31">
        <f>'Recon SCH Ms'!A29</f>
        <v>997020</v>
      </c>
      <c r="B16" s="31" t="str">
        <f>'Recon SCH Ms'!B29</f>
        <v>FAS87 Current Pension Accrual</v>
      </c>
      <c r="C16" s="31" t="str">
        <f>'Recon SCH Ms'!C29</f>
        <v>Temp</v>
      </c>
      <c r="D16" s="7">
        <f>'Recon SCH Ms'!D29</f>
        <v>755995</v>
      </c>
      <c r="E16" s="7">
        <f>'Recon SCH Ms'!E29</f>
        <v>366709</v>
      </c>
      <c r="F16" s="7">
        <f>'Recon SCH Ms'!F29</f>
        <v>228952</v>
      </c>
      <c r="G16" s="7">
        <f>'Recon SCH Ms'!G29</f>
        <v>97353</v>
      </c>
      <c r="H16" s="7">
        <f>'Recon SCH Ms'!H29</f>
        <v>141718</v>
      </c>
      <c r="I16" s="7">
        <f t="shared" si="5"/>
        <v>1590727</v>
      </c>
      <c r="K16" s="32">
        <f t="shared" si="6"/>
        <v>-158758.94999999998</v>
      </c>
      <c r="L16" s="32">
        <f t="shared" si="2"/>
        <v>-77008.89</v>
      </c>
      <c r="M16" s="32">
        <f t="shared" si="2"/>
        <v>-48079.92</v>
      </c>
      <c r="N16" s="32">
        <f t="shared" si="2"/>
        <v>-20444.13</v>
      </c>
      <c r="O16" s="32">
        <f t="shared" si="2"/>
        <v>-29760.78</v>
      </c>
      <c r="P16" s="32">
        <f t="shared" si="7"/>
        <v>-334052.66999999993</v>
      </c>
      <c r="Q16" s="33" t="s">
        <v>109</v>
      </c>
      <c r="R16" s="34">
        <f>$X16*R$4</f>
        <v>-158758.88222168828</v>
      </c>
      <c r="S16" s="34">
        <f t="shared" ref="S16:V18" si="14">$X16*S$4</f>
        <v>-77008.797095311704</v>
      </c>
      <c r="T16" s="34">
        <f t="shared" si="14"/>
        <v>-48080.019029305928</v>
      </c>
      <c r="U16" s="34">
        <f t="shared" si="14"/>
        <v>-20444.201065194076</v>
      </c>
      <c r="V16" s="34">
        <f t="shared" si="14"/>
        <v>-29760.750588500003</v>
      </c>
      <c r="W16" s="34">
        <f t="shared" ref="W16" si="15">SUM(R16:V16)</f>
        <v>-334052.64999999997</v>
      </c>
      <c r="X16" s="24">
        <v>-334052.65000000002</v>
      </c>
      <c r="Y16" s="24">
        <f t="shared" si="9"/>
        <v>2.941149999605841E-2</v>
      </c>
      <c r="Z16" s="32">
        <f t="shared" si="4"/>
        <v>-1.9999999960418791E-2</v>
      </c>
    </row>
    <row r="17" spans="1:27" x14ac:dyDescent="0.25">
      <c r="A17" s="31">
        <f>'Recon SCH Ms'!A30</f>
        <v>997024</v>
      </c>
      <c r="B17" s="31" t="str">
        <f>'Recon SCH Ms'!B30</f>
        <v>Kettle Falls Disallowance</v>
      </c>
      <c r="C17" s="31" t="str">
        <f>'Recon SCH Ms'!C30</f>
        <v>Temp</v>
      </c>
      <c r="D17" s="7">
        <f>'Recon SCH Ms'!D30</f>
        <v>-5609</v>
      </c>
      <c r="E17" s="7">
        <f>'Recon SCH Ms'!E30</f>
        <v>0</v>
      </c>
      <c r="F17" s="7">
        <f>'Recon SCH Ms'!F30</f>
        <v>0</v>
      </c>
      <c r="G17" s="7">
        <f>'Recon SCH Ms'!G30</f>
        <v>0</v>
      </c>
      <c r="H17" s="7">
        <f>'Recon SCH Ms'!H30</f>
        <v>0</v>
      </c>
      <c r="I17" s="7">
        <f t="shared" si="5"/>
        <v>-5609</v>
      </c>
      <c r="K17" s="32">
        <f>D17*-0.21</f>
        <v>1177.8899999999999</v>
      </c>
      <c r="L17" s="32">
        <f t="shared" si="2"/>
        <v>0</v>
      </c>
      <c r="M17" s="32">
        <f t="shared" si="2"/>
        <v>0</v>
      </c>
      <c r="N17" s="32">
        <f t="shared" si="2"/>
        <v>0</v>
      </c>
      <c r="O17" s="32">
        <f t="shared" si="2"/>
        <v>0</v>
      </c>
      <c r="P17" s="32">
        <f t="shared" ref="P17" si="16">SUM(K17:O17)</f>
        <v>1177.8899999999999</v>
      </c>
      <c r="Q17" s="33" t="s">
        <v>110</v>
      </c>
      <c r="R17" s="35">
        <v>3683</v>
      </c>
      <c r="S17" s="35"/>
      <c r="T17" s="35"/>
      <c r="U17" s="35"/>
      <c r="V17" s="35"/>
      <c r="W17" s="35">
        <f t="shared" si="11"/>
        <v>3683</v>
      </c>
      <c r="Y17" s="24">
        <f t="shared" si="9"/>
        <v>0</v>
      </c>
      <c r="Z17" s="32">
        <f t="shared" si="4"/>
        <v>-2505.11</v>
      </c>
      <c r="AA17" t="s">
        <v>130</v>
      </c>
    </row>
    <row r="18" spans="1:27" x14ac:dyDescent="0.25">
      <c r="A18" s="31">
        <f>'Recon SCH Ms'!A31</f>
        <v>997027</v>
      </c>
      <c r="B18" s="31" t="str">
        <f>'Recon SCH Ms'!B31</f>
        <v>Uncollectibles</v>
      </c>
      <c r="C18" s="31" t="str">
        <f>'Recon SCH Ms'!C31</f>
        <v>Temp</v>
      </c>
      <c r="D18" s="7">
        <f>'Recon SCH Ms'!D31</f>
        <v>-1337651</v>
      </c>
      <c r="E18" s="7">
        <f>'Recon SCH Ms'!E31</f>
        <v>-648851</v>
      </c>
      <c r="F18" s="7">
        <f>'Recon SCH Ms'!F31</f>
        <v>-405107</v>
      </c>
      <c r="G18" s="7">
        <f>'Recon SCH Ms'!G31</f>
        <v>-172256</v>
      </c>
      <c r="H18" s="7">
        <f>'Recon SCH Ms'!H31</f>
        <v>-250755</v>
      </c>
      <c r="I18" s="7">
        <f t="shared" si="5"/>
        <v>-2814620</v>
      </c>
      <c r="K18" s="32">
        <f t="shared" si="6"/>
        <v>280906.70999999996</v>
      </c>
      <c r="L18" s="32">
        <f t="shared" si="2"/>
        <v>136258.71</v>
      </c>
      <c r="M18" s="32">
        <f t="shared" si="2"/>
        <v>85072.47</v>
      </c>
      <c r="N18" s="32">
        <f t="shared" si="2"/>
        <v>36173.760000000002</v>
      </c>
      <c r="O18" s="32">
        <f t="shared" si="2"/>
        <v>52658.549999999996</v>
      </c>
      <c r="P18" s="32">
        <f t="shared" si="7"/>
        <v>591070.19999999995</v>
      </c>
      <c r="Q18" s="33" t="s">
        <v>109</v>
      </c>
      <c r="R18" s="34">
        <f>$X18*R$4</f>
        <v>280906.78809840401</v>
      </c>
      <c r="S18" s="34">
        <f t="shared" si="14"/>
        <v>136258.79411999599</v>
      </c>
      <c r="T18" s="34">
        <f t="shared" si="14"/>
        <v>85072.428882265056</v>
      </c>
      <c r="U18" s="34">
        <f t="shared" si="14"/>
        <v>36173.817654134938</v>
      </c>
      <c r="V18" s="34">
        <f t="shared" si="14"/>
        <v>52658.451245200005</v>
      </c>
      <c r="W18" s="34">
        <f t="shared" si="11"/>
        <v>591070.27999999991</v>
      </c>
      <c r="X18" s="24">
        <f>-55149.24+646219.52</f>
        <v>591070.28</v>
      </c>
      <c r="Y18" s="24">
        <f t="shared" si="9"/>
        <v>-9.8754799990274478E-2</v>
      </c>
      <c r="Z18" s="32">
        <f t="shared" si="4"/>
        <v>-7.9999999958090484E-2</v>
      </c>
    </row>
    <row r="19" spans="1:27" x14ac:dyDescent="0.25">
      <c r="A19" s="31">
        <f>'Recon SCH Ms'!A32</f>
        <v>997031</v>
      </c>
      <c r="B19" s="31" t="str">
        <f>'Recon SCH Ms'!B32</f>
        <v>Decoupling Mechanism</v>
      </c>
      <c r="C19" s="31" t="str">
        <f>'Recon SCH Ms'!C32</f>
        <v>Temp</v>
      </c>
      <c r="D19" s="7">
        <f>'Recon SCH Ms'!D32</f>
        <v>-8118704</v>
      </c>
      <c r="E19" s="7">
        <f>'Recon SCH Ms'!E32</f>
        <v>-580565</v>
      </c>
      <c r="F19" s="7">
        <f>'Recon SCH Ms'!F32</f>
        <v>-1404768</v>
      </c>
      <c r="G19" s="7">
        <f>'Recon SCH Ms'!G32</f>
        <v>223108</v>
      </c>
      <c r="H19" s="7">
        <f>'Recon SCH Ms'!H32</f>
        <v>-177184</v>
      </c>
      <c r="I19" s="7">
        <f t="shared" si="5"/>
        <v>-10058113</v>
      </c>
      <c r="K19" s="32">
        <f t="shared" si="6"/>
        <v>1704927.8399999999</v>
      </c>
      <c r="L19" s="32">
        <f t="shared" si="2"/>
        <v>121918.65</v>
      </c>
      <c r="M19" s="32">
        <f t="shared" si="2"/>
        <v>295001.27999999997</v>
      </c>
      <c r="N19" s="32">
        <f t="shared" si="2"/>
        <v>-46852.68</v>
      </c>
      <c r="O19" s="32">
        <f t="shared" si="2"/>
        <v>37208.639999999999</v>
      </c>
      <c r="P19" s="32">
        <f t="shared" ref="P19" si="17">SUM(K19:O19)</f>
        <v>2112203.7299999995</v>
      </c>
      <c r="Q19" s="33" t="s">
        <v>110</v>
      </c>
      <c r="R19" s="35">
        <v>1704927.77</v>
      </c>
      <c r="S19" s="35">
        <v>121918.6</v>
      </c>
      <c r="T19" s="44">
        <f>149471.3+92763.51</f>
        <v>242234.81</v>
      </c>
      <c r="U19" s="35">
        <v>-46852.77</v>
      </c>
      <c r="V19" s="35">
        <v>37208.559999999998</v>
      </c>
      <c r="W19" s="35">
        <f t="shared" si="11"/>
        <v>2059436.9700000002</v>
      </c>
      <c r="Y19" s="24">
        <f t="shared" si="9"/>
        <v>-8.000000000174623E-2</v>
      </c>
      <c r="Z19" s="43">
        <f t="shared" si="4"/>
        <v>52766.759999999311</v>
      </c>
      <c r="AA19" t="s">
        <v>123</v>
      </c>
    </row>
    <row r="20" spans="1:27" x14ac:dyDescent="0.25">
      <c r="A20" s="31">
        <f>'Recon SCH Ms'!A33</f>
        <v>997032</v>
      </c>
      <c r="B20" s="31" t="str">
        <f>'Recon SCH Ms'!B33</f>
        <v>Interest Rate Swaps</v>
      </c>
      <c r="C20" s="31" t="str">
        <f>'Recon SCH Ms'!C33</f>
        <v>Temp</v>
      </c>
      <c r="D20" s="7">
        <f>'Recon SCH Ms'!D33</f>
        <v>-4986482</v>
      </c>
      <c r="E20" s="7">
        <f>'Recon SCH Ms'!E33</f>
        <v>-2418781</v>
      </c>
      <c r="F20" s="7">
        <f>'Recon SCH Ms'!F33</f>
        <v>-1510153</v>
      </c>
      <c r="G20" s="7">
        <f>'Recon SCH Ms'!G33</f>
        <v>-642135</v>
      </c>
      <c r="H20" s="7">
        <f>'Recon SCH Ms'!H33</f>
        <v>-934760</v>
      </c>
      <c r="I20" s="7">
        <f t="shared" si="5"/>
        <v>-10492311</v>
      </c>
      <c r="K20" s="32">
        <f t="shared" si="6"/>
        <v>1047161.22</v>
      </c>
      <c r="L20" s="32">
        <f t="shared" si="2"/>
        <v>507944.01</v>
      </c>
      <c r="M20" s="32">
        <f t="shared" si="2"/>
        <v>317132.13</v>
      </c>
      <c r="N20" s="32">
        <f t="shared" si="2"/>
        <v>134848.35</v>
      </c>
      <c r="O20" s="32">
        <f t="shared" si="2"/>
        <v>196299.6</v>
      </c>
      <c r="P20" s="32">
        <f t="shared" si="7"/>
        <v>2203385.31</v>
      </c>
      <c r="Q20" s="33" t="s">
        <v>109</v>
      </c>
      <c r="R20" s="34">
        <f>$X20*R$4</f>
        <v>1047161.1928712768</v>
      </c>
      <c r="S20" s="34">
        <f t="shared" ref="S20:V20" si="18">$X20*S$4</f>
        <v>507944.01358472329</v>
      </c>
      <c r="T20" s="34">
        <f t="shared" si="18"/>
        <v>317132.0519232254</v>
      </c>
      <c r="U20" s="34">
        <f t="shared" si="18"/>
        <v>134848.35415277461</v>
      </c>
      <c r="V20" s="34">
        <f t="shared" si="18"/>
        <v>196299.58746800001</v>
      </c>
      <c r="W20" s="34">
        <f t="shared" ref="W20" si="19">SUM(R20:V20)</f>
        <v>2203385.2000000002</v>
      </c>
      <c r="X20" s="24">
        <v>2203385.2000000002</v>
      </c>
      <c r="Y20" s="24">
        <f t="shared" si="9"/>
        <v>-1.2531999993370846E-2</v>
      </c>
      <c r="Z20" s="32">
        <f t="shared" ref="Z20" si="20">P20-W20</f>
        <v>0.10999999986961484</v>
      </c>
    </row>
    <row r="21" spans="1:27" x14ac:dyDescent="0.25">
      <c r="A21" s="31">
        <f>'Recon SCH Ms'!A34</f>
        <v>997033</v>
      </c>
      <c r="B21" s="31" t="str">
        <f>'Recon SCH Ms'!B34</f>
        <v>BPA Residential Exchange</v>
      </c>
      <c r="C21" s="31" t="str">
        <f>'Recon SCH Ms'!C34</f>
        <v>Temp</v>
      </c>
      <c r="D21" s="7">
        <f>'Recon SCH Ms'!D34</f>
        <v>-666453</v>
      </c>
      <c r="E21" s="7">
        <f>'Recon SCH Ms'!E34</f>
        <v>-568209</v>
      </c>
      <c r="F21" s="7">
        <f>'Recon SCH Ms'!F34</f>
        <v>0</v>
      </c>
      <c r="G21" s="7">
        <f>'Recon SCH Ms'!G34</f>
        <v>0</v>
      </c>
      <c r="H21" s="7">
        <f>'Recon SCH Ms'!H34</f>
        <v>0</v>
      </c>
      <c r="I21" s="7">
        <f t="shared" si="5"/>
        <v>-1234662</v>
      </c>
      <c r="K21" s="32">
        <f t="shared" si="6"/>
        <v>139955.13</v>
      </c>
      <c r="L21" s="32">
        <f t="shared" si="2"/>
        <v>119323.89</v>
      </c>
      <c r="M21" s="32">
        <f t="shared" si="2"/>
        <v>0</v>
      </c>
      <c r="N21" s="32">
        <f t="shared" si="2"/>
        <v>0</v>
      </c>
      <c r="O21" s="32">
        <f t="shared" si="2"/>
        <v>0</v>
      </c>
      <c r="P21" s="32">
        <f t="shared" si="7"/>
        <v>259279.02000000002</v>
      </c>
      <c r="Q21" s="33" t="s">
        <v>110</v>
      </c>
      <c r="R21" s="35">
        <f>148727.93-8772.79</f>
        <v>139955.13999999998</v>
      </c>
      <c r="S21" s="35">
        <f>132296.23-12972.32</f>
        <v>119323.91</v>
      </c>
      <c r="T21" s="35"/>
      <c r="U21" s="35"/>
      <c r="V21" s="35"/>
      <c r="W21" s="35">
        <f t="shared" ref="W21:W22" si="21">SUM(R21:V21)</f>
        <v>259279.05</v>
      </c>
      <c r="X21" s="24"/>
      <c r="Y21" s="24">
        <f t="shared" si="9"/>
        <v>0</v>
      </c>
      <c r="Z21" s="45">
        <f t="shared" ref="Z21:Z30" si="22">P21-W21</f>
        <v>-2.9999999969732016E-2</v>
      </c>
    </row>
    <row r="22" spans="1:27" x14ac:dyDescent="0.25">
      <c r="A22" s="31">
        <f>'Recon SCH Ms'!A35</f>
        <v>997034</v>
      </c>
      <c r="B22" s="31" t="str">
        <f>'Recon SCH Ms'!B35</f>
        <v>Montana Hydro Settlement</v>
      </c>
      <c r="C22" s="31" t="str">
        <f>'Recon SCH Ms'!C35</f>
        <v>Temp</v>
      </c>
      <c r="D22" s="7">
        <f>'Recon SCH Ms'!D35</f>
        <v>3258748</v>
      </c>
      <c r="E22" s="7">
        <f>'Recon SCH Ms'!E35</f>
        <v>1724809</v>
      </c>
      <c r="F22" s="7">
        <f>'Recon SCH Ms'!F35</f>
        <v>0</v>
      </c>
      <c r="G22" s="7">
        <f>'Recon SCH Ms'!G35</f>
        <v>0</v>
      </c>
      <c r="H22" s="7">
        <f>'Recon SCH Ms'!H35</f>
        <v>0</v>
      </c>
      <c r="I22" s="7">
        <f t="shared" si="5"/>
        <v>4983557</v>
      </c>
      <c r="K22" s="32">
        <f>D22*-0.21-K23</f>
        <v>-58231.089999999967</v>
      </c>
      <c r="L22" s="32">
        <f>E22*-0.21-L23</f>
        <v>-30820.900000000023</v>
      </c>
      <c r="M22" s="32">
        <f t="shared" si="2"/>
        <v>0</v>
      </c>
      <c r="N22" s="32">
        <f t="shared" si="2"/>
        <v>0</v>
      </c>
      <c r="O22" s="32">
        <f t="shared" si="2"/>
        <v>0</v>
      </c>
      <c r="P22" s="32">
        <f t="shared" si="7"/>
        <v>-89051.989999999991</v>
      </c>
      <c r="Q22" s="33" t="s">
        <v>109</v>
      </c>
      <c r="R22" s="34">
        <f>$X22*R$2</f>
        <v>-59964.972174800001</v>
      </c>
      <c r="S22" s="34">
        <f>$X22*S$2</f>
        <v>-29087.067825199996</v>
      </c>
      <c r="T22" s="34"/>
      <c r="U22" s="34"/>
      <c r="V22" s="34"/>
      <c r="W22" s="34">
        <f t="shared" si="21"/>
        <v>-89052.04</v>
      </c>
      <c r="X22" s="24">
        <v>-89052.04</v>
      </c>
      <c r="Y22" s="24">
        <f t="shared" si="9"/>
        <v>0</v>
      </c>
      <c r="Z22" s="32">
        <f t="shared" si="22"/>
        <v>5.0000000002910383E-2</v>
      </c>
    </row>
    <row r="23" spans="1:27" x14ac:dyDescent="0.25">
      <c r="A23" s="37"/>
      <c r="B23" s="38" t="s">
        <v>112</v>
      </c>
      <c r="C23" s="38"/>
      <c r="D23" s="39"/>
      <c r="E23" s="39"/>
      <c r="F23" s="39"/>
      <c r="G23" s="39"/>
      <c r="H23" s="39"/>
      <c r="I23" s="39"/>
      <c r="J23" s="40"/>
      <c r="K23" s="41">
        <f>R23</f>
        <v>-626105.99</v>
      </c>
      <c r="L23" s="41">
        <f>S23</f>
        <v>-331388.99</v>
      </c>
      <c r="M23" s="41"/>
      <c r="N23" s="41"/>
      <c r="O23" s="41"/>
      <c r="P23" s="41">
        <f t="shared" ref="P23" si="23">SUM(K23:O23)</f>
        <v>-957494.98</v>
      </c>
      <c r="Q23" s="33" t="s">
        <v>110</v>
      </c>
      <c r="R23" s="35">
        <v>-626105.99</v>
      </c>
      <c r="S23" s="35">
        <v>-331388.99</v>
      </c>
      <c r="T23" s="35"/>
      <c r="U23" s="35"/>
      <c r="V23" s="35"/>
      <c r="W23" s="35">
        <f t="shared" ref="W23:W27" si="24">SUM(R23:V23)</f>
        <v>-957494.98</v>
      </c>
      <c r="X23" s="24"/>
      <c r="Y23" s="24">
        <f t="shared" si="9"/>
        <v>0</v>
      </c>
      <c r="Z23" s="32">
        <f t="shared" si="22"/>
        <v>0</v>
      </c>
    </row>
    <row r="24" spans="1:27" x14ac:dyDescent="0.25">
      <c r="A24" s="31">
        <f>'Recon SCH Ms'!A36</f>
        <v>997035</v>
      </c>
      <c r="B24" s="31" t="str">
        <f>'Recon SCH Ms'!B36</f>
        <v>SCH M (Leases)</v>
      </c>
      <c r="C24" s="31" t="str">
        <f>'Recon SCH Ms'!C36</f>
        <v>Temp</v>
      </c>
      <c r="D24" s="7">
        <f>'Recon SCH Ms'!D36</f>
        <v>17056</v>
      </c>
      <c r="E24" s="7">
        <f>'Recon SCH Ms'!E36</f>
        <v>7595</v>
      </c>
      <c r="F24" s="7">
        <f>'Recon SCH Ms'!F36</f>
        <v>5201</v>
      </c>
      <c r="G24" s="7">
        <f>'Recon SCH Ms'!G36</f>
        <v>1964</v>
      </c>
      <c r="H24" s="7">
        <f>'Recon SCH Ms'!H36</f>
        <v>3112</v>
      </c>
      <c r="I24" s="7">
        <f t="shared" si="5"/>
        <v>34928</v>
      </c>
      <c r="K24" s="32">
        <f t="shared" si="6"/>
        <v>-3581.7599999999998</v>
      </c>
      <c r="L24" s="32">
        <f t="shared" si="6"/>
        <v>-1594.95</v>
      </c>
      <c r="M24" s="32">
        <f t="shared" si="6"/>
        <v>-1092.21</v>
      </c>
      <c r="N24" s="32">
        <f t="shared" si="6"/>
        <v>-412.44</v>
      </c>
      <c r="O24" s="32">
        <f t="shared" si="6"/>
        <v>-653.52</v>
      </c>
      <c r="P24" s="32">
        <f t="shared" ref="P24" si="25">SUM(K24:O24)</f>
        <v>-7334.8799999999992</v>
      </c>
      <c r="Q24" s="33" t="s">
        <v>109</v>
      </c>
      <c r="R24" s="34">
        <f>-5176.73*R2</f>
        <v>-3485.8546800999998</v>
      </c>
      <c r="S24" s="34">
        <f>-5176.73*S2</f>
        <v>-1690.8753198999998</v>
      </c>
      <c r="T24" s="34">
        <f>-1504.66*T3</f>
        <v>-1055.7446890000001</v>
      </c>
      <c r="U24" s="34">
        <f>-1504.66*U3</f>
        <v>-448.91531100000003</v>
      </c>
      <c r="V24" s="34">
        <v>-653.57000000000005</v>
      </c>
      <c r="W24" s="34">
        <f t="shared" si="24"/>
        <v>-7334.9599999999991</v>
      </c>
      <c r="X24" s="24"/>
      <c r="Y24" s="24">
        <f t="shared" si="9"/>
        <v>-5.0000000000068212E-2</v>
      </c>
      <c r="Z24" s="32">
        <f t="shared" si="22"/>
        <v>7.999999999992724E-2</v>
      </c>
      <c r="AA24" t="s">
        <v>122</v>
      </c>
    </row>
    <row r="25" spans="1:27" x14ac:dyDescent="0.25">
      <c r="A25" s="31">
        <f>'Recon SCH Ms'!A37</f>
        <v>997043</v>
      </c>
      <c r="B25" s="31" t="str">
        <f>'Recon SCH Ms'!B37</f>
        <v>Washington Deferred Power Costs</v>
      </c>
      <c r="C25" s="31" t="str">
        <f>'Recon SCH Ms'!C37</f>
        <v>Temp</v>
      </c>
      <c r="D25" s="7">
        <f>'Recon SCH Ms'!D37</f>
        <v>1096569</v>
      </c>
      <c r="E25" s="7">
        <f>'Recon SCH Ms'!E37</f>
        <v>0</v>
      </c>
      <c r="F25" s="7">
        <f>'Recon SCH Ms'!F37</f>
        <v>0</v>
      </c>
      <c r="G25" s="7">
        <f>'Recon SCH Ms'!G37</f>
        <v>0</v>
      </c>
      <c r="H25" s="7">
        <f>'Recon SCH Ms'!H37</f>
        <v>0</v>
      </c>
      <c r="I25" s="7">
        <f t="shared" si="1"/>
        <v>1096569</v>
      </c>
      <c r="K25" s="32">
        <f t="shared" ref="K25" si="26">D25*-0.21</f>
        <v>-230279.49</v>
      </c>
      <c r="L25" s="32">
        <f t="shared" ref="L25" si="27">E25*-0.21</f>
        <v>0</v>
      </c>
      <c r="M25" s="32">
        <f>F25*-0.21</f>
        <v>0</v>
      </c>
      <c r="N25" s="32">
        <f t="shared" ref="N25:O25" si="28">G25*-0.21</f>
        <v>0</v>
      </c>
      <c r="O25" s="32">
        <f t="shared" si="28"/>
        <v>0</v>
      </c>
      <c r="P25" s="32">
        <f t="shared" si="7"/>
        <v>-230279.49</v>
      </c>
      <c r="Q25" s="33" t="s">
        <v>110</v>
      </c>
      <c r="R25" s="35">
        <v>-230279.48</v>
      </c>
      <c r="S25" s="35"/>
      <c r="T25" s="35"/>
      <c r="U25" s="35"/>
      <c r="V25" s="35"/>
      <c r="W25" s="35">
        <f t="shared" si="24"/>
        <v>-230279.48</v>
      </c>
      <c r="X25" s="24"/>
      <c r="Y25" s="24">
        <f t="shared" si="9"/>
        <v>0</v>
      </c>
      <c r="Z25" s="32">
        <f t="shared" si="22"/>
        <v>-9.9999999802093953E-3</v>
      </c>
    </row>
    <row r="26" spans="1:27" x14ac:dyDescent="0.25">
      <c r="A26" s="31">
        <f>'Recon SCH Ms'!A38</f>
        <v>997044</v>
      </c>
      <c r="B26" s="31" t="str">
        <f>'Recon SCH Ms'!B38</f>
        <v>Non-Monetary Power Costs</v>
      </c>
      <c r="C26" s="31" t="str">
        <f>'Recon SCH Ms'!C38</f>
        <v>Temp</v>
      </c>
      <c r="D26" s="7">
        <f>'Recon SCH Ms'!D38</f>
        <v>171288</v>
      </c>
      <c r="E26" s="7">
        <f>'Recon SCH Ms'!E38</f>
        <v>83086</v>
      </c>
      <c r="F26" s="7">
        <f>'Recon SCH Ms'!F38</f>
        <v>0</v>
      </c>
      <c r="G26" s="7">
        <f>'Recon SCH Ms'!G38</f>
        <v>0</v>
      </c>
      <c r="H26" s="7">
        <f>'Recon SCH Ms'!H38</f>
        <v>0</v>
      </c>
      <c r="I26" s="7">
        <f t="shared" si="1"/>
        <v>254374</v>
      </c>
      <c r="K26" s="32">
        <f t="shared" ref="K26:O33" si="29">D26*-0.21</f>
        <v>-35970.479999999996</v>
      </c>
      <c r="L26" s="32">
        <f t="shared" si="29"/>
        <v>-17448.059999999998</v>
      </c>
      <c r="M26" s="32">
        <f t="shared" si="29"/>
        <v>0</v>
      </c>
      <c r="N26" s="32">
        <f t="shared" si="29"/>
        <v>0</v>
      </c>
      <c r="O26" s="32">
        <f t="shared" si="29"/>
        <v>0</v>
      </c>
      <c r="P26" s="32">
        <f t="shared" si="7"/>
        <v>-53418.539999999994</v>
      </c>
      <c r="Q26" s="33" t="s">
        <v>109</v>
      </c>
      <c r="R26" s="34">
        <f>$X26*R$2</f>
        <v>-35970.502883100002</v>
      </c>
      <c r="S26" s="34">
        <f>$X26*S$2</f>
        <v>-17448.127116899999</v>
      </c>
      <c r="T26" s="34"/>
      <c r="U26" s="34"/>
      <c r="V26" s="34"/>
      <c r="W26" s="34">
        <f t="shared" si="24"/>
        <v>-53418.630000000005</v>
      </c>
      <c r="X26" s="24">
        <v>-53418.63</v>
      </c>
      <c r="Y26" s="24">
        <f t="shared" si="9"/>
        <v>0</v>
      </c>
      <c r="Z26" s="32">
        <f t="shared" si="22"/>
        <v>9.0000000011059456E-2</v>
      </c>
    </row>
    <row r="27" spans="1:27" x14ac:dyDescent="0.25">
      <c r="A27" s="31">
        <f>'Recon SCH Ms'!A39</f>
        <v>997046</v>
      </c>
      <c r="B27" s="31" t="str">
        <f>'Recon SCH Ms'!B39</f>
        <v>Nez Perce Settlement</v>
      </c>
      <c r="C27" s="31" t="str">
        <f>'Recon SCH Ms'!C39</f>
        <v>Temp</v>
      </c>
      <c r="D27" s="7">
        <f>'Recon SCH Ms'!D39</f>
        <v>-22008</v>
      </c>
      <c r="E27" s="7">
        <f>'Recon SCH Ms'!E39</f>
        <v>5188</v>
      </c>
      <c r="F27" s="7">
        <f>'Recon SCH Ms'!F39</f>
        <v>0</v>
      </c>
      <c r="G27" s="7">
        <f>'Recon SCH Ms'!G39</f>
        <v>0</v>
      </c>
      <c r="H27" s="7">
        <f>'Recon SCH Ms'!H39</f>
        <v>0</v>
      </c>
      <c r="I27" s="7">
        <f t="shared" si="1"/>
        <v>-16820</v>
      </c>
      <c r="K27" s="32">
        <f t="shared" si="29"/>
        <v>4621.6799999999994</v>
      </c>
      <c r="L27" s="32">
        <f t="shared" si="29"/>
        <v>-1089.48</v>
      </c>
      <c r="M27" s="32">
        <f t="shared" si="29"/>
        <v>0</v>
      </c>
      <c r="N27" s="32">
        <f t="shared" si="29"/>
        <v>0</v>
      </c>
      <c r="O27" s="32">
        <f t="shared" si="29"/>
        <v>0</v>
      </c>
      <c r="P27" s="32">
        <f t="shared" si="7"/>
        <v>3532.1999999999994</v>
      </c>
      <c r="Q27" s="33" t="s">
        <v>110</v>
      </c>
      <c r="R27" s="35">
        <v>4621.68</v>
      </c>
      <c r="S27" s="35">
        <v>-1089.48</v>
      </c>
      <c r="T27" s="35"/>
      <c r="U27" s="35"/>
      <c r="V27" s="35"/>
      <c r="W27" s="35">
        <f t="shared" si="24"/>
        <v>3532.2000000000003</v>
      </c>
      <c r="X27" s="24"/>
      <c r="Y27" s="24">
        <f t="shared" si="9"/>
        <v>0</v>
      </c>
      <c r="Z27" s="32">
        <f t="shared" si="22"/>
        <v>0</v>
      </c>
    </row>
    <row r="28" spans="1:27" x14ac:dyDescent="0.25">
      <c r="A28" s="31">
        <f>'Recon SCH Ms'!A40</f>
        <v>997054</v>
      </c>
      <c r="B28" s="31" t="str">
        <f>'Recon SCH Ms'!B40</f>
        <v>Spokane River Relicensing</v>
      </c>
      <c r="C28" s="31" t="str">
        <f>'Recon SCH Ms'!C40</f>
        <v>Temp</v>
      </c>
      <c r="D28" s="7">
        <f>'Recon SCH Ms'!D40</f>
        <v>72939</v>
      </c>
      <c r="E28" s="7">
        <f>'Recon SCH Ms'!E40</f>
        <v>5797</v>
      </c>
      <c r="F28" s="7">
        <f>'Recon SCH Ms'!F40</f>
        <v>0</v>
      </c>
      <c r="G28" s="7">
        <f>'Recon SCH Ms'!G40</f>
        <v>0</v>
      </c>
      <c r="H28" s="7">
        <f>'Recon SCH Ms'!H40</f>
        <v>0</v>
      </c>
      <c r="I28" s="7">
        <f t="shared" si="1"/>
        <v>78736</v>
      </c>
      <c r="K28" s="32">
        <f t="shared" si="29"/>
        <v>-15317.189999999999</v>
      </c>
      <c r="L28" s="32">
        <f t="shared" si="29"/>
        <v>-1217.3699999999999</v>
      </c>
      <c r="M28" s="32">
        <f t="shared" si="29"/>
        <v>0</v>
      </c>
      <c r="N28" s="32">
        <f t="shared" si="29"/>
        <v>0</v>
      </c>
      <c r="O28" s="32">
        <f t="shared" si="29"/>
        <v>0</v>
      </c>
      <c r="P28" s="32">
        <f t="shared" si="7"/>
        <v>-16534.559999999998</v>
      </c>
      <c r="Q28" s="33" t="s">
        <v>110</v>
      </c>
      <c r="R28" s="35">
        <v>-15317.28</v>
      </c>
      <c r="S28" s="35">
        <v>-1217.28</v>
      </c>
      <c r="T28" s="35"/>
      <c r="U28" s="35"/>
      <c r="V28" s="35"/>
      <c r="W28" s="35">
        <f t="shared" si="11"/>
        <v>-16534.560000000001</v>
      </c>
      <c r="Y28" s="24">
        <f t="shared" si="9"/>
        <v>0</v>
      </c>
      <c r="Z28" s="32">
        <f t="shared" si="22"/>
        <v>0</v>
      </c>
    </row>
    <row r="29" spans="1:27" x14ac:dyDescent="0.25">
      <c r="A29" s="31">
        <f>'Recon SCH Ms'!A41</f>
        <v>997059</v>
      </c>
      <c r="B29" s="31" t="str">
        <f>'Recon SCH Ms'!B41</f>
        <v>Spokane River Relicensing PME</v>
      </c>
      <c r="C29" s="31" t="str">
        <f>'Recon SCH Ms'!C41</f>
        <v>Temp</v>
      </c>
      <c r="D29" s="7">
        <f>'Recon SCH Ms'!D41</f>
        <v>46316</v>
      </c>
      <c r="E29" s="7">
        <f>'Recon SCH Ms'!E41</f>
        <v>26996</v>
      </c>
      <c r="F29" s="7">
        <f>'Recon SCH Ms'!F41</f>
        <v>0</v>
      </c>
      <c r="G29" s="7">
        <f>'Recon SCH Ms'!G41</f>
        <v>0</v>
      </c>
      <c r="H29" s="7">
        <f>'Recon SCH Ms'!H41</f>
        <v>0</v>
      </c>
      <c r="I29" s="7">
        <f t="shared" si="1"/>
        <v>73312</v>
      </c>
      <c r="K29" s="32">
        <f t="shared" si="29"/>
        <v>-9726.3599999999988</v>
      </c>
      <c r="L29" s="32">
        <f t="shared" si="29"/>
        <v>-5669.16</v>
      </c>
      <c r="M29" s="32">
        <f t="shared" si="29"/>
        <v>0</v>
      </c>
      <c r="N29" s="32">
        <f t="shared" si="29"/>
        <v>0</v>
      </c>
      <c r="O29" s="32">
        <f t="shared" si="29"/>
        <v>0</v>
      </c>
      <c r="P29" s="32">
        <f t="shared" si="7"/>
        <v>-15395.519999999999</v>
      </c>
      <c r="Q29" s="33" t="s">
        <v>110</v>
      </c>
      <c r="R29" s="35">
        <v>-9726.36</v>
      </c>
      <c r="S29" s="35">
        <v>-5669.16</v>
      </c>
      <c r="T29" s="35"/>
      <c r="U29" s="35"/>
      <c r="V29" s="35"/>
      <c r="W29" s="35">
        <f t="shared" ref="W29:W30" si="30">SUM(R29:V29)</f>
        <v>-15395.52</v>
      </c>
      <c r="Y29" s="24">
        <f t="shared" si="9"/>
        <v>0</v>
      </c>
      <c r="Z29" s="32">
        <f t="shared" si="22"/>
        <v>0</v>
      </c>
    </row>
    <row r="30" spans="1:27" x14ac:dyDescent="0.25">
      <c r="A30" s="31">
        <f>'Recon SCH Ms'!A42</f>
        <v>997063</v>
      </c>
      <c r="B30" s="31" t="str">
        <f>'Recon SCH Ms'!B42</f>
        <v>CDA Lake Settlement</v>
      </c>
      <c r="C30" s="31" t="str">
        <f>'Recon SCH Ms'!C42</f>
        <v>Temp</v>
      </c>
      <c r="D30" s="7">
        <f>'Recon SCH Ms'!D42</f>
        <v>747435</v>
      </c>
      <c r="E30" s="7">
        <f>'Recon SCH Ms'!E42</f>
        <v>319744</v>
      </c>
      <c r="F30" s="7">
        <f>'Recon SCH Ms'!F42</f>
        <v>0</v>
      </c>
      <c r="G30" s="7">
        <f>'Recon SCH Ms'!G42</f>
        <v>0</v>
      </c>
      <c r="H30" s="7">
        <f>'Recon SCH Ms'!H42</f>
        <v>0</v>
      </c>
      <c r="I30" s="7">
        <f t="shared" si="1"/>
        <v>1067179</v>
      </c>
      <c r="K30" s="32">
        <f>D30*-0.21-K31</f>
        <v>-125016.51000000001</v>
      </c>
      <c r="L30" s="32">
        <f>E30*-0.21-L31</f>
        <v>-60641.51999999999</v>
      </c>
      <c r="M30" s="32">
        <f t="shared" si="29"/>
        <v>0</v>
      </c>
      <c r="N30" s="32">
        <f t="shared" si="29"/>
        <v>0</v>
      </c>
      <c r="O30" s="32">
        <f t="shared" si="29"/>
        <v>0</v>
      </c>
      <c r="P30" s="32">
        <f t="shared" si="7"/>
        <v>-185658.03</v>
      </c>
      <c r="Q30" s="33" t="s">
        <v>109</v>
      </c>
      <c r="R30" s="34">
        <f>$X30*R$2</f>
        <v>-125016.52746</v>
      </c>
      <c r="S30" s="34">
        <f>$X30*S$2</f>
        <v>-60641.472539999995</v>
      </c>
      <c r="T30" s="34"/>
      <c r="U30" s="34"/>
      <c r="V30" s="34"/>
      <c r="W30" s="34">
        <f t="shared" si="30"/>
        <v>-185658</v>
      </c>
      <c r="X30" s="24">
        <v>-185658</v>
      </c>
      <c r="Y30" s="24">
        <f t="shared" si="9"/>
        <v>0</v>
      </c>
      <c r="Z30" s="32">
        <f t="shared" si="22"/>
        <v>-2.9999999998835847E-2</v>
      </c>
    </row>
    <row r="31" spans="1:27" x14ac:dyDescent="0.25">
      <c r="A31" s="37"/>
      <c r="B31" s="38" t="s">
        <v>112</v>
      </c>
      <c r="C31" s="38"/>
      <c r="D31" s="39"/>
      <c r="E31" s="39"/>
      <c r="F31" s="39"/>
      <c r="G31" s="39"/>
      <c r="H31" s="39"/>
      <c r="I31" s="39"/>
      <c r="J31" s="40"/>
      <c r="K31" s="41">
        <f>R31</f>
        <v>-31944.84</v>
      </c>
      <c r="L31" s="41">
        <f>S31</f>
        <v>-6504.72</v>
      </c>
      <c r="M31" s="41"/>
      <c r="N31" s="41"/>
      <c r="O31" s="41"/>
      <c r="P31" s="41">
        <f t="shared" ref="P31" si="31">SUM(K31:O31)</f>
        <v>-38449.56</v>
      </c>
      <c r="Q31" s="33" t="s">
        <v>110</v>
      </c>
      <c r="R31" s="35">
        <v>-31944.84</v>
      </c>
      <c r="S31" s="35">
        <v>-6504.72</v>
      </c>
      <c r="T31" s="35"/>
      <c r="U31" s="35"/>
      <c r="V31" s="35"/>
      <c r="W31" s="35">
        <f t="shared" ref="W31" si="32">SUM(R31:V31)</f>
        <v>-38449.56</v>
      </c>
      <c r="X31" s="24"/>
      <c r="Y31" s="24">
        <f t="shared" si="9"/>
        <v>0</v>
      </c>
      <c r="Z31" s="32">
        <f t="shared" ref="Z31" si="33">P31-W31</f>
        <v>0</v>
      </c>
    </row>
    <row r="32" spans="1:27" x14ac:dyDescent="0.25">
      <c r="A32" s="31">
        <f>'Recon SCH Ms'!A43</f>
        <v>997065</v>
      </c>
      <c r="B32" s="31" t="str">
        <f>'Recon SCH Ms'!B43</f>
        <v>Amortization - Unbilled Revenue Add-Ins</v>
      </c>
      <c r="C32" s="31" t="str">
        <f>'Recon SCH Ms'!C43</f>
        <v>Temp</v>
      </c>
      <c r="D32" s="7">
        <f>'Recon SCH Ms'!D43</f>
        <v>-359626</v>
      </c>
      <c r="E32" s="7">
        <f>'Recon SCH Ms'!E43</f>
        <v>22206</v>
      </c>
      <c r="F32" s="7">
        <f>'Recon SCH Ms'!F43</f>
        <v>269250</v>
      </c>
      <c r="G32" s="7">
        <f>'Recon SCH Ms'!G43</f>
        <v>-15144</v>
      </c>
      <c r="H32" s="7">
        <f>'Recon SCH Ms'!H43</f>
        <v>-253142</v>
      </c>
      <c r="I32" s="7">
        <f t="shared" si="1"/>
        <v>-336456</v>
      </c>
      <c r="K32" s="32">
        <f t="shared" si="29"/>
        <v>75521.459999999992</v>
      </c>
      <c r="L32" s="32">
        <f t="shared" si="29"/>
        <v>-4663.26</v>
      </c>
      <c r="M32" s="32">
        <f t="shared" si="29"/>
        <v>-56542.5</v>
      </c>
      <c r="N32" s="32">
        <f t="shared" si="29"/>
        <v>3180.24</v>
      </c>
      <c r="O32" s="32">
        <f t="shared" si="29"/>
        <v>53159.82</v>
      </c>
      <c r="P32" s="32">
        <f t="shared" si="7"/>
        <v>70655.759999999995</v>
      </c>
      <c r="Q32" s="33" t="s">
        <v>110</v>
      </c>
      <c r="R32" s="35">
        <v>75521.460000000006</v>
      </c>
      <c r="S32" s="35">
        <v>-4663.26</v>
      </c>
      <c r="T32" s="35">
        <v>-56542.5</v>
      </c>
      <c r="U32" s="35">
        <v>3180.24</v>
      </c>
      <c r="V32" s="35">
        <v>53159.82</v>
      </c>
      <c r="W32" s="35">
        <f t="shared" si="11"/>
        <v>70655.760000000009</v>
      </c>
      <c r="Y32" s="24">
        <f t="shared" si="9"/>
        <v>0</v>
      </c>
      <c r="Z32" s="32">
        <f t="shared" ref="Z32:Z50" si="34">P32-W32</f>
        <v>0</v>
      </c>
    </row>
    <row r="33" spans="1:28" x14ac:dyDescent="0.25">
      <c r="A33" s="31">
        <f>'Recon SCH Ms'!A44</f>
        <v>997081</v>
      </c>
      <c r="B33" s="31" t="str">
        <f>'Recon SCH Ms'!B44</f>
        <v>Deferred Compensation</v>
      </c>
      <c r="C33" s="31" t="str">
        <f>'Recon SCH Ms'!C44</f>
        <v>Temp</v>
      </c>
      <c r="D33" s="7">
        <f>'Recon SCH Ms'!D44</f>
        <v>453409</v>
      </c>
      <c r="E33" s="7">
        <f>'Recon SCH Ms'!E44</f>
        <v>219934</v>
      </c>
      <c r="F33" s="7">
        <f>'Recon SCH Ms'!F44</f>
        <v>137314</v>
      </c>
      <c r="G33" s="7">
        <f>'Recon SCH Ms'!G44</f>
        <v>58388</v>
      </c>
      <c r="H33" s="7">
        <f>'Recon SCH Ms'!H44</f>
        <v>84995</v>
      </c>
      <c r="I33" s="7">
        <f t="shared" si="1"/>
        <v>954040</v>
      </c>
      <c r="K33" s="32">
        <f t="shared" si="29"/>
        <v>-95215.89</v>
      </c>
      <c r="L33" s="32">
        <f t="shared" si="29"/>
        <v>-46186.14</v>
      </c>
      <c r="M33" s="32">
        <f t="shared" si="29"/>
        <v>-28835.94</v>
      </c>
      <c r="N33" s="32">
        <f t="shared" si="29"/>
        <v>-12261.48</v>
      </c>
      <c r="O33" s="32">
        <f t="shared" si="29"/>
        <v>-17848.95</v>
      </c>
      <c r="P33" s="32">
        <f t="shared" si="7"/>
        <v>-200348.40000000002</v>
      </c>
      <c r="Q33" s="33" t="s">
        <v>109</v>
      </c>
      <c r="R33" s="34">
        <f t="shared" ref="R33:V34" si="35">$X33*R$4</f>
        <v>-95215.854978424453</v>
      </c>
      <c r="S33" s="34">
        <f t="shared" si="35"/>
        <v>-46186.130524975539</v>
      </c>
      <c r="T33" s="34">
        <f t="shared" si="35"/>
        <v>-28836.056636262183</v>
      </c>
      <c r="U33" s="34">
        <f t="shared" si="35"/>
        <v>-12261.437322637816</v>
      </c>
      <c r="V33" s="34">
        <f t="shared" si="35"/>
        <v>-17849.050537700001</v>
      </c>
      <c r="W33" s="34">
        <f t="shared" ref="W33" si="36">SUM(R33:V33)</f>
        <v>-200348.53</v>
      </c>
      <c r="X33" s="24">
        <v>-200348.53</v>
      </c>
      <c r="Y33" s="24">
        <f t="shared" si="9"/>
        <v>-0.10053770000013174</v>
      </c>
      <c r="Z33" s="32">
        <f t="shared" si="34"/>
        <v>0.12999999997555278</v>
      </c>
    </row>
    <row r="34" spans="1:28" x14ac:dyDescent="0.25">
      <c r="A34" s="31">
        <f>'Recon SCH Ms'!A45</f>
        <v>997083</v>
      </c>
      <c r="B34" s="31" t="str">
        <f>'Recon SCH Ms'!B45</f>
        <v>Paid Time Off</v>
      </c>
      <c r="C34" s="31" t="str">
        <f>'Recon SCH Ms'!C45</f>
        <v>Temp</v>
      </c>
      <c r="D34" s="7">
        <f>'Recon SCH Ms'!D45</f>
        <v>291672</v>
      </c>
      <c r="E34" s="7">
        <f>'Recon SCH Ms'!E45</f>
        <v>141481</v>
      </c>
      <c r="F34" s="7">
        <f>'Recon SCH Ms'!F45</f>
        <v>88333</v>
      </c>
      <c r="G34" s="7">
        <f>'Recon SCH Ms'!G45</f>
        <v>37560</v>
      </c>
      <c r="H34" s="7">
        <f>'Recon SCH Ms'!H45</f>
        <v>54677</v>
      </c>
      <c r="I34" s="7">
        <f t="shared" si="1"/>
        <v>613723</v>
      </c>
      <c r="K34" s="32">
        <f>D34*-0.21</f>
        <v>-61251.119999999995</v>
      </c>
      <c r="L34" s="32">
        <f t="shared" ref="L34:O49" si="37">E34*-0.21</f>
        <v>-29711.01</v>
      </c>
      <c r="M34" s="32">
        <f t="shared" si="37"/>
        <v>-18549.93</v>
      </c>
      <c r="N34" s="32">
        <f t="shared" si="37"/>
        <v>-7887.5999999999995</v>
      </c>
      <c r="O34" s="32">
        <f t="shared" si="37"/>
        <v>-11482.17</v>
      </c>
      <c r="P34" s="32">
        <f t="shared" si="7"/>
        <v>-128881.83</v>
      </c>
      <c r="Q34" s="33" t="s">
        <v>109</v>
      </c>
      <c r="R34" s="34">
        <f t="shared" si="35"/>
        <v>-61251.143174247685</v>
      </c>
      <c r="S34" s="34">
        <f t="shared" si="35"/>
        <v>-29710.947762752305</v>
      </c>
      <c r="T34" s="34">
        <f t="shared" si="35"/>
        <v>-18549.866868376423</v>
      </c>
      <c r="U34" s="34">
        <f t="shared" si="35"/>
        <v>-7887.6259961235746</v>
      </c>
      <c r="V34" s="34">
        <f t="shared" si="35"/>
        <v>-11482.066198500001</v>
      </c>
      <c r="W34" s="34">
        <f t="shared" ref="W34" si="38">SUM(R34:V34)</f>
        <v>-128881.65</v>
      </c>
      <c r="X34" s="24">
        <v>-128881.65</v>
      </c>
      <c r="Y34" s="24">
        <f t="shared" si="9"/>
        <v>0.10380149999946298</v>
      </c>
      <c r="Z34" s="32">
        <f t="shared" si="34"/>
        <v>-0.180000000007567</v>
      </c>
    </row>
    <row r="35" spans="1:28" x14ac:dyDescent="0.25">
      <c r="A35" s="31">
        <f>'Recon SCH Ms'!A46</f>
        <v>997088</v>
      </c>
      <c r="B35" s="31" t="str">
        <f>'Recon SCH Ms'!B46</f>
        <v>Deferred O&amp;M Colstrip &amp; CS2</v>
      </c>
      <c r="C35" s="31" t="str">
        <f>'Recon SCH Ms'!C46</f>
        <v>Temp</v>
      </c>
      <c r="D35" s="7">
        <f>'Recon SCH Ms'!D46</f>
        <v>0</v>
      </c>
      <c r="E35" s="7">
        <f>'Recon SCH Ms'!E46</f>
        <v>-261474</v>
      </c>
      <c r="F35" s="7">
        <f>'Recon SCH Ms'!F46</f>
        <v>0</v>
      </c>
      <c r="G35" s="7">
        <f>'Recon SCH Ms'!G46</f>
        <v>0</v>
      </c>
      <c r="H35" s="7">
        <f>'Recon SCH Ms'!H46</f>
        <v>0</v>
      </c>
      <c r="I35" s="7">
        <f t="shared" si="1"/>
        <v>-261474</v>
      </c>
      <c r="K35" s="32">
        <f t="shared" ref="K35:O50" si="39">D35*-0.21</f>
        <v>0</v>
      </c>
      <c r="L35" s="32">
        <f t="shared" si="37"/>
        <v>54909.54</v>
      </c>
      <c r="M35" s="32">
        <f t="shared" si="37"/>
        <v>0</v>
      </c>
      <c r="N35" s="32">
        <f t="shared" si="37"/>
        <v>0</v>
      </c>
      <c r="O35" s="32">
        <f t="shared" si="37"/>
        <v>0</v>
      </c>
      <c r="P35" s="32">
        <f t="shared" si="7"/>
        <v>54909.54</v>
      </c>
      <c r="Q35" s="33" t="s">
        <v>110</v>
      </c>
      <c r="R35" s="35"/>
      <c r="S35" s="35">
        <v>54909.54</v>
      </c>
      <c r="T35" s="35"/>
      <c r="U35" s="35"/>
      <c r="V35" s="35"/>
      <c r="W35" s="35">
        <f t="shared" si="11"/>
        <v>54909.54</v>
      </c>
      <c r="Y35" s="24">
        <f t="shared" si="9"/>
        <v>0</v>
      </c>
      <c r="Z35" s="32">
        <f t="shared" si="34"/>
        <v>0</v>
      </c>
    </row>
    <row r="36" spans="1:28" x14ac:dyDescent="0.25">
      <c r="A36" s="31">
        <f>'Recon SCH Ms'!A47</f>
        <v>997095</v>
      </c>
      <c r="B36" s="31" t="str">
        <f>'Recon SCH Ms'!B47</f>
        <v>WA REC DEF</v>
      </c>
      <c r="C36" s="31" t="str">
        <f>'Recon SCH Ms'!C47</f>
        <v>Temp</v>
      </c>
      <c r="D36" s="7">
        <f>'Recon SCH Ms'!D47</f>
        <v>-1396907</v>
      </c>
      <c r="E36" s="7">
        <f>'Recon SCH Ms'!E47</f>
        <v>0</v>
      </c>
      <c r="F36" s="7">
        <f>'Recon SCH Ms'!F47</f>
        <v>0</v>
      </c>
      <c r="G36" s="7">
        <f>'Recon SCH Ms'!G47</f>
        <v>0</v>
      </c>
      <c r="H36" s="7">
        <f>'Recon SCH Ms'!H47</f>
        <v>0</v>
      </c>
      <c r="I36" s="7">
        <f t="shared" ref="I36" si="40">SUM(D36:H36)</f>
        <v>-1396907</v>
      </c>
      <c r="K36" s="32">
        <f t="shared" si="39"/>
        <v>293350.46999999997</v>
      </c>
      <c r="L36" s="32">
        <f t="shared" si="37"/>
        <v>0</v>
      </c>
      <c r="M36" s="32">
        <f t="shared" si="37"/>
        <v>0</v>
      </c>
      <c r="N36" s="32">
        <f t="shared" si="37"/>
        <v>0</v>
      </c>
      <c r="O36" s="32">
        <f t="shared" si="37"/>
        <v>0</v>
      </c>
      <c r="P36" s="32">
        <f t="shared" ref="P36" si="41">SUM(K36:O36)</f>
        <v>293350.46999999997</v>
      </c>
      <c r="Q36" s="33" t="s">
        <v>110</v>
      </c>
      <c r="R36" s="35">
        <v>293350.42</v>
      </c>
      <c r="S36" s="35"/>
      <c r="T36" s="35"/>
      <c r="U36" s="35"/>
      <c r="V36" s="35"/>
      <c r="W36" s="35">
        <f t="shared" ref="W36" si="42">SUM(R36:V36)</f>
        <v>293350.42</v>
      </c>
      <c r="X36" s="24"/>
      <c r="Y36" s="24">
        <f t="shared" si="9"/>
        <v>0</v>
      </c>
      <c r="Z36" s="32">
        <f t="shared" si="34"/>
        <v>4.9999999988358468E-2</v>
      </c>
    </row>
    <row r="37" spans="1:28" x14ac:dyDescent="0.25">
      <c r="A37" s="31">
        <f>'Recon SCH Ms'!A48</f>
        <v>997096</v>
      </c>
      <c r="B37" s="31" t="str">
        <f>'Recon SCH Ms'!B48</f>
        <v>CDA Settlement Costs</v>
      </c>
      <c r="C37" s="31" t="str">
        <f>'Recon SCH Ms'!C48</f>
        <v>Temp</v>
      </c>
      <c r="D37" s="7">
        <f>'Recon SCH Ms'!D48</f>
        <v>22032</v>
      </c>
      <c r="E37" s="7">
        <f>'Recon SCH Ms'!E48</f>
        <v>10687</v>
      </c>
      <c r="F37" s="7">
        <f>'Recon SCH Ms'!F48</f>
        <v>0</v>
      </c>
      <c r="G37" s="7">
        <f>'Recon SCH Ms'!G48</f>
        <v>0</v>
      </c>
      <c r="H37" s="7">
        <f>'Recon SCH Ms'!H48</f>
        <v>0</v>
      </c>
      <c r="I37" s="7">
        <f t="shared" si="1"/>
        <v>32719</v>
      </c>
      <c r="K37" s="32">
        <f t="shared" si="39"/>
        <v>-4626.72</v>
      </c>
      <c r="L37" s="32">
        <f t="shared" si="37"/>
        <v>-2244.27</v>
      </c>
      <c r="M37" s="32">
        <f t="shared" si="37"/>
        <v>0</v>
      </c>
      <c r="N37" s="32">
        <f t="shared" si="37"/>
        <v>0</v>
      </c>
      <c r="O37" s="32">
        <f t="shared" si="37"/>
        <v>0</v>
      </c>
      <c r="P37" s="32">
        <f t="shared" si="7"/>
        <v>-6870.99</v>
      </c>
      <c r="Q37" s="33" t="s">
        <v>109</v>
      </c>
      <c r="R37" s="34">
        <f>$X37*R$2</f>
        <v>-4626.7791396000002</v>
      </c>
      <c r="S37" s="34">
        <f t="shared" ref="S37:V38" si="43">$X37*S$2</f>
        <v>-2244.3008603999997</v>
      </c>
      <c r="T37" s="34">
        <f t="shared" si="43"/>
        <v>0</v>
      </c>
      <c r="U37" s="34">
        <f t="shared" si="43"/>
        <v>0</v>
      </c>
      <c r="V37" s="34">
        <f t="shared" si="43"/>
        <v>0</v>
      </c>
      <c r="W37" s="34">
        <f t="shared" si="11"/>
        <v>-6871.08</v>
      </c>
      <c r="X37" s="24">
        <v>-6871.08</v>
      </c>
      <c r="Y37" s="24">
        <f t="shared" si="9"/>
        <v>0</v>
      </c>
      <c r="Z37" s="32">
        <f t="shared" si="34"/>
        <v>9.0000000000145519E-2</v>
      </c>
    </row>
    <row r="38" spans="1:28" x14ac:dyDescent="0.25">
      <c r="A38" s="31">
        <f>'Recon SCH Ms'!A49</f>
        <v>997099</v>
      </c>
      <c r="B38" s="31" t="str">
        <f>'Recon SCH Ms'!B49</f>
        <v>Kettle Falls Diesel Leak</v>
      </c>
      <c r="C38" s="31" t="str">
        <f>'Recon SCH Ms'!C49</f>
        <v>Temp</v>
      </c>
      <c r="D38" s="7">
        <f>'Recon SCH Ms'!D49</f>
        <v>124329</v>
      </c>
      <c r="E38" s="7">
        <f>'Recon SCH Ms'!E49</f>
        <v>60308</v>
      </c>
      <c r="F38" s="7">
        <f>'Recon SCH Ms'!F49</f>
        <v>0</v>
      </c>
      <c r="G38" s="7">
        <f>'Recon SCH Ms'!G49</f>
        <v>0</v>
      </c>
      <c r="H38" s="7">
        <f>'Recon SCH Ms'!H49</f>
        <v>0</v>
      </c>
      <c r="I38" s="26">
        <f t="shared" si="1"/>
        <v>184637</v>
      </c>
      <c r="K38" s="32">
        <f t="shared" si="39"/>
        <v>-26109.09</v>
      </c>
      <c r="L38" s="32">
        <f t="shared" si="37"/>
        <v>-12664.68</v>
      </c>
      <c r="M38" s="32">
        <f t="shared" si="37"/>
        <v>0</v>
      </c>
      <c r="N38" s="32">
        <f t="shared" si="37"/>
        <v>0</v>
      </c>
      <c r="O38" s="32">
        <f t="shared" si="37"/>
        <v>0</v>
      </c>
      <c r="P38" s="32">
        <f t="shared" si="7"/>
        <v>-38773.770000000004</v>
      </c>
      <c r="Q38" s="33" t="s">
        <v>109</v>
      </c>
      <c r="R38" s="34">
        <f>$X38*R$2</f>
        <v>-26109.1473745</v>
      </c>
      <c r="S38" s="34">
        <f t="shared" si="43"/>
        <v>-12664.702625499998</v>
      </c>
      <c r="T38" s="34">
        <f t="shared" si="43"/>
        <v>0</v>
      </c>
      <c r="U38" s="34">
        <f t="shared" si="43"/>
        <v>0</v>
      </c>
      <c r="V38" s="34">
        <f t="shared" si="43"/>
        <v>0</v>
      </c>
      <c r="W38" s="34">
        <f t="shared" ref="W38" si="44">SUM(R38:V38)</f>
        <v>-38773.85</v>
      </c>
      <c r="X38" s="24">
        <v>-38773.85</v>
      </c>
      <c r="Y38" s="24">
        <f t="shared" si="9"/>
        <v>0</v>
      </c>
      <c r="Z38" s="32">
        <f t="shared" si="34"/>
        <v>7.9999999994470272E-2</v>
      </c>
    </row>
    <row r="39" spans="1:28" x14ac:dyDescent="0.25">
      <c r="A39" s="31">
        <f>'Recon SCH Ms'!A50</f>
        <v>997102</v>
      </c>
      <c r="B39" s="31" t="str">
        <f>'Recon SCH Ms'!B50</f>
        <v>Amort Idaho Earnings Test (254229)</v>
      </c>
      <c r="C39" s="31" t="str">
        <f>'Recon SCH Ms'!C50</f>
        <v>Temp</v>
      </c>
      <c r="D39" s="7">
        <f>'Recon SCH Ms'!D50</f>
        <v>0</v>
      </c>
      <c r="E39" s="7">
        <f>'Recon SCH Ms'!E50</f>
        <v>-87014</v>
      </c>
      <c r="F39" s="7">
        <f>'Recon SCH Ms'!F50</f>
        <v>0</v>
      </c>
      <c r="G39" s="7">
        <f>'Recon SCH Ms'!G50</f>
        <v>0</v>
      </c>
      <c r="H39" s="7">
        <f>'Recon SCH Ms'!H50</f>
        <v>0</v>
      </c>
      <c r="I39" s="7">
        <f t="shared" si="1"/>
        <v>-87014</v>
      </c>
      <c r="K39" s="32">
        <f t="shared" si="39"/>
        <v>0</v>
      </c>
      <c r="L39" s="32">
        <f t="shared" si="37"/>
        <v>18272.939999999999</v>
      </c>
      <c r="M39" s="32">
        <f t="shared" si="37"/>
        <v>0</v>
      </c>
      <c r="N39" s="32">
        <f t="shared" si="37"/>
        <v>0</v>
      </c>
      <c r="O39" s="32">
        <f t="shared" si="37"/>
        <v>0</v>
      </c>
      <c r="P39" s="32">
        <f t="shared" si="7"/>
        <v>18272.939999999999</v>
      </c>
      <c r="Q39" s="33" t="s">
        <v>110</v>
      </c>
      <c r="R39" s="35"/>
      <c r="S39" s="35">
        <v>18272.939999999999</v>
      </c>
      <c r="T39" s="35"/>
      <c r="U39" s="35"/>
      <c r="V39" s="35"/>
      <c r="W39" s="35">
        <f t="shared" ref="W39" si="45">SUM(R39:V39)</f>
        <v>18272.939999999999</v>
      </c>
      <c r="Y39" s="24">
        <f t="shared" si="9"/>
        <v>0</v>
      </c>
      <c r="Z39" s="32">
        <f t="shared" si="34"/>
        <v>0</v>
      </c>
    </row>
    <row r="40" spans="1:28" x14ac:dyDescent="0.25">
      <c r="A40" s="31">
        <f>'Recon SCH Ms'!A51</f>
        <v>997103</v>
      </c>
      <c r="B40" s="31" t="str">
        <f>'Recon SCH Ms'!B51</f>
        <v>Def Project Compass</v>
      </c>
      <c r="C40" s="31" t="str">
        <f>'Recon SCH Ms'!C51</f>
        <v>Temp</v>
      </c>
      <c r="D40" s="7">
        <f>'Recon SCH Ms'!D51</f>
        <v>0</v>
      </c>
      <c r="E40" s="7">
        <f>'Recon SCH Ms'!E51</f>
        <v>668590</v>
      </c>
      <c r="F40" s="7">
        <f>'Recon SCH Ms'!F51</f>
        <v>0</v>
      </c>
      <c r="G40" s="7">
        <f>'Recon SCH Ms'!G51</f>
        <v>168136</v>
      </c>
      <c r="H40" s="7">
        <f>'Recon SCH Ms'!H51</f>
        <v>0</v>
      </c>
      <c r="I40" s="7">
        <f t="shared" si="1"/>
        <v>836726</v>
      </c>
      <c r="K40" s="32">
        <f t="shared" si="39"/>
        <v>0</v>
      </c>
      <c r="L40" s="32">
        <f t="shared" si="37"/>
        <v>-140403.9</v>
      </c>
      <c r="M40" s="32">
        <f t="shared" si="37"/>
        <v>0</v>
      </c>
      <c r="N40" s="32">
        <f t="shared" si="37"/>
        <v>-35308.559999999998</v>
      </c>
      <c r="O40" s="32">
        <f t="shared" si="37"/>
        <v>0</v>
      </c>
      <c r="P40" s="32">
        <f t="shared" si="7"/>
        <v>-175712.46</v>
      </c>
      <c r="Q40" s="33" t="s">
        <v>110</v>
      </c>
      <c r="R40" s="35"/>
      <c r="S40" s="35">
        <v>-140403.96</v>
      </c>
      <c r="T40" s="35"/>
      <c r="U40" s="35">
        <v>-35308.559999999998</v>
      </c>
      <c r="V40" s="35"/>
      <c r="W40" s="35">
        <f t="shared" ref="W40:W41" si="46">SUM(R40:V40)</f>
        <v>-175712.52</v>
      </c>
      <c r="Y40" s="24">
        <f t="shared" si="9"/>
        <v>0</v>
      </c>
      <c r="Z40" s="32">
        <f t="shared" si="34"/>
        <v>5.9999999997671694E-2</v>
      </c>
    </row>
    <row r="41" spans="1:28" x14ac:dyDescent="0.25">
      <c r="A41" s="31">
        <f>'Recon SCH Ms'!A52</f>
        <v>997104</v>
      </c>
      <c r="B41" s="31" t="str">
        <f>'Recon SCH Ms'!B52</f>
        <v>Spokane River TDG</v>
      </c>
      <c r="C41" s="31" t="str">
        <f>'Recon SCH Ms'!C52</f>
        <v>Temp</v>
      </c>
      <c r="D41" s="7">
        <f>'Recon SCH Ms'!D52</f>
        <v>0</v>
      </c>
      <c r="E41" s="7">
        <f>'Recon SCH Ms'!E52</f>
        <v>117223</v>
      </c>
      <c r="F41" s="7">
        <f>'Recon SCH Ms'!F52</f>
        <v>0</v>
      </c>
      <c r="G41" s="7">
        <f>'Recon SCH Ms'!G52</f>
        <v>0</v>
      </c>
      <c r="H41" s="7">
        <f>'Recon SCH Ms'!H52</f>
        <v>0</v>
      </c>
      <c r="I41" s="7">
        <f t="shared" si="1"/>
        <v>117223</v>
      </c>
      <c r="K41" s="32">
        <f t="shared" si="39"/>
        <v>0</v>
      </c>
      <c r="L41" s="32">
        <f t="shared" si="37"/>
        <v>-24616.829999999998</v>
      </c>
      <c r="M41" s="32">
        <f t="shared" si="37"/>
        <v>0</v>
      </c>
      <c r="N41" s="32">
        <f t="shared" si="37"/>
        <v>0</v>
      </c>
      <c r="O41" s="32">
        <f t="shared" si="37"/>
        <v>0</v>
      </c>
      <c r="P41" s="32">
        <f t="shared" si="7"/>
        <v>-24616.829999999998</v>
      </c>
      <c r="Q41" s="33" t="s">
        <v>110</v>
      </c>
      <c r="R41" s="35"/>
      <c r="S41" s="35">
        <v>-24616.92</v>
      </c>
      <c r="T41" s="35"/>
      <c r="U41" s="35"/>
      <c r="V41" s="35"/>
      <c r="W41" s="35">
        <f t="shared" si="46"/>
        <v>-24616.92</v>
      </c>
      <c r="X41" s="24"/>
      <c r="Y41" s="24">
        <f t="shared" si="9"/>
        <v>0</v>
      </c>
      <c r="Z41" s="32">
        <f t="shared" si="34"/>
        <v>9.0000000000145519E-2</v>
      </c>
    </row>
    <row r="42" spans="1:28" x14ac:dyDescent="0.25">
      <c r="A42" s="31">
        <f>'Recon SCH Ms'!A53</f>
        <v>997105</v>
      </c>
      <c r="B42" s="31" t="str">
        <f>'Recon SCH Ms'!B53</f>
        <v>WA Excess Nat Gas Line Extension</v>
      </c>
      <c r="C42" s="31" t="str">
        <f>'Recon SCH Ms'!C53</f>
        <v>Temp</v>
      </c>
      <c r="D42" s="7">
        <f>'Recon SCH Ms'!D53</f>
        <v>0</v>
      </c>
      <c r="E42" s="7">
        <f>'Recon SCH Ms'!E53</f>
        <v>0</v>
      </c>
      <c r="F42" s="7">
        <f>'Recon SCH Ms'!F53</f>
        <v>-657272</v>
      </c>
      <c r="G42" s="7">
        <f>'Recon SCH Ms'!G53</f>
        <v>0</v>
      </c>
      <c r="H42" s="7">
        <f>'Recon SCH Ms'!H53</f>
        <v>0</v>
      </c>
      <c r="I42" s="7">
        <f t="shared" ref="I42" si="47">SUM(D42:H42)</f>
        <v>-657272</v>
      </c>
      <c r="K42" s="32">
        <f t="shared" si="39"/>
        <v>0</v>
      </c>
      <c r="L42" s="32">
        <f t="shared" si="37"/>
        <v>0</v>
      </c>
      <c r="M42" s="32">
        <f t="shared" si="37"/>
        <v>138027.12</v>
      </c>
      <c r="N42" s="32">
        <f t="shared" si="37"/>
        <v>0</v>
      </c>
      <c r="O42" s="32">
        <f t="shared" si="37"/>
        <v>0</v>
      </c>
      <c r="P42" s="32">
        <f t="shared" ref="P42" si="48">SUM(K42:O42)</f>
        <v>138027.12</v>
      </c>
      <c r="Q42" s="33" t="s">
        <v>110</v>
      </c>
      <c r="R42" s="35"/>
      <c r="S42" s="35"/>
      <c r="T42" s="35">
        <v>138027.19</v>
      </c>
      <c r="U42" s="35"/>
      <c r="V42" s="35"/>
      <c r="W42" s="35">
        <f t="shared" si="11"/>
        <v>138027.19</v>
      </c>
      <c r="Y42" s="24">
        <f t="shared" si="9"/>
        <v>0</v>
      </c>
      <c r="Z42" s="32">
        <f t="shared" si="34"/>
        <v>-7.0000000006984919E-2</v>
      </c>
    </row>
    <row r="43" spans="1:28" x14ac:dyDescent="0.25">
      <c r="A43" s="31">
        <f>'Recon SCH Ms'!A54</f>
        <v>997107</v>
      </c>
      <c r="B43" s="31" t="str">
        <f>'Recon SCH Ms'!B54</f>
        <v>MDM System</v>
      </c>
      <c r="C43" s="31" t="str">
        <f>'Recon SCH Ms'!C54</f>
        <v>Temp</v>
      </c>
      <c r="D43" s="7">
        <f>'Recon SCH Ms'!D54</f>
        <v>-17272075</v>
      </c>
      <c r="E43" s="7">
        <f>'Recon SCH Ms'!E54</f>
        <v>0</v>
      </c>
      <c r="F43" s="7">
        <f>'Recon SCH Ms'!F54</f>
        <v>-3953313</v>
      </c>
      <c r="G43" s="7">
        <f>'Recon SCH Ms'!G54</f>
        <v>0</v>
      </c>
      <c r="H43" s="7">
        <f>'Recon SCH Ms'!H54</f>
        <v>249000</v>
      </c>
      <c r="I43" s="7">
        <f t="shared" si="1"/>
        <v>-20976388</v>
      </c>
      <c r="K43" s="32">
        <f t="shared" si="39"/>
        <v>3627135.75</v>
      </c>
      <c r="L43" s="32">
        <f t="shared" si="37"/>
        <v>0</v>
      </c>
      <c r="M43" s="32">
        <f t="shared" si="37"/>
        <v>830195.73</v>
      </c>
      <c r="N43" s="32">
        <f t="shared" si="37"/>
        <v>0</v>
      </c>
      <c r="O43" s="32">
        <f t="shared" si="37"/>
        <v>-52290</v>
      </c>
      <c r="P43" s="32">
        <f t="shared" si="7"/>
        <v>4405041.4800000004</v>
      </c>
      <c r="Q43" s="33" t="s">
        <v>110</v>
      </c>
      <c r="R43" s="35">
        <v>3627135.83</v>
      </c>
      <c r="S43" s="35"/>
      <c r="T43" s="35">
        <v>830195.65</v>
      </c>
      <c r="U43" s="35"/>
      <c r="V43" s="35">
        <v>-52290</v>
      </c>
      <c r="W43" s="35">
        <f t="shared" si="11"/>
        <v>4405041.4800000004</v>
      </c>
      <c r="Y43" s="24">
        <f t="shared" si="9"/>
        <v>0</v>
      </c>
      <c r="Z43" s="32">
        <f t="shared" si="34"/>
        <v>0</v>
      </c>
    </row>
    <row r="44" spans="1:28" x14ac:dyDescent="0.25">
      <c r="A44" s="31">
        <f>'Recon SCH Ms'!A55</f>
        <v>997108</v>
      </c>
      <c r="B44" s="31" t="str">
        <f>'Recon SCH Ms'!B55</f>
        <v>PROV FOR RATE REFUND - TAX REFORM</v>
      </c>
      <c r="C44" s="31" t="str">
        <f>'Recon SCH Ms'!C55</f>
        <v>Temp</v>
      </c>
      <c r="D44" s="7">
        <f>'Recon SCH Ms'!D55</f>
        <v>0</v>
      </c>
      <c r="E44" s="7">
        <f>'Recon SCH Ms'!E55</f>
        <v>-40777.07</v>
      </c>
      <c r="F44" s="7">
        <f>'Recon SCH Ms'!F55</f>
        <v>0</v>
      </c>
      <c r="G44" s="7">
        <f>'Recon SCH Ms'!G55</f>
        <v>0</v>
      </c>
      <c r="H44" s="7">
        <f>'Recon SCH Ms'!H55</f>
        <v>2468771</v>
      </c>
      <c r="I44" s="7">
        <f t="shared" si="1"/>
        <v>2427993.9300000002</v>
      </c>
      <c r="K44" s="32">
        <f t="shared" si="39"/>
        <v>0</v>
      </c>
      <c r="L44" s="32">
        <f t="shared" si="37"/>
        <v>8563.1846999999998</v>
      </c>
      <c r="M44" s="32">
        <f t="shared" si="37"/>
        <v>0</v>
      </c>
      <c r="N44" s="32">
        <f t="shared" si="37"/>
        <v>0</v>
      </c>
      <c r="O44" s="32">
        <f t="shared" si="37"/>
        <v>-518441.91</v>
      </c>
      <c r="P44" s="32">
        <f t="shared" si="7"/>
        <v>-509878.72529999999</v>
      </c>
      <c r="Q44" s="33" t="s">
        <v>110</v>
      </c>
      <c r="R44" s="35"/>
      <c r="S44" s="44"/>
      <c r="T44" s="35"/>
      <c r="U44" s="35"/>
      <c r="V44" s="35">
        <f>-520308.72-4279.58+37238.84-10889.21-15983.81</f>
        <v>-514222.48</v>
      </c>
      <c r="W44" s="35">
        <f t="shared" ref="W44" si="49">SUM(R44:V44)</f>
        <v>-514222.48</v>
      </c>
      <c r="X44" s="24"/>
      <c r="Y44" s="24">
        <f t="shared" si="9"/>
        <v>4219.429999999993</v>
      </c>
      <c r="Z44" s="32">
        <f t="shared" si="34"/>
        <v>4343.7546999999904</v>
      </c>
      <c r="AB44">
        <v>8563</v>
      </c>
    </row>
    <row r="45" spans="1:28" x14ac:dyDescent="0.25">
      <c r="A45" s="31">
        <f>'Recon SCH Ms'!A56</f>
        <v>997109</v>
      </c>
      <c r="B45" s="31" t="str">
        <f>'Recon SCH Ms'!B56</f>
        <v>TAX REFORM AMORTIZATION</v>
      </c>
      <c r="C45" s="31" t="str">
        <f>'Recon SCH Ms'!C56</f>
        <v>Temp</v>
      </c>
      <c r="D45" s="7">
        <f>'Recon SCH Ms'!D56</f>
        <v>-4146455</v>
      </c>
      <c r="E45" s="7">
        <f>'Recon SCH Ms'!E56</f>
        <v>-3787244</v>
      </c>
      <c r="F45" s="7">
        <f>'Recon SCH Ms'!F56</f>
        <v>-1469943</v>
      </c>
      <c r="G45" s="7">
        <f>'Recon SCH Ms'!G56</f>
        <v>0</v>
      </c>
      <c r="H45" s="7">
        <f>'Recon SCH Ms'!H56</f>
        <v>-2246387</v>
      </c>
      <c r="I45" s="7">
        <f t="shared" ref="I45" si="50">SUM(D45:H45)</f>
        <v>-11650029</v>
      </c>
      <c r="K45" s="32">
        <f t="shared" si="39"/>
        <v>870755.54999999993</v>
      </c>
      <c r="L45" s="32">
        <f t="shared" si="37"/>
        <v>795321.24</v>
      </c>
      <c r="M45" s="32">
        <f t="shared" si="37"/>
        <v>308688.02999999997</v>
      </c>
      <c r="N45" s="32">
        <f t="shared" si="37"/>
        <v>0</v>
      </c>
      <c r="O45" s="32">
        <f t="shared" si="37"/>
        <v>471741.26999999996</v>
      </c>
      <c r="P45" s="32">
        <f t="shared" ref="P45" si="51">SUM(K45:O45)</f>
        <v>2446506.09</v>
      </c>
      <c r="Q45" s="33" t="s">
        <v>110</v>
      </c>
      <c r="R45" s="36">
        <f>908696.67-26950.24-10990.98</f>
        <v>870755.45000000007</v>
      </c>
      <c r="S45" s="35">
        <f>811772.22-16451.06</f>
        <v>795321.15999999992</v>
      </c>
      <c r="T45" s="35">
        <f>316012.44-7940.75+616.35</f>
        <v>308688.03999999998</v>
      </c>
      <c r="U45" s="35"/>
      <c r="V45" s="35">
        <f>467521.79</f>
        <v>467521.79</v>
      </c>
      <c r="W45" s="35">
        <f t="shared" ref="W45" si="52">SUM(R45:V45)</f>
        <v>2442286.44</v>
      </c>
      <c r="Y45" s="24">
        <f t="shared" si="9"/>
        <v>-4219.4799999999814</v>
      </c>
      <c r="Z45" s="32">
        <f t="shared" si="34"/>
        <v>4219.6499999999069</v>
      </c>
    </row>
    <row r="46" spans="1:28" x14ac:dyDescent="0.25">
      <c r="A46" s="31">
        <f>'Recon SCH Ms'!A57</f>
        <v>997110</v>
      </c>
      <c r="B46" s="31" t="str">
        <f>'Recon SCH Ms'!B57</f>
        <v>FISERVE</v>
      </c>
      <c r="C46" s="31" t="str">
        <f>'Recon SCH Ms'!C57</f>
        <v>Temp</v>
      </c>
      <c r="D46" s="7">
        <f>'Recon SCH Ms'!D57</f>
        <v>-728253</v>
      </c>
      <c r="E46" s="7">
        <f>'Recon SCH Ms'!E57</f>
        <v>-330841</v>
      </c>
      <c r="F46" s="7">
        <f>'Recon SCH Ms'!F57</f>
        <v>-445756</v>
      </c>
      <c r="G46" s="7">
        <f>'Recon SCH Ms'!G57</f>
        <v>-214574</v>
      </c>
      <c r="H46" s="7">
        <f>'Recon SCH Ms'!H57</f>
        <v>55908</v>
      </c>
      <c r="I46" s="7">
        <f t="shared" si="1"/>
        <v>-1663516</v>
      </c>
      <c r="K46" s="32">
        <f t="shared" si="39"/>
        <v>152933.13</v>
      </c>
      <c r="L46" s="32">
        <f t="shared" si="37"/>
        <v>69476.61</v>
      </c>
      <c r="M46" s="32">
        <f t="shared" si="37"/>
        <v>93608.76</v>
      </c>
      <c r="N46" s="32">
        <f t="shared" si="37"/>
        <v>45060.54</v>
      </c>
      <c r="O46" s="32">
        <f t="shared" si="37"/>
        <v>-11740.68</v>
      </c>
      <c r="P46" s="32">
        <f t="shared" si="7"/>
        <v>349338.36</v>
      </c>
      <c r="Q46" s="33" t="s">
        <v>110</v>
      </c>
      <c r="R46" s="35">
        <v>152933.07</v>
      </c>
      <c r="S46" s="35">
        <v>69476.67</v>
      </c>
      <c r="T46" s="35">
        <f>93608.7-0</f>
        <v>93608.7</v>
      </c>
      <c r="U46" s="35">
        <v>45060.55</v>
      </c>
      <c r="V46" s="35">
        <v>-11740.69</v>
      </c>
      <c r="W46" s="35">
        <f t="shared" ref="W46:W47" si="53">SUM(R46:V46)</f>
        <v>349338.3</v>
      </c>
      <c r="X46" s="24"/>
      <c r="Y46" s="24">
        <f t="shared" si="9"/>
        <v>-1.0000000000218279E-2</v>
      </c>
      <c r="Z46" s="32">
        <f t="shared" si="34"/>
        <v>5.9999999997671694E-2</v>
      </c>
    </row>
    <row r="47" spans="1:28" x14ac:dyDescent="0.25">
      <c r="A47" s="31">
        <f>'Recon SCH Ms'!A58</f>
        <v>997114</v>
      </c>
      <c r="B47" s="31" t="str">
        <f>'Recon SCH Ms'!B58</f>
        <v>AFUDC DEBT CWIP</v>
      </c>
      <c r="C47" s="31" t="str">
        <f>'Recon SCH Ms'!C58</f>
        <v>Temp</v>
      </c>
      <c r="D47" s="7">
        <f>'Recon SCH Ms'!D58</f>
        <v>311589</v>
      </c>
      <c r="E47" s="7">
        <f>'Recon SCH Ms'!E58</f>
        <v>151142</v>
      </c>
      <c r="F47" s="7">
        <f>'Recon SCH Ms'!F58</f>
        <v>94364</v>
      </c>
      <c r="G47" s="7">
        <f>'Recon SCH Ms'!G58</f>
        <v>40125</v>
      </c>
      <c r="H47" s="7">
        <f>'Recon SCH Ms'!H58</f>
        <v>58410</v>
      </c>
      <c r="I47" s="7">
        <f t="shared" si="1"/>
        <v>655630</v>
      </c>
      <c r="K47" s="32">
        <f t="shared" si="39"/>
        <v>-65433.689999999995</v>
      </c>
      <c r="L47" s="32">
        <f t="shared" si="37"/>
        <v>-31739.82</v>
      </c>
      <c r="M47" s="32">
        <f t="shared" si="37"/>
        <v>-19816.439999999999</v>
      </c>
      <c r="N47" s="32">
        <f t="shared" si="37"/>
        <v>-8426.25</v>
      </c>
      <c r="O47" s="32">
        <f t="shared" si="37"/>
        <v>-12266.1</v>
      </c>
      <c r="P47" s="32">
        <f t="shared" si="7"/>
        <v>-137682.29999999999</v>
      </c>
      <c r="Q47" s="33" t="s">
        <v>109</v>
      </c>
      <c r="R47" s="34">
        <f t="shared" ref="R47:V47" si="54">$X47*R$4</f>
        <v>-65433.519003805195</v>
      </c>
      <c r="S47" s="34">
        <f t="shared" si="54"/>
        <v>-31739.682956194796</v>
      </c>
      <c r="T47" s="34">
        <f t="shared" si="54"/>
        <v>-19816.496531288998</v>
      </c>
      <c r="U47" s="34">
        <f t="shared" si="54"/>
        <v>-8426.2121287110003</v>
      </c>
      <c r="V47" s="34">
        <f t="shared" si="54"/>
        <v>-12266.089380000001</v>
      </c>
      <c r="W47" s="34">
        <f t="shared" si="53"/>
        <v>-137682</v>
      </c>
      <c r="X47" s="24">
        <v>-137682</v>
      </c>
      <c r="Y47" s="24">
        <f t="shared" si="9"/>
        <v>1.0619999999107677E-2</v>
      </c>
      <c r="Z47" s="32">
        <f t="shared" si="34"/>
        <v>-0.29999999998835847</v>
      </c>
    </row>
    <row r="48" spans="1:28" x14ac:dyDescent="0.25">
      <c r="A48" s="31">
        <f>'Recon SCH Ms'!A59</f>
        <v>997115</v>
      </c>
      <c r="B48" s="31" t="str">
        <f>'Recon SCH Ms'!B59</f>
        <v>AFUDC EQUITY TAX DEFERRAL</v>
      </c>
      <c r="C48" s="31" t="str">
        <f>'Recon SCH Ms'!C59</f>
        <v>Temp</v>
      </c>
      <c r="D48" s="7">
        <f>'Recon SCH Ms'!D59</f>
        <v>778866</v>
      </c>
      <c r="E48" s="7">
        <f>'Recon SCH Ms'!E59</f>
        <v>342779</v>
      </c>
      <c r="F48" s="7">
        <f>'Recon SCH Ms'!F59</f>
        <v>229489</v>
      </c>
      <c r="G48" s="7">
        <f>'Recon SCH Ms'!G59</f>
        <v>110152</v>
      </c>
      <c r="H48" s="7">
        <f>'Recon SCH Ms'!H59</f>
        <v>-157643</v>
      </c>
      <c r="I48" s="7">
        <f t="shared" si="1"/>
        <v>1303643</v>
      </c>
      <c r="K48" s="32">
        <f t="shared" si="39"/>
        <v>-163561.85999999999</v>
      </c>
      <c r="L48" s="32">
        <f t="shared" si="37"/>
        <v>-71983.59</v>
      </c>
      <c r="M48" s="32">
        <f t="shared" si="37"/>
        <v>-48192.689999999995</v>
      </c>
      <c r="N48" s="32">
        <f t="shared" si="37"/>
        <v>-23131.919999999998</v>
      </c>
      <c r="O48" s="32">
        <f t="shared" si="37"/>
        <v>33105.03</v>
      </c>
      <c r="P48" s="32">
        <f t="shared" si="7"/>
        <v>-273765.02999999991</v>
      </c>
      <c r="Q48" s="33" t="s">
        <v>110</v>
      </c>
      <c r="R48" s="35">
        <f>-82621.02-32470.99-48469.68</f>
        <v>-163561.69</v>
      </c>
      <c r="S48" s="35">
        <f>-40347.09-15856.85-15779.75</f>
        <v>-71983.69</v>
      </c>
      <c r="T48" s="35">
        <f>-24343.87-9567.41-14281.34</f>
        <v>-48192.619999999995</v>
      </c>
      <c r="U48" s="35">
        <f>-11684.83-4592.27-6854.91</f>
        <v>-23132.010000000002</v>
      </c>
      <c r="V48" s="35">
        <f>-16333.81-6419.36+55858.25</f>
        <v>33105.08</v>
      </c>
      <c r="W48" s="35">
        <f t="shared" si="11"/>
        <v>-273764.93</v>
      </c>
      <c r="Y48" s="24">
        <f t="shared" si="9"/>
        <v>5.0000000002910383E-2</v>
      </c>
      <c r="Z48" s="32">
        <f t="shared" si="34"/>
        <v>-9.9999999918509275E-2</v>
      </c>
    </row>
    <row r="49" spans="1:26" x14ac:dyDescent="0.25">
      <c r="A49" s="31">
        <f>'Recon SCH Ms'!A60</f>
        <v>997117</v>
      </c>
      <c r="B49" s="31" t="str">
        <f>'Recon SCH Ms'!B60</f>
        <v>Colstrip Plant ADJ</v>
      </c>
      <c r="C49" s="31" t="str">
        <f>'Recon SCH Ms'!C60</f>
        <v>Temp</v>
      </c>
      <c r="D49" s="7">
        <f>'Recon SCH Ms'!D60</f>
        <v>0</v>
      </c>
      <c r="E49" s="7">
        <f>'Recon SCH Ms'!E60</f>
        <v>-1428366</v>
      </c>
      <c r="F49" s="7">
        <f>'Recon SCH Ms'!F60</f>
        <v>0</v>
      </c>
      <c r="G49" s="7">
        <f>'Recon SCH Ms'!G60</f>
        <v>0</v>
      </c>
      <c r="H49" s="7">
        <f>'Recon SCH Ms'!H60</f>
        <v>0</v>
      </c>
      <c r="I49" s="7">
        <f t="shared" si="1"/>
        <v>-1428366</v>
      </c>
      <c r="K49" s="32">
        <f t="shared" si="39"/>
        <v>0</v>
      </c>
      <c r="L49" s="32">
        <f t="shared" si="37"/>
        <v>299956.86</v>
      </c>
      <c r="M49" s="32">
        <f t="shared" si="37"/>
        <v>0</v>
      </c>
      <c r="N49" s="32">
        <f t="shared" si="37"/>
        <v>0</v>
      </c>
      <c r="O49" s="32">
        <f t="shared" si="37"/>
        <v>0</v>
      </c>
      <c r="P49" s="32">
        <f t="shared" si="7"/>
        <v>299956.86</v>
      </c>
      <c r="Q49" s="33" t="s">
        <v>110</v>
      </c>
      <c r="R49" s="35"/>
      <c r="S49" s="35">
        <f>312855.62-12898.84</f>
        <v>299956.77999999997</v>
      </c>
      <c r="T49" s="35"/>
      <c r="U49" s="35"/>
      <c r="V49" s="35"/>
      <c r="W49" s="35">
        <f t="shared" si="11"/>
        <v>299956.77999999997</v>
      </c>
      <c r="Y49" s="24">
        <f t="shared" si="9"/>
        <v>0</v>
      </c>
      <c r="Z49" s="32">
        <f t="shared" si="34"/>
        <v>8.0000000016298145E-2</v>
      </c>
    </row>
    <row r="50" spans="1:26" x14ac:dyDescent="0.25">
      <c r="A50" s="31">
        <f>'Recon SCH Ms'!A61</f>
        <v>997118</v>
      </c>
      <c r="B50" s="31" t="str">
        <f>'Recon SCH Ms'!B61</f>
        <v>Natural Gas Deprec Exp Deferral</v>
      </c>
      <c r="C50" s="31" t="str">
        <f>'Recon SCH Ms'!C61</f>
        <v>Temp</v>
      </c>
      <c r="D50" s="7">
        <f>'Recon SCH Ms'!D61</f>
        <v>0</v>
      </c>
      <c r="E50" s="7">
        <f>'Recon SCH Ms'!E61</f>
        <v>0</v>
      </c>
      <c r="F50" s="7">
        <f>'Recon SCH Ms'!F61</f>
        <v>0</v>
      </c>
      <c r="G50" s="7">
        <f>'Recon SCH Ms'!G61</f>
        <v>81297</v>
      </c>
      <c r="H50" s="7">
        <f>'Recon SCH Ms'!H61</f>
        <v>0</v>
      </c>
      <c r="I50" s="7">
        <f t="shared" ref="I50" si="55">SUM(D50:H50)</f>
        <v>81297</v>
      </c>
      <c r="K50" s="32">
        <f t="shared" si="39"/>
        <v>0</v>
      </c>
      <c r="L50" s="32">
        <f t="shared" si="39"/>
        <v>0</v>
      </c>
      <c r="M50" s="32">
        <f t="shared" si="39"/>
        <v>0</v>
      </c>
      <c r="N50" s="32">
        <f t="shared" si="39"/>
        <v>-17072.37</v>
      </c>
      <c r="O50" s="32">
        <f t="shared" si="39"/>
        <v>0</v>
      </c>
      <c r="P50" s="32">
        <f t="shared" si="7"/>
        <v>-17072.37</v>
      </c>
      <c r="Q50" s="33" t="s">
        <v>110</v>
      </c>
      <c r="R50" s="35"/>
      <c r="S50" s="35"/>
      <c r="T50" s="35"/>
      <c r="U50" s="35">
        <v>-17072.3</v>
      </c>
      <c r="V50" s="35"/>
      <c r="W50" s="35">
        <f t="shared" si="11"/>
        <v>-17072.3</v>
      </c>
      <c r="Y50" s="24">
        <f t="shared" si="9"/>
        <v>0</v>
      </c>
      <c r="Z50" s="32">
        <f t="shared" si="34"/>
        <v>-6.9999999999708962E-2</v>
      </c>
    </row>
    <row r="51" spans="1:26" x14ac:dyDescent="0.25">
      <c r="A51" s="11"/>
      <c r="B51" s="3"/>
      <c r="C51" s="3"/>
      <c r="D51" s="12">
        <f t="shared" ref="D51:I51" si="56">SUM(D7:D50)</f>
        <v>-23838477</v>
      </c>
      <c r="E51" s="12">
        <f t="shared" si="56"/>
        <v>-10531931.07</v>
      </c>
      <c r="F51" s="12">
        <f t="shared" si="56"/>
        <v>-30692989</v>
      </c>
      <c r="G51" s="12">
        <f t="shared" si="56"/>
        <v>-9964456</v>
      </c>
      <c r="H51" s="12">
        <f t="shared" si="56"/>
        <v>-6839801</v>
      </c>
      <c r="I51" s="12">
        <f t="shared" si="56"/>
        <v>-81867654.069999993</v>
      </c>
      <c r="K51" s="12">
        <f>SUM(K7:K50)</f>
        <v>5006080.169999999</v>
      </c>
      <c r="L51" s="12">
        <f t="shared" ref="L51:P51" si="57">SUM(L7:L50)</f>
        <v>2211705.5247</v>
      </c>
      <c r="M51" s="12">
        <f t="shared" si="57"/>
        <v>6445527.6899999985</v>
      </c>
      <c r="N51" s="12">
        <f t="shared" si="57"/>
        <v>2092535.7600000002</v>
      </c>
      <c r="O51" s="12">
        <f t="shared" si="57"/>
        <v>1436358.2100000002</v>
      </c>
      <c r="P51" s="12">
        <f t="shared" si="57"/>
        <v>17192207.354699992</v>
      </c>
      <c r="R51" s="12">
        <f>SUM(R7:R50)</f>
        <v>4884680.5571487918</v>
      </c>
      <c r="S51" s="12">
        <f t="shared" ref="S51:W51" si="58">SUM(S7:S50)</f>
        <v>2202460.2808012082</v>
      </c>
      <c r="T51" s="12">
        <f t="shared" si="58"/>
        <v>6392797.255349</v>
      </c>
      <c r="U51" s="12">
        <f t="shared" si="58"/>
        <v>2092499.3122260014</v>
      </c>
      <c r="V51" s="12">
        <f t="shared" si="58"/>
        <v>1436357.7944750001</v>
      </c>
      <c r="W51" s="12">
        <f t="shared" si="58"/>
        <v>17008795.199999999</v>
      </c>
      <c r="Y51" s="24">
        <f t="shared" si="9"/>
        <v>-0.41552500007674098</v>
      </c>
      <c r="Z51" s="32">
        <f>SUM(Z7:Z50)</f>
        <v>183412.15469999795</v>
      </c>
    </row>
    <row r="53" spans="1:26" x14ac:dyDescent="0.25">
      <c r="P53" t="s">
        <v>113</v>
      </c>
      <c r="Q53" s="33"/>
      <c r="R53" s="32">
        <f>K51-R51</f>
        <v>121399.61285120714</v>
      </c>
      <c r="S53" s="32">
        <f t="shared" ref="S53:W53" si="59">L51-S51</f>
        <v>9245.2438987917267</v>
      </c>
      <c r="T53" s="32">
        <f>M51-T51</f>
        <v>52730.434650998563</v>
      </c>
      <c r="U53" s="32">
        <f t="shared" si="59"/>
        <v>36.447773998836055</v>
      </c>
      <c r="V53" s="32">
        <f>O51-V51</f>
        <v>0.41552500007674098</v>
      </c>
      <c r="W53" s="32">
        <f t="shared" si="59"/>
        <v>183412.15469999239</v>
      </c>
      <c r="X53" t="s">
        <v>113</v>
      </c>
    </row>
    <row r="55" spans="1:26" x14ac:dyDescent="0.25">
      <c r="J55" s="42" t="s">
        <v>114</v>
      </c>
      <c r="K55" s="32">
        <f t="shared" ref="K55:O56" si="60">SUMIF($Q$7:$Q$50,$Q55,K$7:K$50)</f>
        <v>4570400.2299999995</v>
      </c>
      <c r="L55" s="32">
        <f t="shared" si="60"/>
        <v>2002803.8946999996</v>
      </c>
      <c r="M55" s="32">
        <f t="shared" si="60"/>
        <v>6227691.5399999991</v>
      </c>
      <c r="N55" s="32">
        <f t="shared" si="60"/>
        <v>1999857.5099999998</v>
      </c>
      <c r="O55" s="32">
        <f t="shared" si="60"/>
        <v>1301498.7300000002</v>
      </c>
      <c r="P55" s="32">
        <f>SUM(K55:O55)</f>
        <v>16102251.904699998</v>
      </c>
      <c r="Q55" s="33" t="s">
        <v>110</v>
      </c>
      <c r="R55" s="32">
        <f t="shared" ref="R55:V56" si="61">SUMIF($Q$7:$Q$50,$Q55,R$7:R$50)</f>
        <v>4450638.5185968997</v>
      </c>
      <c r="S55" s="32">
        <f t="shared" si="61"/>
        <v>1991920.5314030999</v>
      </c>
      <c r="T55" s="32">
        <f t="shared" si="61"/>
        <v>6174925.1300000008</v>
      </c>
      <c r="U55" s="32">
        <f t="shared" si="61"/>
        <v>1999857.4699999997</v>
      </c>
      <c r="V55" s="32">
        <f t="shared" si="61"/>
        <v>1301498.5700000003</v>
      </c>
      <c r="W55" s="32">
        <f>SUM(R55:V55)</f>
        <v>15918840.219999999</v>
      </c>
      <c r="X55" s="9" t="s">
        <v>114</v>
      </c>
      <c r="Y55" s="9"/>
    </row>
    <row r="56" spans="1:26" x14ac:dyDescent="0.25">
      <c r="J56" s="42" t="s">
        <v>115</v>
      </c>
      <c r="K56" s="32">
        <f t="shared" si="60"/>
        <v>435679.93999999994</v>
      </c>
      <c r="L56" s="32">
        <f t="shared" si="60"/>
        <v>208901.62999999992</v>
      </c>
      <c r="M56" s="32">
        <f t="shared" si="60"/>
        <v>217836.15000000002</v>
      </c>
      <c r="N56" s="32">
        <f t="shared" si="60"/>
        <v>92678.250000000015</v>
      </c>
      <c r="O56" s="32">
        <f t="shared" si="60"/>
        <v>134859.47999999998</v>
      </c>
      <c r="P56" s="32">
        <f>SUM(K56:O56)</f>
        <v>1089955.4499999997</v>
      </c>
      <c r="Q56" s="33" t="s">
        <v>109</v>
      </c>
      <c r="R56" s="32">
        <f t="shared" si="61"/>
        <v>434042.03855189157</v>
      </c>
      <c r="S56" s="32">
        <f t="shared" si="61"/>
        <v>210539.74939810857</v>
      </c>
      <c r="T56" s="32">
        <f t="shared" si="61"/>
        <v>217872.1253489987</v>
      </c>
      <c r="U56" s="32">
        <f t="shared" si="61"/>
        <v>92641.842226001259</v>
      </c>
      <c r="V56" s="32">
        <f t="shared" si="61"/>
        <v>134859.22447500002</v>
      </c>
      <c r="W56" s="32">
        <f>SUM(R56:V56)</f>
        <v>1089954.9800000002</v>
      </c>
      <c r="X56" s="9" t="s">
        <v>115</v>
      </c>
      <c r="Y56" s="9"/>
    </row>
    <row r="57" spans="1:26" x14ac:dyDescent="0.25">
      <c r="J57" s="42"/>
      <c r="P57" s="32">
        <f>P55+P56-P51</f>
        <v>0</v>
      </c>
      <c r="R57" s="32"/>
    </row>
    <row r="58" spans="1:26" x14ac:dyDescent="0.25">
      <c r="J58" s="42"/>
      <c r="K58" s="32">
        <v>4450648</v>
      </c>
      <c r="L58" s="32">
        <v>1991926</v>
      </c>
      <c r="M58" s="32">
        <f>5633038-56543</f>
        <v>5576495</v>
      </c>
      <c r="N58" s="32">
        <f>2038287+3180</f>
        <v>2041467</v>
      </c>
      <c r="O58" s="32">
        <v>2414603</v>
      </c>
      <c r="P58" s="42" t="s">
        <v>116</v>
      </c>
      <c r="R58" s="32">
        <f>R60-R51</f>
        <v>2945485.4428512082</v>
      </c>
      <c r="S58" s="32">
        <f t="shared" ref="S58:V58" si="62">S60-S51</f>
        <v>1428760.7191987918</v>
      </c>
      <c r="T58" s="32">
        <f t="shared" si="62"/>
        <v>107803.74465100002</v>
      </c>
      <c r="U58" s="32">
        <f t="shared" si="62"/>
        <v>341908.68777399859</v>
      </c>
      <c r="V58" s="32">
        <f t="shared" si="62"/>
        <v>812060.20552499988</v>
      </c>
      <c r="W58" s="32">
        <f>SUM(R58:V58)</f>
        <v>5636018.799999998</v>
      </c>
      <c r="X58" t="s">
        <v>117</v>
      </c>
    </row>
    <row r="60" spans="1:26" x14ac:dyDescent="0.25">
      <c r="K60" s="32">
        <f>K58-K55</f>
        <v>-119752.22999999952</v>
      </c>
      <c r="L60" s="32">
        <f t="shared" ref="L60:N60" si="63">L58-L55</f>
        <v>-10877.894699999597</v>
      </c>
      <c r="M60" s="32">
        <f>M58-M55</f>
        <v>-651196.53999999911</v>
      </c>
      <c r="N60" s="32">
        <f t="shared" si="63"/>
        <v>41609.490000000224</v>
      </c>
      <c r="R60" s="32">
        <f>'Recon SCH Ms'!D75</f>
        <v>7830166</v>
      </c>
      <c r="S60" s="32">
        <f>'Recon SCH Ms'!E75</f>
        <v>3631221</v>
      </c>
      <c r="T60" s="32">
        <f>'Recon SCH Ms'!F75</f>
        <v>6500601</v>
      </c>
      <c r="U60" s="32">
        <f>'Recon SCH Ms'!G75</f>
        <v>2434408</v>
      </c>
      <c r="V60" s="32">
        <f>'Recon SCH Ms'!H75</f>
        <v>2248418</v>
      </c>
      <c r="W60" s="32">
        <f>SUM(R60:V60)</f>
        <v>22644814</v>
      </c>
      <c r="X60" t="s">
        <v>126</v>
      </c>
    </row>
    <row r="61" spans="1:26" x14ac:dyDescent="0.25">
      <c r="K61" t="s">
        <v>118</v>
      </c>
      <c r="M61" t="s">
        <v>119</v>
      </c>
      <c r="N61" t="s">
        <v>120</v>
      </c>
    </row>
  </sheetData>
  <printOptions horizontalCentered="1"/>
  <pageMargins left="0.7" right="0.7" top="0.5" bottom="0.75" header="0.3" footer="0.3"/>
  <pageSetup scale="43" firstPageNumber="2" orientation="landscape" useFirstPageNumber="1" r:id="rId1"/>
  <headerFooter scaleWithDoc="0">
    <oddFooter>&amp;LAvista
&amp;F
&amp;A&amp;RPage &amp;P of 3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X11"/>
  <sheetViews>
    <sheetView view="pageBreakPreview" zoomScale="60" zoomScaleNormal="100" workbookViewId="0">
      <selection activeCell="R31" sqref="R31"/>
    </sheetView>
  </sheetViews>
  <sheetFormatPr defaultRowHeight="15" x14ac:dyDescent="0.25"/>
  <cols>
    <col min="1" max="1" width="3.7109375" customWidth="1"/>
    <col min="2" max="2" width="15.7109375" bestFit="1" customWidth="1"/>
    <col min="3" max="3" width="12.28515625" customWidth="1"/>
    <col min="4" max="4" width="10.85546875" customWidth="1"/>
    <col min="5" max="5" width="13.7109375" customWidth="1"/>
    <col min="6" max="6" width="1.28515625" customWidth="1"/>
    <col min="7" max="7" width="9.85546875" bestFit="1" customWidth="1"/>
    <col min="8" max="8" width="13.42578125" customWidth="1"/>
    <col min="9" max="9" width="0.85546875" customWidth="1"/>
    <col min="10" max="10" width="10.5703125" customWidth="1"/>
    <col min="11" max="11" width="10.140625" customWidth="1"/>
    <col min="12" max="12" width="10" customWidth="1"/>
    <col min="13" max="13" width="0.7109375" customWidth="1"/>
    <col min="14" max="14" width="10.28515625" customWidth="1"/>
    <col min="15" max="15" width="9.85546875" customWidth="1"/>
    <col min="17" max="17" width="10.5703125" customWidth="1"/>
    <col min="18" max="18" width="10.140625" customWidth="1"/>
    <col min="19" max="19" width="1.140625" customWidth="1"/>
    <col min="20" max="20" width="13.42578125" customWidth="1"/>
    <col min="21" max="24" width="12.28515625" customWidth="1"/>
  </cols>
  <sheetData>
    <row r="4" spans="1:24" s="23" customFormat="1" x14ac:dyDescent="0.25">
      <c r="B4" s="23">
        <v>2019</v>
      </c>
      <c r="C4" s="23" t="s">
        <v>85</v>
      </c>
      <c r="D4" s="23" t="s">
        <v>86</v>
      </c>
      <c r="E4" s="23" t="s">
        <v>87</v>
      </c>
      <c r="G4" s="23" t="s">
        <v>91</v>
      </c>
      <c r="H4" s="23" t="s">
        <v>85</v>
      </c>
      <c r="J4" s="23" t="s">
        <v>88</v>
      </c>
      <c r="K4" s="23" t="s">
        <v>89</v>
      </c>
      <c r="L4" s="23" t="s">
        <v>90</v>
      </c>
      <c r="N4" s="23" t="s">
        <v>92</v>
      </c>
      <c r="O4" s="23" t="s">
        <v>93</v>
      </c>
      <c r="P4" s="23" t="s">
        <v>94</v>
      </c>
      <c r="Q4" s="23" t="s">
        <v>95</v>
      </c>
      <c r="R4" s="23" t="s">
        <v>96</v>
      </c>
      <c r="T4" s="23" t="s">
        <v>92</v>
      </c>
      <c r="U4" s="23" t="s">
        <v>93</v>
      </c>
      <c r="V4" s="23" t="s">
        <v>94</v>
      </c>
      <c r="W4" s="23" t="s">
        <v>95</v>
      </c>
      <c r="X4" s="23" t="s">
        <v>96</v>
      </c>
    </row>
    <row r="5" spans="1:24" x14ac:dyDescent="0.25">
      <c r="A5">
        <v>1</v>
      </c>
      <c r="B5" s="21" t="s">
        <v>79</v>
      </c>
      <c r="C5" s="24">
        <v>-3599987.634099998</v>
      </c>
      <c r="D5" s="24">
        <v>346174.4800000001</v>
      </c>
      <c r="E5" s="24">
        <v>-3946162.100000001</v>
      </c>
      <c r="F5" s="24"/>
      <c r="G5" s="24">
        <v>226731</v>
      </c>
      <c r="H5" s="24">
        <f>SUM(C5,G5)</f>
        <v>-3373256.634099998</v>
      </c>
      <c r="J5" s="22">
        <v>1</v>
      </c>
      <c r="K5" s="22"/>
      <c r="L5" s="22"/>
      <c r="N5" s="22">
        <v>0.67337000000000002</v>
      </c>
      <c r="O5" s="22">
        <v>0.32662999999999998</v>
      </c>
      <c r="P5" s="22"/>
      <c r="Q5" s="22"/>
      <c r="R5" s="22"/>
      <c r="T5" s="24">
        <f>H5*J5*N5</f>
        <v>-2271449.8197039156</v>
      </c>
      <c r="U5" s="24">
        <f>H5*J5*O5</f>
        <v>-1101806.8143960822</v>
      </c>
      <c r="V5" s="24"/>
      <c r="W5" s="24"/>
      <c r="X5" s="24"/>
    </row>
    <row r="6" spans="1:24" x14ac:dyDescent="0.25">
      <c r="A6">
        <v>2</v>
      </c>
      <c r="B6" s="21" t="s">
        <v>80</v>
      </c>
      <c r="C6" s="24">
        <v>-426269.47909999988</v>
      </c>
      <c r="D6" s="24">
        <v>223062.67</v>
      </c>
      <c r="E6" s="24">
        <v>-649332.14</v>
      </c>
      <c r="F6" s="24"/>
      <c r="G6" s="24">
        <v>71167</v>
      </c>
      <c r="H6" s="24">
        <f t="shared" ref="H6:H10" si="0">SUM(C6,G6)</f>
        <v>-355102.47909999988</v>
      </c>
      <c r="J6" s="22"/>
      <c r="K6" s="22">
        <v>1</v>
      </c>
      <c r="L6" s="22"/>
      <c r="N6" s="22"/>
      <c r="O6" s="22"/>
      <c r="P6" s="22">
        <v>0.70165</v>
      </c>
      <c r="Q6" s="22">
        <v>0.29835</v>
      </c>
      <c r="R6" s="22"/>
      <c r="T6" s="24">
        <f t="shared" ref="T6:T10" si="1">H6*J6*N6</f>
        <v>0</v>
      </c>
      <c r="U6" s="24">
        <f t="shared" ref="U6:U10" si="2">H6*J6*O6</f>
        <v>0</v>
      </c>
      <c r="V6" s="24">
        <f>H6*K6*P6</f>
        <v>-249157.65446051492</v>
      </c>
      <c r="W6" s="24">
        <f>H6*K6*Q6</f>
        <v>-105944.82463948497</v>
      </c>
      <c r="X6" s="24"/>
    </row>
    <row r="7" spans="1:24" x14ac:dyDescent="0.25">
      <c r="A7">
        <v>3</v>
      </c>
      <c r="B7" s="21" t="s">
        <v>81</v>
      </c>
      <c r="C7" s="24">
        <v>-276803.42269999976</v>
      </c>
      <c r="D7" s="24">
        <v>-7890.93</v>
      </c>
      <c r="E7" s="24">
        <v>-268912.49</v>
      </c>
      <c r="F7" s="24"/>
      <c r="G7" s="24">
        <v>34301</v>
      </c>
      <c r="H7" s="24">
        <f t="shared" si="0"/>
        <v>-242502.42269999976</v>
      </c>
      <c r="J7" s="22"/>
      <c r="K7" s="22"/>
      <c r="L7" s="22">
        <v>1</v>
      </c>
      <c r="N7" s="22"/>
      <c r="O7" s="22"/>
      <c r="P7" s="22"/>
      <c r="Q7" s="22"/>
      <c r="R7" s="22">
        <v>1</v>
      </c>
      <c r="T7" s="24">
        <f t="shared" si="1"/>
        <v>0</v>
      </c>
      <c r="U7" s="24">
        <f t="shared" si="2"/>
        <v>0</v>
      </c>
      <c r="V7" s="24">
        <f t="shared" ref="V7:V10" si="3">H7*K7*P7</f>
        <v>0</v>
      </c>
      <c r="W7" s="24">
        <f t="shared" ref="W7:W10" si="4">H7*K7*Q7</f>
        <v>0</v>
      </c>
      <c r="X7" s="24">
        <f>H7*L7*R7</f>
        <v>-242502.42269999976</v>
      </c>
    </row>
    <row r="8" spans="1:24" x14ac:dyDescent="0.25">
      <c r="A8">
        <v>4</v>
      </c>
      <c r="B8" s="21" t="s">
        <v>82</v>
      </c>
      <c r="C8" s="24">
        <v>-5144647.8525999999</v>
      </c>
      <c r="D8" s="24">
        <v>-310167.99</v>
      </c>
      <c r="E8" s="24">
        <v>-4834479.8500000006</v>
      </c>
      <c r="F8" s="24"/>
      <c r="G8" s="24"/>
      <c r="H8" s="24">
        <f t="shared" si="0"/>
        <v>-5144647.8525999999</v>
      </c>
      <c r="J8" s="22">
        <v>0.70577999999999996</v>
      </c>
      <c r="K8" s="22">
        <v>0.20513000000000001</v>
      </c>
      <c r="L8" s="22">
        <v>8.9090000000000003E-2</v>
      </c>
      <c r="N8" s="22">
        <f>N5</f>
        <v>0.67337000000000002</v>
      </c>
      <c r="O8" s="22">
        <f>O5</f>
        <v>0.32662999999999998</v>
      </c>
      <c r="P8" s="22">
        <f>P6</f>
        <v>0.70165</v>
      </c>
      <c r="Q8" s="22">
        <f>Q6</f>
        <v>0.29835</v>
      </c>
      <c r="R8" s="22">
        <v>1</v>
      </c>
      <c r="T8" s="24">
        <f t="shared" si="1"/>
        <v>-2444999.4409653237</v>
      </c>
      <c r="U8" s="24">
        <f t="shared" si="2"/>
        <v>-1185990.1204427038</v>
      </c>
      <c r="V8" s="24">
        <f t="shared" si="3"/>
        <v>-740466.41046579299</v>
      </c>
      <c r="W8" s="24">
        <f t="shared" si="4"/>
        <v>-314855.20353804511</v>
      </c>
      <c r="X8" s="24">
        <f t="shared" ref="X8:X9" si="5">H8*L8*R8</f>
        <v>-458336.677188134</v>
      </c>
    </row>
    <row r="9" spans="1:24" x14ac:dyDescent="0.25">
      <c r="A9">
        <v>5</v>
      </c>
      <c r="B9" s="21" t="s">
        <v>83</v>
      </c>
      <c r="C9" s="24">
        <v>-442.55630000000019</v>
      </c>
      <c r="D9" s="24">
        <v>0</v>
      </c>
      <c r="E9" s="24">
        <v>-442.56</v>
      </c>
      <c r="F9" s="24"/>
      <c r="G9" s="24"/>
      <c r="H9" s="24">
        <f t="shared" si="0"/>
        <v>-442.55630000000019</v>
      </c>
      <c r="J9" s="22">
        <v>0.77873999999999999</v>
      </c>
      <c r="K9" s="22">
        <v>0.22126000000000001</v>
      </c>
      <c r="L9" s="22">
        <v>0</v>
      </c>
      <c r="N9" s="22">
        <f>N5</f>
        <v>0.67337000000000002</v>
      </c>
      <c r="O9" s="22">
        <f>O5</f>
        <v>0.32662999999999998</v>
      </c>
      <c r="P9" s="22">
        <f>P8</f>
        <v>0.70165</v>
      </c>
      <c r="Q9" s="22">
        <f>Q8</f>
        <v>0.29835</v>
      </c>
      <c r="R9" s="22">
        <v>1</v>
      </c>
      <c r="T9" s="24">
        <f t="shared" si="1"/>
        <v>-232.06774065915906</v>
      </c>
      <c r="U9" s="24">
        <f t="shared" si="2"/>
        <v>-112.56855240284111</v>
      </c>
      <c r="V9" s="24">
        <f t="shared" si="3"/>
        <v>-68.705572868047724</v>
      </c>
      <c r="W9" s="24">
        <f t="shared" si="4"/>
        <v>-29.214434069952315</v>
      </c>
      <c r="X9" s="24">
        <f t="shared" si="5"/>
        <v>0</v>
      </c>
    </row>
    <row r="10" spans="1:24" x14ac:dyDescent="0.25">
      <c r="A10">
        <v>6</v>
      </c>
      <c r="B10" s="21" t="s">
        <v>84</v>
      </c>
      <c r="C10" s="24">
        <v>-347099.59560000012</v>
      </c>
      <c r="D10" s="24">
        <v>8.26</v>
      </c>
      <c r="E10" s="24">
        <v>-347107.85</v>
      </c>
      <c r="F10" s="24"/>
      <c r="G10" s="24"/>
      <c r="H10" s="24">
        <f t="shared" si="0"/>
        <v>-347099.59560000012</v>
      </c>
      <c r="J10" s="22">
        <v>1</v>
      </c>
      <c r="K10" s="22"/>
      <c r="L10" s="22"/>
      <c r="N10" s="22">
        <f>N5</f>
        <v>0.67337000000000002</v>
      </c>
      <c r="O10" s="22">
        <f>O5</f>
        <v>0.32662999999999998</v>
      </c>
      <c r="P10" s="22"/>
      <c r="Q10" s="22"/>
      <c r="R10" s="22"/>
      <c r="T10" s="24">
        <f t="shared" si="1"/>
        <v>-233726.4546891721</v>
      </c>
      <c r="U10" s="24">
        <f t="shared" si="2"/>
        <v>-113373.14091082803</v>
      </c>
      <c r="V10" s="24">
        <f t="shared" si="3"/>
        <v>0</v>
      </c>
      <c r="W10" s="24">
        <f t="shared" si="4"/>
        <v>0</v>
      </c>
      <c r="X10" s="24"/>
    </row>
    <row r="11" spans="1:24" ht="15.75" thickBot="1" x14ac:dyDescent="0.3">
      <c r="A11">
        <v>7</v>
      </c>
      <c r="C11" s="25">
        <f>SUM(C5:C10)</f>
        <v>-9795250.5403999966</v>
      </c>
      <c r="D11" s="25">
        <f t="shared" ref="D11:E11" si="6">SUM(D5:D10)</f>
        <v>251186.49000000011</v>
      </c>
      <c r="E11" s="25">
        <f t="shared" si="6"/>
        <v>-10046436.990000002</v>
      </c>
      <c r="F11" s="25">
        <f t="shared" ref="F11" si="7">SUM(F5:F10)</f>
        <v>0</v>
      </c>
      <c r="G11" s="25">
        <f t="shared" ref="G11" si="8">SUM(G5:G10)</f>
        <v>332199</v>
      </c>
      <c r="H11" s="25">
        <f t="shared" ref="H11" si="9">SUM(H5:H10)</f>
        <v>-9463051.5403999966</v>
      </c>
      <c r="T11" s="25">
        <f>SUM(T5:T10)</f>
        <v>-4950407.7830990702</v>
      </c>
      <c r="U11" s="25">
        <f t="shared" ref="U11:X11" si="10">SUM(U5:U10)</f>
        <v>-2401282.6443020166</v>
      </c>
      <c r="V11" s="25">
        <f t="shared" si="10"/>
        <v>-989692.77049917588</v>
      </c>
      <c r="W11" s="25">
        <f t="shared" si="10"/>
        <v>-420829.24261160003</v>
      </c>
      <c r="X11" s="25">
        <f t="shared" si="10"/>
        <v>-700839.09988813382</v>
      </c>
    </row>
  </sheetData>
  <pageMargins left="0.2" right="0.2" top="0.75" bottom="0.75" header="0.3" footer="0.3"/>
  <pageSetup scale="59" firstPageNumber="3" orientation="landscape" useFirstPageNumber="1" r:id="rId1"/>
  <headerFooter scaleWithDoc="0">
    <oddFooter>&amp;LAvista
&amp;F
&amp;A&amp;RPage &amp;P of 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34D2509-091D-4CC9-AB31-6CA24F2E42B4}"/>
</file>

<file path=customXml/itemProps2.xml><?xml version="1.0" encoding="utf-8"?>
<ds:datastoreItem xmlns:ds="http://schemas.openxmlformats.org/officeDocument/2006/customXml" ds:itemID="{A9E87BC4-6FD6-46EE-85EA-88BA6585B011}"/>
</file>

<file path=customXml/itemProps3.xml><?xml version="1.0" encoding="utf-8"?>
<ds:datastoreItem xmlns:ds="http://schemas.openxmlformats.org/officeDocument/2006/customXml" ds:itemID="{FA8325B2-F215-4D0E-A2B3-832553DAD605}"/>
</file>

<file path=customXml/itemProps4.xml><?xml version="1.0" encoding="utf-8"?>
<ds:datastoreItem xmlns:ds="http://schemas.openxmlformats.org/officeDocument/2006/customXml" ds:itemID="{C9007E4A-6BB7-4247-A343-68FF0AEA6F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Recon SCH Ms</vt:lpstr>
      <vt:lpstr>Recon Temp DFIT</vt:lpstr>
      <vt:lpstr>Flow-Thru Detail</vt:lpstr>
      <vt:lpstr>'Flow-Thru Detail'!Print_Area</vt:lpstr>
      <vt:lpstr>'Recon SCH Ms'!Print_Area</vt:lpstr>
      <vt:lpstr>'Recon Temp DFIT'!Print_Area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Andrews, Liz</cp:lastModifiedBy>
  <cp:lastPrinted>2020-02-17T19:11:50Z</cp:lastPrinted>
  <dcterms:created xsi:type="dcterms:W3CDTF">2020-01-22T20:24:32Z</dcterms:created>
  <dcterms:modified xsi:type="dcterms:W3CDTF">2020-09-23T21:19:43Z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