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7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Rate Spread" sheetId="1" r:id="rId1"/>
    <sheet name="Rate Design Res" sheetId="2" r:id="rId2"/>
    <sheet name="Rate Design C&amp;I" sheetId="3" r:id="rId3"/>
    <sheet name="Rate Design Int &amp; Trans" sheetId="4" r:id="rId4"/>
    <sheet name="Rate Design Rental" sheetId="5" r:id="rId5"/>
    <sheet name="Work Papers--&gt;" sheetId="8" r:id="rId6"/>
    <sheet name="Rate Design Targets" sheetId="6" r:id="rId7"/>
    <sheet name="Current ERF Rates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____Jun09">" BS!$AI$7:$AI$1643"</definedName>
    <definedName name="_____Apr04" localSheetId="7">[1]BS!$U$7:$U$3582</definedName>
    <definedName name="_____Apr04">[1]BS!$U$7:$U$3582</definedName>
    <definedName name="_____Aug04" localSheetId="7">[1]BS!$Y$7:$Y$3582</definedName>
    <definedName name="_____Aug04">[1]BS!$Y$7:$Y$3582</definedName>
    <definedName name="_____Aug09" localSheetId="7" xml:space="preserve"> [2]BS!$Y$7:$Y$1726</definedName>
    <definedName name="_____Aug09" xml:space="preserve"> [2]BS!$Y$7:$Y$1726</definedName>
    <definedName name="_____Dec03" localSheetId="7">[3]BS!$T$7:$T$3582</definedName>
    <definedName name="_____Dec03">[3]BS!$T$7:$T$3582</definedName>
    <definedName name="_____Dec04" localSheetId="7">[1]BS!$AC$7:$AC$3580</definedName>
    <definedName name="_____Dec04">[1]BS!$AC$7:$AC$3580</definedName>
    <definedName name="_____Feb04" localSheetId="7">[1]BS!$S$7:$S$3582</definedName>
    <definedName name="_____Feb04">[1]BS!$S$7:$S$3582</definedName>
    <definedName name="_____Jan04" localSheetId="7">[1]BS!$R$7:$R$3582</definedName>
    <definedName name="_____Jan04">[1]BS!$R$7:$R$3582</definedName>
    <definedName name="_____Jul04" localSheetId="7">[1]BS!$X$7:$X$3582</definedName>
    <definedName name="_____Jul04">[1]BS!$X$7:$X$3582</definedName>
    <definedName name="_____Jul09" localSheetId="7" xml:space="preserve"> [2]BS!$X$7:$X$1726</definedName>
    <definedName name="_____Jul09" xml:space="preserve"> [2]BS!$X$7:$X$1726</definedName>
    <definedName name="_____Jun04" localSheetId="7">[1]BS!$W$7:$W$3582</definedName>
    <definedName name="_____Jun04">[1]BS!$W$7:$W$3582</definedName>
    <definedName name="_____Jun09">" BS!$AI$7:$AI$1643"</definedName>
    <definedName name="_____Mar04" localSheetId="7">[1]BS!$T$7:$T$3582</definedName>
    <definedName name="_____Mar04">[1]BS!$T$7:$T$3582</definedName>
    <definedName name="_____May04" localSheetId="7">[1]BS!$V$7:$V$3582</definedName>
    <definedName name="_____May04">[1]BS!$V$7:$V$3582</definedName>
    <definedName name="_____Nov03" localSheetId="7">[3]BS!$S$7:$S$3582</definedName>
    <definedName name="_____Nov03">[3]BS!$S$7:$S$3582</definedName>
    <definedName name="_____Nov04" localSheetId="7">[1]BS!$AB$7:$AB$3582</definedName>
    <definedName name="_____Nov04">[1]BS!$AB$7:$AB$3582</definedName>
    <definedName name="_____Oct03" localSheetId="7">[3]BS!$R$7:$R$3582</definedName>
    <definedName name="_____Oct03">[3]BS!$R$7:$R$3582</definedName>
    <definedName name="_____Oct04" localSheetId="7">[1]BS!$AA$7:$AA$3582</definedName>
    <definedName name="_____Oct04">[1]BS!$AA$7:$AA$3582</definedName>
    <definedName name="_____Sep03" localSheetId="7">[3]BS!$Q$7:$Q$3582</definedName>
    <definedName name="_____Sep03">[3]BS!$Q$7:$Q$3582</definedName>
    <definedName name="_____Sep04" localSheetId="7">[1]BS!$Z$7:$Z$3582</definedName>
    <definedName name="_____Sep04">[1]BS!$Z$7:$Z$3582</definedName>
    <definedName name="____Apr04" localSheetId="7">[1]BS!$U$7:$U$3582</definedName>
    <definedName name="____Apr04">[1]BS!$U$7:$U$3582</definedName>
    <definedName name="____Aug04" localSheetId="7">[1]BS!$Y$7:$Y$3582</definedName>
    <definedName name="____Aug04">[1]BS!$Y$7:$Y$3582</definedName>
    <definedName name="____Aug09" localSheetId="7" xml:space="preserve"> [2]BS!$Y$7:$Y$1726</definedName>
    <definedName name="____Aug09" xml:space="preserve"> [2]BS!$Y$7:$Y$1726</definedName>
    <definedName name="____Dec03" localSheetId="7">[3]BS!$T$7:$T$3582</definedName>
    <definedName name="____Dec03">[3]BS!$T$7:$T$3582</definedName>
    <definedName name="____Dec04" localSheetId="7">[1]BS!$AC$7:$AC$3580</definedName>
    <definedName name="____Dec04">[1]BS!$AC$7:$AC$3580</definedName>
    <definedName name="____Feb04" localSheetId="7">[1]BS!$S$7:$S$3582</definedName>
    <definedName name="____Feb04">[1]BS!$S$7:$S$3582</definedName>
    <definedName name="____Jan04" localSheetId="7">[1]BS!$R$7:$R$3582</definedName>
    <definedName name="____Jan04">[1]BS!$R$7:$R$3582</definedName>
    <definedName name="____Jul04" localSheetId="7">[1]BS!$X$7:$X$3582</definedName>
    <definedName name="____Jul04">[1]BS!$X$7:$X$3582</definedName>
    <definedName name="____Jul09" localSheetId="7" xml:space="preserve"> [2]BS!$X$7:$X$1726</definedName>
    <definedName name="____Jul09" xml:space="preserve"> [2]BS!$X$7:$X$1726</definedName>
    <definedName name="____Jun04" localSheetId="7">[1]BS!$W$7:$W$3582</definedName>
    <definedName name="____Jun04">[1]BS!$W$7:$W$3582</definedName>
    <definedName name="____Jun09">" BS!$AI$7:$AI$1643"</definedName>
    <definedName name="____Mar04" localSheetId="7">[1]BS!$T$7:$T$3582</definedName>
    <definedName name="____Mar04">[1]BS!$T$7:$T$3582</definedName>
    <definedName name="____May04" localSheetId="7">[1]BS!$V$7:$V$3582</definedName>
    <definedName name="____May04">[1]BS!$V$7:$V$3582</definedName>
    <definedName name="____Nov03" localSheetId="7">[3]BS!$S$7:$S$3582</definedName>
    <definedName name="____Nov03">[3]BS!$S$7:$S$3582</definedName>
    <definedName name="____Nov04" localSheetId="7">[1]BS!$AB$7:$AB$3582</definedName>
    <definedName name="____Nov04">[1]BS!$AB$7:$AB$3582</definedName>
    <definedName name="____Oct03" localSheetId="7">[3]BS!$R$7:$R$3582</definedName>
    <definedName name="____Oct03">[3]BS!$R$7:$R$3582</definedName>
    <definedName name="____Oct04" localSheetId="7">[1]BS!$AA$7:$AA$3582</definedName>
    <definedName name="____Oct04">[1]BS!$AA$7:$AA$3582</definedName>
    <definedName name="____Sep03" localSheetId="7">[3]BS!$Q$7:$Q$3582</definedName>
    <definedName name="____Sep03">[3]BS!$Q$7:$Q$3582</definedName>
    <definedName name="____Sep04" localSheetId="7">[1]BS!$Z$7:$Z$3582</definedName>
    <definedName name="____Sep04">[1]BS!$Z$7:$Z$3582</definedName>
    <definedName name="___Apr04" localSheetId="7">[1]BS!$U$7:$U$3582</definedName>
    <definedName name="___Apr04">[1]BS!$U$7:$U$3582</definedName>
    <definedName name="___Aug04" localSheetId="7">[1]BS!$Y$7:$Y$3582</definedName>
    <definedName name="___Aug04">[1]BS!$Y$7:$Y$3582</definedName>
    <definedName name="___Aug09" localSheetId="7" xml:space="preserve"> [2]BS!$Y$7:$Y$1726</definedName>
    <definedName name="___Aug09" xml:space="preserve"> [2]BS!$Y$7:$Y$1726</definedName>
    <definedName name="___Dec03" localSheetId="7">[3]BS!$T$7:$T$3582</definedName>
    <definedName name="___Dec03">[3]BS!$T$7:$T$3582</definedName>
    <definedName name="___Dec04" localSheetId="7">[1]BS!$AC$7:$AC$3580</definedName>
    <definedName name="___Dec04">[1]BS!$AC$7:$AC$3580</definedName>
    <definedName name="___Feb04" localSheetId="7">[1]BS!$S$7:$S$3582</definedName>
    <definedName name="___Feb04">[1]BS!$S$7:$S$3582</definedName>
    <definedName name="___Jan04" localSheetId="7">[1]BS!$R$7:$R$3582</definedName>
    <definedName name="___Jan04">[1]BS!$R$7:$R$3582</definedName>
    <definedName name="___Jul04" localSheetId="7">[1]BS!$X$7:$X$3582</definedName>
    <definedName name="___Jul04">[1]BS!$X$7:$X$3582</definedName>
    <definedName name="___Jul09" localSheetId="7" xml:space="preserve"> [2]BS!$X$7:$X$1726</definedName>
    <definedName name="___Jul09" xml:space="preserve"> [2]BS!$X$7:$X$1726</definedName>
    <definedName name="___Jun04" localSheetId="7">[1]BS!$W$7:$W$3582</definedName>
    <definedName name="___Jun04">[1]BS!$W$7:$W$3582</definedName>
    <definedName name="___Jun09">" BS!$AI$7:$AI$1643"</definedName>
    <definedName name="___Mar04" localSheetId="7">[1]BS!$T$7:$T$3582</definedName>
    <definedName name="___Mar04">[1]BS!$T$7:$T$3582</definedName>
    <definedName name="___May04" localSheetId="7">[1]BS!$V$7:$V$3582</definedName>
    <definedName name="___May04">[1]BS!$V$7:$V$3582</definedName>
    <definedName name="___Nov03" localSheetId="7">[3]BS!$S$7:$S$3582</definedName>
    <definedName name="___Nov03">[3]BS!$S$7:$S$3582</definedName>
    <definedName name="___Nov04" localSheetId="7">[1]BS!$AB$7:$AB$3582</definedName>
    <definedName name="___Nov04">[1]BS!$AB$7:$AB$3582</definedName>
    <definedName name="___Oct03" localSheetId="7">[3]BS!$R$7:$R$3582</definedName>
    <definedName name="___Oct03">[3]BS!$R$7:$R$3582</definedName>
    <definedName name="___Oct04" localSheetId="7">[1]BS!$AA$7:$AA$3582</definedName>
    <definedName name="___Oct04">[1]BS!$AA$7:$AA$3582</definedName>
    <definedName name="___PC1" localSheetId="7">[4]CLASSIFIERS!$A$7:$IV$7</definedName>
    <definedName name="___PC1">[4]CLASSIFIERS!$A$7:$IV$7</definedName>
    <definedName name="___PC2" localSheetId="7">[4]CLASSIFIERS!$A$10:$IV$10</definedName>
    <definedName name="___PC2">[4]CLASSIFIERS!$A$10:$IV$10</definedName>
    <definedName name="___PC3" localSheetId="7">[4]CLASSIFIERS!$A$12:$IV$12</definedName>
    <definedName name="___PC3">[4]CLASSIFIERS!$A$12:$IV$12</definedName>
    <definedName name="___PC4" localSheetId="7">[4]CLASSIFIERS!$A$13:$IV$13</definedName>
    <definedName name="___PC4">[4]CLASSIFIERS!$A$13:$IV$13</definedName>
    <definedName name="___SEC24" localSheetId="7">[4]EXTERNAL!$A$112:$IV$114</definedName>
    <definedName name="___SEC24">[4]EXTERNAL!$A$112:$IV$114</definedName>
    <definedName name="___Sep03" localSheetId="7">[3]BS!$Q$7:$Q$3582</definedName>
    <definedName name="___Sep03">[3]BS!$Q$7:$Q$3582</definedName>
    <definedName name="___Sep04" localSheetId="7">[1]BS!$Z$7:$Z$3582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 localSheetId="7">[1]BS!$U$7:$U$3582</definedName>
    <definedName name="__Apr04">[1]BS!$U$7:$U$3582</definedName>
    <definedName name="__Aug04" localSheetId="7">[1]BS!$Y$7:$Y$3582</definedName>
    <definedName name="__Aug04">[1]BS!$Y$7:$Y$3582</definedName>
    <definedName name="__Aug09" localSheetId="7" xml:space="preserve"> [2]BS!$Y$7:$Y$1726</definedName>
    <definedName name="__Aug09" xml:space="preserve"> [2]BS!$Y$7:$Y$1726</definedName>
    <definedName name="__Dec03" localSheetId="7">[3]BS!$T$7:$T$3582</definedName>
    <definedName name="__Dec03">[3]BS!$T$7:$T$3582</definedName>
    <definedName name="__Dec04" localSheetId="7">[1]BS!$AC$7:$AC$3580</definedName>
    <definedName name="__Dec04">[1]BS!$AC$7:$AC$3580</definedName>
    <definedName name="__Jul04" localSheetId="7">[1]BS!$X$7:$X$3582</definedName>
    <definedName name="__Jul04">[1]BS!$X$7:$X$3582</definedName>
    <definedName name="__Jul09" localSheetId="7" xml:space="preserve"> [2]BS!$X$7:$X$1726</definedName>
    <definedName name="__Jul09" xml:space="preserve"> [2]BS!$X$7:$X$1726</definedName>
    <definedName name="__Jun04" localSheetId="7">[1]BS!$W$7:$W$3582</definedName>
    <definedName name="__Jun04">[1]BS!$W$7:$W$3582</definedName>
    <definedName name="__Jun09">" BS!$AI$7:$AI$1643"</definedName>
    <definedName name="__May04" localSheetId="7">[1]BS!$V$7:$V$3582</definedName>
    <definedName name="__May04">[1]BS!$V$7:$V$3582</definedName>
    <definedName name="__Nov03" localSheetId="7">[3]BS!$S$7:$S$3582</definedName>
    <definedName name="__Nov03">[3]BS!$S$7:$S$3582</definedName>
    <definedName name="__Nov04" localSheetId="7">[1]BS!$AB$7:$AB$3582</definedName>
    <definedName name="__Nov04">[1]BS!$AB$7:$AB$3582</definedName>
    <definedName name="__Oct03" localSheetId="7">[3]BS!$R$7:$R$3582</definedName>
    <definedName name="__Oct03">[3]BS!$R$7:$R$3582</definedName>
    <definedName name="__Oct04" localSheetId="7">[1]BS!$AA$7:$AA$3582</definedName>
    <definedName name="__Oct04">[1]BS!$AA$7:$AA$3582</definedName>
    <definedName name="__PC1" localSheetId="7">[4]CLASSIFIERS!$A$7:$IV$7</definedName>
    <definedName name="__PC1">[4]CLASSIFIERS!$A$7:$IV$7</definedName>
    <definedName name="__PC2" localSheetId="7">[4]CLASSIFIERS!$A$10:$IV$10</definedName>
    <definedName name="__PC2">[4]CLASSIFIERS!$A$10:$IV$10</definedName>
    <definedName name="__PC3" localSheetId="7">[4]CLASSIFIERS!$A$12:$IV$12</definedName>
    <definedName name="__PC3">[4]CLASSIFIERS!$A$12:$IV$12</definedName>
    <definedName name="__PC4" localSheetId="7">[4]CLASSIFIERS!$A$13:$IV$13</definedName>
    <definedName name="__PC4">[4]CLASSIFIERS!$A$13:$IV$13</definedName>
    <definedName name="__SEC24" localSheetId="7">[4]EXTERNAL!$A$112:$IV$114</definedName>
    <definedName name="__SEC24">[4]EXTERNAL!$A$112:$IV$114</definedName>
    <definedName name="__Sep03" localSheetId="7">[3]BS!$Q$7:$Q$3582</definedName>
    <definedName name="__Sep03">[3]BS!$Q$7:$Q$3582</definedName>
    <definedName name="__Sep04" localSheetId="7">[1]BS!$Z$7:$Z$3582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 localSheetId="7">[1]BS!$U$7:$U$3582</definedName>
    <definedName name="_Apr04">[1]BS!$U$7:$U$3582</definedName>
    <definedName name="_Apr09" localSheetId="7" xml:space="preserve"> [2]BS!$U$7:$U$1726</definedName>
    <definedName name="_Apr09" xml:space="preserve"> [2]BS!$U$7:$U$1726</definedName>
    <definedName name="_Aug04" localSheetId="7">[1]BS!$Y$7:$Y$3582</definedName>
    <definedName name="_Aug04">[1]BS!$Y$7:$Y$3582</definedName>
    <definedName name="_Aug09" localSheetId="7" xml:space="preserve"> [2]BS!$Y$7:$Y$1726</definedName>
    <definedName name="_Aug09" xml:space="preserve"> [2]BS!$Y$7:$Y$1726</definedName>
    <definedName name="_Dec03" localSheetId="7">[3]BS!$T$7:$T$3582</definedName>
    <definedName name="_Dec03">[3]BS!$T$7:$T$3582</definedName>
    <definedName name="_Dec04" localSheetId="7">[1]BS!$AC$7:$AC$3580</definedName>
    <definedName name="_Dec04">[1]BS!$AC$7:$AC$3580</definedName>
    <definedName name="_Dec08" localSheetId="7" xml:space="preserve"> [2]BS!$Q$7:$Q$1726</definedName>
    <definedName name="_Dec08" xml:space="preserve"> [2]BS!$Q$7:$Q$1726</definedName>
    <definedName name="_Feb04" localSheetId="7">[1]BS!$S$7:$S$3582</definedName>
    <definedName name="_Feb04">[1]BS!$S$7:$S$3582</definedName>
    <definedName name="_FEB09" localSheetId="7" xml:space="preserve"> [2]BS!$S$7:$S$1726</definedName>
    <definedName name="_FEB09" xml:space="preserve"> [2]BS!$S$7:$S$1726</definedName>
    <definedName name="_FEDERAL_INCOME_TAX">'[6]MJS-7'!$N$21</definedName>
    <definedName name="_Jan04" localSheetId="7">[1]BS!$R$7:$R$3582</definedName>
    <definedName name="_Jan04">[1]BS!$R$7:$R$3582</definedName>
    <definedName name="_Jul04" localSheetId="7">[1]BS!$X$7:$X$3582</definedName>
    <definedName name="_Jul04">[1]BS!$X$7:$X$3582</definedName>
    <definedName name="_Jul09" localSheetId="7" xml:space="preserve"> [2]BS!$X$7:$X$1726</definedName>
    <definedName name="_Jul09" xml:space="preserve"> [2]BS!$X$7:$X$1726</definedName>
    <definedName name="_Jun04" localSheetId="7">[1]BS!$W$7:$W$3582</definedName>
    <definedName name="_Jun04">[1]BS!$W$7:$W$3582</definedName>
    <definedName name="_Jun09" localSheetId="7" xml:space="preserve"> [2]BS!$W$7:$W$1726</definedName>
    <definedName name="_Jun09" xml:space="preserve"> [2]BS!$W$7:$W$1726</definedName>
    <definedName name="_Mar04" localSheetId="7">[1]BS!$T$7:$T$3582</definedName>
    <definedName name="_Mar04">[1]BS!$T$7:$T$3582</definedName>
    <definedName name="_May04" localSheetId="7">[1]BS!$V$7:$V$3582</definedName>
    <definedName name="_May04">[1]BS!$V$7:$V$3582</definedName>
    <definedName name="_May09" localSheetId="7" xml:space="preserve"> [2]BS!$V$7:$V$1726</definedName>
    <definedName name="_May09" xml:space="preserve"> [2]BS!$V$7:$V$1726</definedName>
    <definedName name="_Nov03" localSheetId="7">[3]BS!$S$7:$S$3582</definedName>
    <definedName name="_Nov03">[3]BS!$S$7:$S$3582</definedName>
    <definedName name="_Nov04" localSheetId="7">[1]BS!$AB$7:$AB$3582</definedName>
    <definedName name="_Nov04">[1]BS!$AB$7:$AB$3582</definedName>
    <definedName name="_Oct03" localSheetId="7">[3]BS!$R$7:$R$3582</definedName>
    <definedName name="_Oct03">[3]BS!$R$7:$R$3582</definedName>
    <definedName name="_Oct04" localSheetId="7">[1]BS!$AA$7:$AA$3582</definedName>
    <definedName name="_Oct04">[1]BS!$AA$7:$AA$3582</definedName>
    <definedName name="_Oct09" localSheetId="7" xml:space="preserve"> [2]BS!$AA$7:$AA$1726</definedName>
    <definedName name="_Oct09" xml:space="preserve"> [2]BS!$AA$7:$AA$1726</definedName>
    <definedName name="_Order1" localSheetId="7" hidden="1">0</definedName>
    <definedName name="_Order1" localSheetId="0">0</definedName>
    <definedName name="_Order1">255</definedName>
    <definedName name="_Order2" localSheetId="7" hidden="1">0</definedName>
    <definedName name="_Order2" localSheetId="0">0</definedName>
    <definedName name="_Order2">255</definedName>
    <definedName name="_PC1" localSheetId="7">[4]CLASSIFIERS!$A$7:$IV$7</definedName>
    <definedName name="_PC1">[4]CLASSIFIERS!$A$7:$IV$7</definedName>
    <definedName name="_PC2" localSheetId="7">[4]CLASSIFIERS!$A$10:$IV$10</definedName>
    <definedName name="_PC2">[4]CLASSIFIERS!$A$10:$IV$10</definedName>
    <definedName name="_PC3" localSheetId="7">[4]CLASSIFIERS!$A$12:$IV$12</definedName>
    <definedName name="_PC3">[4]CLASSIFIERS!$A$12:$IV$12</definedName>
    <definedName name="_PC4" localSheetId="7">[4]CLASSIFIERS!$A$13:$IV$13</definedName>
    <definedName name="_PC4">[4]CLASSIFIERS!$A$13:$IV$13</definedName>
    <definedName name="_Regression_Int">1</definedName>
    <definedName name="_SEC24" localSheetId="7">[4]EXTERNAL!$A$112:$IV$114</definedName>
    <definedName name="_SEC24">[4]EXTERNAL!$A$112:$IV$114</definedName>
    <definedName name="_Sep03" localSheetId="7">[3]BS!$Q$7:$Q$3582</definedName>
    <definedName name="_Sep03">[3]BS!$Q$7:$Q$3582</definedName>
    <definedName name="_Sep04" localSheetId="7">[1]BS!$Z$7:$Z$3582</definedName>
    <definedName name="_Sep04">[1]BS!$Z$7:$Z$3582</definedName>
    <definedName name="AccessDatabase">"I:\COMTREL\FINICLE\TradeSummary.mdb"</definedName>
    <definedName name="Acct2281SO" localSheetId="7">'[7]Func Study'!$H$2190</definedName>
    <definedName name="Acct2281SO">'[7]Func Study'!$H$2190</definedName>
    <definedName name="Acct2283SO" localSheetId="7">'[7]Func Study'!$H$2198</definedName>
    <definedName name="Acct2283SO">'[7]Func Study'!$H$2198</definedName>
    <definedName name="Acct228SO" localSheetId="7">'[7]Func Study'!$H$2194</definedName>
    <definedName name="Acct228SO">'[7]Func Study'!$H$2194</definedName>
    <definedName name="Acct350" localSheetId="7">'[7]Func Study'!$H$1628</definedName>
    <definedName name="Acct350">'[7]Func Study'!$H$1628</definedName>
    <definedName name="Acct352" localSheetId="7">'[7]Func Study'!$H$1635</definedName>
    <definedName name="Acct352">'[7]Func Study'!$H$1635</definedName>
    <definedName name="Acct353" localSheetId="7">'[7]Func Study'!$H$1641</definedName>
    <definedName name="Acct353">'[7]Func Study'!$H$1641</definedName>
    <definedName name="Acct354" localSheetId="7">'[7]Func Study'!$H$1647</definedName>
    <definedName name="Acct354">'[7]Func Study'!$H$1647</definedName>
    <definedName name="Acct355" localSheetId="7">'[7]Func Study'!$H$1654</definedName>
    <definedName name="Acct355">'[7]Func Study'!$H$1654</definedName>
    <definedName name="Acct356" localSheetId="7">'[7]Func Study'!$H$1660</definedName>
    <definedName name="Acct356">'[7]Func Study'!$H$1660</definedName>
    <definedName name="Acct357" localSheetId="7">'[7]Func Study'!$H$1666</definedName>
    <definedName name="Acct357">'[7]Func Study'!$H$1666</definedName>
    <definedName name="Acct358" localSheetId="7">'[7]Func Study'!$H$1672</definedName>
    <definedName name="Acct358">'[7]Func Study'!$H$1672</definedName>
    <definedName name="Acct359" localSheetId="7">'[7]Func Study'!$H$1678</definedName>
    <definedName name="Acct359">'[7]Func Study'!$H$1678</definedName>
    <definedName name="Acct360" localSheetId="7">'[7]Func Study'!$H$1698</definedName>
    <definedName name="Acct360">'[7]Func Study'!$H$1698</definedName>
    <definedName name="Acct361" localSheetId="7">'[7]Func Study'!$H$1704</definedName>
    <definedName name="Acct361">'[7]Func Study'!$H$1704</definedName>
    <definedName name="Acct362" localSheetId="7">'[7]Func Study'!$H$1710</definedName>
    <definedName name="Acct362">'[7]Func Study'!$H$1710</definedName>
    <definedName name="Acct364" localSheetId="7">'[7]Func Study'!$H$1717</definedName>
    <definedName name="Acct364">'[7]Func Study'!$H$1717</definedName>
    <definedName name="Acct365" localSheetId="7">'[7]Func Study'!$H$1724</definedName>
    <definedName name="Acct365">'[7]Func Study'!$H$1724</definedName>
    <definedName name="Acct366" localSheetId="7">'[7]Func Study'!$H$1731</definedName>
    <definedName name="Acct366">'[7]Func Study'!$H$1731</definedName>
    <definedName name="Acct367" localSheetId="7">'[7]Func Study'!$H$1738</definedName>
    <definedName name="Acct367">'[7]Func Study'!$H$1738</definedName>
    <definedName name="Acct368" localSheetId="7">'[7]Func Study'!$H$1744</definedName>
    <definedName name="Acct368">'[7]Func Study'!$H$1744</definedName>
    <definedName name="Acct369" localSheetId="7">'[7]Func Study'!$H$1751</definedName>
    <definedName name="Acct369">'[7]Func Study'!$H$1751</definedName>
    <definedName name="Acct370" localSheetId="7">'[7]Func Study'!$H$1762</definedName>
    <definedName name="Acct370">'[7]Func Study'!$H$1762</definedName>
    <definedName name="Acct371" localSheetId="7">'[7]Func Study'!$H$1769</definedName>
    <definedName name="Acct371">'[7]Func Study'!$H$1769</definedName>
    <definedName name="Acct372" localSheetId="7">'[7]Func Study'!$H$1776</definedName>
    <definedName name="Acct372">'[7]Func Study'!$H$1776</definedName>
    <definedName name="Acct372A" localSheetId="7">'[7]Func Study'!$H$1775</definedName>
    <definedName name="Acct372A">'[7]Func Study'!$H$1775</definedName>
    <definedName name="Acct372DP" localSheetId="7">'[7]Func Study'!$H$1773</definedName>
    <definedName name="Acct372DP">'[7]Func Study'!$H$1773</definedName>
    <definedName name="Acct372DS" localSheetId="7">'[7]Func Study'!$H$1774</definedName>
    <definedName name="Acct372DS">'[7]Func Study'!$H$1774</definedName>
    <definedName name="Acct373" localSheetId="7">'[7]Func Study'!$H$1782</definedName>
    <definedName name="Acct373">'[7]Func Study'!$H$1782</definedName>
    <definedName name="Acct448S" localSheetId="7">'[7]Func Study'!$H$274</definedName>
    <definedName name="Acct448S">'[7]Func Study'!$H$274</definedName>
    <definedName name="Acct450S" localSheetId="7">'[7]Func Study'!$H$302</definedName>
    <definedName name="Acct450S">'[7]Func Study'!$H$302</definedName>
    <definedName name="Acct451S" localSheetId="7">'[7]Func Study'!$H$307</definedName>
    <definedName name="Acct451S">'[7]Func Study'!$H$307</definedName>
    <definedName name="Acct454S" localSheetId="7">'[7]Func Study'!$H$318</definedName>
    <definedName name="Acct454S">'[7]Func Study'!$H$318</definedName>
    <definedName name="Acct456S" localSheetId="7">'[7]Func Study'!$H$325</definedName>
    <definedName name="Acct456S">'[7]Func Study'!$H$325</definedName>
    <definedName name="ACCT557CAGE" localSheetId="7">'[7]Func Study'!$H$683</definedName>
    <definedName name="ACCT557CAGE">'[7]Func Study'!$H$683</definedName>
    <definedName name="Acct557CT" localSheetId="7">'[7]Func Study'!$H$681</definedName>
    <definedName name="Acct557CT">'[7]Func Study'!$H$681</definedName>
    <definedName name="Acct580" localSheetId="7">'[7]Func Study'!$H$791</definedName>
    <definedName name="Acct580">'[7]Func Study'!$H$791</definedName>
    <definedName name="Acct581" localSheetId="7">'[7]Func Study'!$H$796</definedName>
    <definedName name="Acct581">'[7]Func Study'!$H$796</definedName>
    <definedName name="Acct582" localSheetId="7">'[7]Func Study'!$H$801</definedName>
    <definedName name="Acct582">'[7]Func Study'!$H$801</definedName>
    <definedName name="Acct583" localSheetId="7">'[7]Func Study'!$H$806</definedName>
    <definedName name="Acct583">'[7]Func Study'!$H$806</definedName>
    <definedName name="Acct584" localSheetId="7">'[7]Func Study'!$H$811</definedName>
    <definedName name="Acct584">'[7]Func Study'!$H$811</definedName>
    <definedName name="Acct585" localSheetId="7">'[7]Func Study'!$H$816</definedName>
    <definedName name="Acct585">'[7]Func Study'!$H$816</definedName>
    <definedName name="Acct586" localSheetId="7">'[7]Func Study'!$H$821</definedName>
    <definedName name="Acct586">'[7]Func Study'!$H$821</definedName>
    <definedName name="Acct587" localSheetId="7">'[7]Func Study'!$H$826</definedName>
    <definedName name="Acct587">'[7]Func Study'!$H$826</definedName>
    <definedName name="Acct588" localSheetId="7">'[7]Func Study'!$H$831</definedName>
    <definedName name="Acct588">'[7]Func Study'!$H$831</definedName>
    <definedName name="Acct589" localSheetId="7">'[7]Func Study'!$H$836</definedName>
    <definedName name="Acct589">'[7]Func Study'!$H$836</definedName>
    <definedName name="Acct590" localSheetId="7">'[7]Func Study'!$H$841</definedName>
    <definedName name="Acct590">'[7]Func Study'!$H$841</definedName>
    <definedName name="Acct591" localSheetId="7">'[7]Func Study'!$H$846</definedName>
    <definedName name="Acct591">'[7]Func Study'!$H$846</definedName>
    <definedName name="Acct592" localSheetId="7">'[7]Func Study'!$H$851</definedName>
    <definedName name="Acct592">'[7]Func Study'!$H$851</definedName>
    <definedName name="Acct593" localSheetId="7">'[7]Func Study'!$H$856</definedName>
    <definedName name="Acct593">'[7]Func Study'!$H$856</definedName>
    <definedName name="Acct594" localSheetId="7">'[7]Func Study'!$H$861</definedName>
    <definedName name="Acct594">'[7]Func Study'!$H$861</definedName>
    <definedName name="Acct595" localSheetId="7">'[7]Func Study'!$H$866</definedName>
    <definedName name="Acct595">'[7]Func Study'!$H$866</definedName>
    <definedName name="Acct596" localSheetId="7">'[7]Func Study'!$H$876</definedName>
    <definedName name="Acct596">'[7]Func Study'!$H$876</definedName>
    <definedName name="Acct597" localSheetId="7">'[7]Func Study'!$H$881</definedName>
    <definedName name="Acct597">'[7]Func Study'!$H$881</definedName>
    <definedName name="Acct598" localSheetId="7">'[7]Func Study'!$H$886</definedName>
    <definedName name="Acct598">'[7]Func Study'!$H$886</definedName>
    <definedName name="AcctAGA" localSheetId="7">'[7]Func Study'!$H$296</definedName>
    <definedName name="AcctAGA">'[7]Func Study'!$H$296</definedName>
    <definedName name="AcctTable">[8]Variables!$AK$42:$AK$396</definedName>
    <definedName name="AcctTS0" localSheetId="7">'[7]Func Study'!$H$1686</definedName>
    <definedName name="AcctTS0">'[7]Func Study'!$H$1686</definedName>
    <definedName name="Acq1Plant" localSheetId="7">'[9]Acquisition Inputs'!$C$8</definedName>
    <definedName name="Acq1Plant">'[9]Acquisition Inputs'!$C$8</definedName>
    <definedName name="Acq2Plant" localSheetId="7">'[9]Acquisition Inputs'!$C$70</definedName>
    <definedName name="Acq2Plant">'[9]Acquisition Inputs'!$C$70</definedName>
    <definedName name="ActualROR" localSheetId="7">'[10]G+T+D+R+M'!$H$61</definedName>
    <definedName name="ActualROR">'[10]G+T+D+R+M'!$H$61</definedName>
    <definedName name="ADJPTDCE.T" localSheetId="7">[4]INTERNAL!$A$31:$IV$33</definedName>
    <definedName name="ADJPTDCE.T">[4]INTERNAL!$A$31:$IV$33</definedName>
    <definedName name="Adjs2avg" localSheetId="7">[11]Inputs!$L$255:'[11]Inputs'!$T$505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 localSheetId="7">[4]EXTERNAL!$A$163:$IV$165</definedName>
    <definedName name="ANCIL">[4]EXTERNAL!$A$163:$IV$165</definedName>
    <definedName name="Apr04AMA" localSheetId="7">[1]BS!$AG$7:$AG$3582</definedName>
    <definedName name="Apr04AMA">[1]BS!$AG$7:$AG$3582</definedName>
    <definedName name="APR09AMA" localSheetId="7">[2]BS!$AN$7:$AN$1725</definedName>
    <definedName name="APR09AMA">[2]BS!$AN$7:$AN$1725</definedName>
    <definedName name="Apr10AMA" localSheetId="7">[2]BS!$AZ$7:$AZ$1726</definedName>
    <definedName name="Apr10AMA">[2]BS!$AZ$7:$AZ$1726</definedName>
    <definedName name="aquila_lookup" localSheetId="7">'[13]Cabot Gas Replacement'!$B$8:$F$16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 localSheetId="7">[1]BS!$AK$7:$AK$3582</definedName>
    <definedName name="Aug04AMA">[1]BS!$AK$7:$AK$3582</definedName>
    <definedName name="Aug09AMA" localSheetId="7">[2]BS!$AR$7:$AR$1726</definedName>
    <definedName name="Aug09AMA">[2]BS!$AR$7:$AR$1726</definedName>
    <definedName name="Aurora_Prices">"Monthly Price Summary'!$C$4:$H$63"</definedName>
    <definedName name="AvgFactors">[8]Factors!$B$3:$P$99</definedName>
    <definedName name="Beg_Unb_KWHs" localSheetId="7">[15]LeadSht!$L$10</definedName>
    <definedName name="Beg_Unb_KWHs">[15]LeadSht!$L$10</definedName>
    <definedName name="BOOK_LIFE">'[16]Lvl FCR'!$G$10</definedName>
    <definedName name="BPAX" localSheetId="7">[4]EXTERNAL!$A$121:$IV$123</definedName>
    <definedName name="BPAX">[4]EXTERNAL!$A$121:$IV$123</definedName>
    <definedName name="Button_1">"TradeSummary_Ken_Finicle_List"</definedName>
    <definedName name="CAE.T" localSheetId="7">[4]INTERNAL!$A$34:$IV$36</definedName>
    <definedName name="CAE.T">[4]INTERNAL!$A$34:$IV$36</definedName>
    <definedName name="CAES1.T" localSheetId="7">[4]INTERNAL!$A$37:$IV$39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 localSheetId="7">'[9]Dispatch Cases'!$C$11</definedName>
    <definedName name="CaseDescription">'[9]Dispatch Cases'!$C$11</definedName>
    <definedName name="CBWorkbookPriority">-2060790043</definedName>
    <definedName name="CCGT_HeatRate" localSheetId="7">[9]Assumptions!$H$23</definedName>
    <definedName name="CCGT_HeatRate">[9]Assumptions!$H$23</definedName>
    <definedName name="CCGTPrice" localSheetId="7">[9]Assumptions!$H$22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 localSheetId="7">[9]Assumptions!$I$65</definedName>
    <definedName name="ConversionFactor">[9]Assumptions!$I$65</definedName>
    <definedName name="COSFacVal" localSheetId="7">[7]Inputs!$R$5</definedName>
    <definedName name="COSFacVal">[7]Inputs!$R$5</definedName>
    <definedName name="CurrQtr">'[22]Inc Stmt'!$AJ$222</definedName>
    <definedName name="CUS" localSheetId="7">[4]CLASSIFIERS!$A$6:$IV$6</definedName>
    <definedName name="CUS">[4]CLASSIFIERS!$A$6:$IV$6</definedName>
    <definedName name="CUST_1" localSheetId="7">[4]EXTERNAL!$A$22:$IV$24</definedName>
    <definedName name="CUST_1">[4]EXTERNAL!$A$22:$IV$24</definedName>
    <definedName name="CUST_4" localSheetId="7">[4]EXTERNAL!$A$25:$IV$27</definedName>
    <definedName name="CUST_4">[4]EXTERNAL!$A$25:$IV$27</definedName>
    <definedName name="CUST_5" localSheetId="7">[4]EXTERNAL!$A$28:$IV$30</definedName>
    <definedName name="CUST_5">[4]EXTERNAL!$A$28:$IV$30</definedName>
    <definedName name="CUST_6" localSheetId="7">[4]EXTERNAL!$A$31:$IV$33</definedName>
    <definedName name="CUST_6">[4]EXTERNAL!$A$31:$IV$33</definedName>
    <definedName name="D108.05.T" localSheetId="7">[4]INTERNAL!$A$22:$IV$24</definedName>
    <definedName name="D108.05.T">[4]INTERNAL!$A$22:$IV$24</definedName>
    <definedName name="D108.10.T" localSheetId="7">[4]INTERNAL!$A$25:$IV$27</definedName>
    <definedName name="D108.10.T">[4]INTERNAL!$A$25:$IV$27</definedName>
    <definedName name="D361.T" localSheetId="7">[4]INTERNAL!$A$4:$IV$6</definedName>
    <definedName name="D361.T">[4]INTERNAL!$A$4:$IV$6</definedName>
    <definedName name="D362.T" localSheetId="7">[4]INTERNAL!$A$7:$IV$9</definedName>
    <definedName name="D362.T">[4]INTERNAL!$A$7:$IV$9</definedName>
    <definedName name="D364.T" localSheetId="7">[4]INTERNAL!$A$10:$IV$12</definedName>
    <definedName name="D364.T">[4]INTERNAL!$A$10:$IV$12</definedName>
    <definedName name="D366.T" localSheetId="7">[4]INTERNAL!$A$13:$IV$15</definedName>
    <definedName name="D366.T">[4]INTERNAL!$A$13:$IV$15</definedName>
    <definedName name="D368.T" localSheetId="7">[4]INTERNAL!$A$16:$IV$18</definedName>
    <definedName name="D368.T">[4]INTERNAL!$A$16:$IV$18</definedName>
    <definedName name="D370.T" localSheetId="7">[4]INTERNAL!$A$19:$IV$21</definedName>
    <definedName name="D370.T">[4]INTERNAL!$A$19:$IV$21</definedName>
    <definedName name="D372.T" localSheetId="7">[4]INTERNAL!$A$28:$IV$30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 localSheetId="7">[9]Assumptions!$I$58</definedName>
    <definedName name="DebtPerc">[9]Assumptions!$I$58</definedName>
    <definedName name="Dec03AMA" localSheetId="7">[3]BS!$AJ$7:$AJ$3582</definedName>
    <definedName name="Dec03AMA">[3]BS!$AJ$7:$AJ$3582</definedName>
    <definedName name="Dec04AMA" localSheetId="7">[1]BS!$AO$7:$AO$3582</definedName>
    <definedName name="Dec04AMA">[1]BS!$AO$7:$AO$3582</definedName>
    <definedName name="Dec08AMA" localSheetId="7">[2]BS!$AJ$7:$AJ$1726</definedName>
    <definedName name="Dec08AMA">[2]BS!$AJ$7:$AJ$1726</definedName>
    <definedName name="Dec09AMA" localSheetId="7">[2]BS!$AV$7:$AV$1726</definedName>
    <definedName name="Dec09AMA">[2]BS!$AV$7:$AV$1726</definedName>
    <definedName name="DEM" localSheetId="7">[4]CLASSIFIERS!$A$4:$IV$4</definedName>
    <definedName name="DEM">[4]CLASSIFIERS!$A$4:$IV$4</definedName>
    <definedName name="DEM_1" localSheetId="7">[4]EXTERNAL!$A$7:$IV$9</definedName>
    <definedName name="DEM_1">[4]EXTERNAL!$A$7:$IV$9</definedName>
    <definedName name="DEM_12CP" localSheetId="7">[4]EXTERNAL!$A$118:$IV$120</definedName>
    <definedName name="DEM_12CP">[4]EXTERNAL!$A$118:$IV$120</definedName>
    <definedName name="DEM_12NCP_P" localSheetId="7">[4]EXTERNAL!$A$187:$IV$189</definedName>
    <definedName name="DEM_12NCP_P">[4]EXTERNAL!$A$187:$IV$189</definedName>
    <definedName name="DEM_12NCP_S" localSheetId="7">[4]EXTERNAL!$A$190:$IV$192</definedName>
    <definedName name="DEM_12NCP_S">[4]EXTERNAL!$A$190:$IV$192</definedName>
    <definedName name="DEM_12NCP1" localSheetId="7">[4]EXTERNAL!$A$139:$IV$141</definedName>
    <definedName name="DEM_12NCP1">[4]EXTERNAL!$A$139:$IV$141</definedName>
    <definedName name="DEM_12NCP2" localSheetId="7">[4]EXTERNAL!$A$130:$IV$132</definedName>
    <definedName name="DEM_12NCP2">[4]EXTERNAL!$A$130:$IV$132</definedName>
    <definedName name="DEM_1A" localSheetId="7">[4]EXTERNAL!$A$115:$IV$117</definedName>
    <definedName name="DEM_1A">[4]EXTERNAL!$A$115:$IV$117</definedName>
    <definedName name="DEM_2A" localSheetId="7">[4]EXTERNAL!$A$148:$IV$150</definedName>
    <definedName name="DEM_2A">[4]EXTERNAL!$A$148:$IV$150</definedName>
    <definedName name="DEM_3A" localSheetId="7">[4]EXTERNAL!$A$199:$IV$201</definedName>
    <definedName name="DEM_3A">[4]EXTERNAL!$A$199:$IV$201</definedName>
    <definedName name="DEM_3B" localSheetId="7">[4]EXTERNAL!$A$196:$IV$198</definedName>
    <definedName name="DEM_3B">[4]EXTERNAL!$A$196:$IV$198</definedName>
    <definedName name="Demand2" localSheetId="7">[24]Inputs!$D$11</definedName>
    <definedName name="Demand2">[24]Inputs!$D$11</definedName>
    <definedName name="DES1.T" localSheetId="7">[4]INTERNAL!$A$40:$IV$42</definedName>
    <definedName name="DES1.T">[4]INTERNAL!$A$40:$IV$42</definedName>
    <definedName name="DES2.T" localSheetId="7">[4]INTERNAL!$A$43:$IV$45</definedName>
    <definedName name="DES2.T">[4]INTERNAL!$A$43:$IV$45</definedName>
    <definedName name="DF_HeatRate" localSheetId="7">[9]Assumptions!$L$23</definedName>
    <definedName name="DF_HeatRate">[9]Assumptions!$L$23</definedName>
    <definedName name="DIR_40" localSheetId="7">[4]EXTERNAL!$A$193:$IV$195</definedName>
    <definedName name="DIR_40">[4]EXTERNAL!$A$193:$IV$195</definedName>
    <definedName name="DIR_449" localSheetId="7">[4]EXTERNAL!$A$127:$IV$129</definedName>
    <definedName name="DIR_449">[4]EXTERNAL!$A$127:$IV$129</definedName>
    <definedName name="DIR_449_ENERGY" localSheetId="7">[4]EXTERNAL!$A$160:$IV$162</definedName>
    <definedName name="DIR_449_ENERGY">[4]EXTERNAL!$A$160:$IV$162</definedName>
    <definedName name="DIR_449_HV" localSheetId="7">[4]EXTERNAL!$A$157:$IV$159</definedName>
    <definedName name="DIR_449_HV">[4]EXTERNAL!$A$157:$IV$159</definedName>
    <definedName name="DIR_449_OATT" localSheetId="7">[4]EXTERNAL!$A$166:$IV$168</definedName>
    <definedName name="DIR_449_OATT">[4]EXTERNAL!$A$166:$IV$168</definedName>
    <definedName name="DIR_RESALE" localSheetId="7">[4]EXTERNAL!$A$124:$IV$126</definedName>
    <definedName name="DIR_RESALE">[4]EXTERNAL!$A$124:$IV$126</definedName>
    <definedName name="DIR_RESALE_LARGE" localSheetId="7">[4]EXTERNAL!$A$154:$IV$156</definedName>
    <definedName name="DIR_RESALE_LARGE">[4]EXTERNAL!$A$154:$IV$156</definedName>
    <definedName name="DIR_RESALE_SMALL" localSheetId="7">[4]EXTERNAL!$A$151:$IV$153</definedName>
    <definedName name="DIR_RESALE_SMALL">[4]EXTERNAL!$A$151:$IV$153</definedName>
    <definedName name="DIR108.09" localSheetId="7">[4]EXTERNAL!$A$106:$IV$108</definedName>
    <definedName name="DIR108.09">[4]EXTERNAL!$A$106:$IV$108</definedName>
    <definedName name="DIR235.00" localSheetId="7">[4]EXTERNAL!$A$85:$IV$87</definedName>
    <definedName name="DIR235.00">[4]EXTERNAL!$A$85:$IV$87</definedName>
    <definedName name="DIR360.01" localSheetId="7">[4]EXTERNAL!$A$37:$IV$39</definedName>
    <definedName name="DIR360.01">[4]EXTERNAL!$A$37:$IV$39</definedName>
    <definedName name="DIR361.01" localSheetId="7">[4]EXTERNAL!$A$40:$IV$42</definedName>
    <definedName name="DIR361.01">[4]EXTERNAL!$A$40:$IV$42</definedName>
    <definedName name="DIR362.01" localSheetId="7">[4]EXTERNAL!$A$43:$IV$45</definedName>
    <definedName name="DIR362.01">[4]EXTERNAL!$A$43:$IV$45</definedName>
    <definedName name="DIR364.01" localSheetId="7">[4]EXTERNAL!$A$46:$IV$48</definedName>
    <definedName name="DIR364.01">[4]EXTERNAL!$A$46:$IV$48</definedName>
    <definedName name="DIR366.01" localSheetId="7">[4]EXTERNAL!$A$49:$IV$51</definedName>
    <definedName name="DIR366.01">[4]EXTERNAL!$A$49:$IV$51</definedName>
    <definedName name="DIR368.03" localSheetId="7">[4]EXTERNAL!$A$55:$IV$57</definedName>
    <definedName name="DIR368.03">[4]EXTERNAL!$A$55:$IV$57</definedName>
    <definedName name="DIR368.03C" localSheetId="7">[4]EXTERNAL!$A$52:$IV$54</definedName>
    <definedName name="DIR368.03C">[4]EXTERNAL!$A$52:$IV$54</definedName>
    <definedName name="DIR372.00" localSheetId="7">[4]EXTERNAL!$A$58:$IV$60</definedName>
    <definedName name="DIR372.00">[4]EXTERNAL!$A$58:$IV$60</definedName>
    <definedName name="DIR373.00" localSheetId="7">[4]EXTERNAL!$A$61:$IV$63</definedName>
    <definedName name="DIR373.00">[4]EXTERNAL!$A$61:$IV$63</definedName>
    <definedName name="DIR450.01" localSheetId="7">[4]EXTERNAL!$A$10:$IV$12</definedName>
    <definedName name="DIR450.01">[4]EXTERNAL!$A$10:$IV$12</definedName>
    <definedName name="DIR450.02" localSheetId="7">[4]EXTERNAL!$A$184:$IV$186</definedName>
    <definedName name="DIR450.02">[4]EXTERNAL!$A$184:$IV$186</definedName>
    <definedName name="DIR451.02" localSheetId="7">[4]EXTERNAL!$A$70:$IV$72</definedName>
    <definedName name="DIR451.02">[4]EXTERNAL!$A$70:$IV$72</definedName>
    <definedName name="DIR451.03" localSheetId="7">[4]EXTERNAL!$A$136:$IV$138</definedName>
    <definedName name="DIR451.03">[4]EXTERNAL!$A$136:$IV$138</definedName>
    <definedName name="DIR451.05" localSheetId="7">[4]EXTERNAL!$A$76:$IV$78</definedName>
    <definedName name="DIR451.05">[4]EXTERNAL!$A$76:$IV$78</definedName>
    <definedName name="DIR451.06" localSheetId="7">[4]EXTERNAL!$A$109:$IV$111</definedName>
    <definedName name="DIR451.06">[4]EXTERNAL!$A$109:$IV$111</definedName>
    <definedName name="DIR451.07" localSheetId="7">[4]EXTERNAL!$A$133:$IV$135</definedName>
    <definedName name="DIR451.07">[4]EXTERNAL!$A$133:$IV$135</definedName>
    <definedName name="DIR454.04" localSheetId="7">[4]EXTERNAL!$A$73:$IV$75</definedName>
    <definedName name="DIR454.04">[4]EXTERNAL!$A$73:$IV$75</definedName>
    <definedName name="DIR556.01" localSheetId="7">[4]EXTERNAL!$A$175:$IV$177</definedName>
    <definedName name="DIR556.01">[4]EXTERNAL!$A$175:$IV$177</definedName>
    <definedName name="DIR565.02" localSheetId="7">[4]EXTERNAL!$A$178:$IV$180</definedName>
    <definedName name="DIR565.02">[4]EXTERNAL!$A$178:$IV$180</definedName>
    <definedName name="DIR908.01" localSheetId="7">[4]EXTERNAL!$A$172:$IV$174</definedName>
    <definedName name="DIR908.01">[4]EXTERNAL!$A$172:$IV$174</definedName>
    <definedName name="DIR920.01" localSheetId="7">[4]EXTERNAL!$A$181:$IV$183</definedName>
    <definedName name="DIR920.01">[4]EXTERNAL!$A$181:$IV$183</definedName>
    <definedName name="Dis" localSheetId="7">'[7]Func Study'!$AB$250</definedName>
    <definedName name="Dis">'[7]Func Study'!$AB$250</definedName>
    <definedName name="Discount_for_Revenue_Reqmt">'[25]Assumptions of Purchase'!$B$45</definedName>
    <definedName name="DisFac" localSheetId="7">'[7]Func Dist Factor Table'!$A$11:$G$25</definedName>
    <definedName name="DisFac">'[7]Func Dist Factor Table'!$A$11:$G$25</definedName>
    <definedName name="DocketNumber">'[26]JHS-4'!$AP$2</definedName>
    <definedName name="DP.T" localSheetId="7">[4]INTERNAL!$A$46:$IV$48</definedName>
    <definedName name="DP.T">[4]INTERNAL!$A$46:$IV$48</definedName>
    <definedName name="EBFIT.T" localSheetId="7">[4]INTERNAL!$A$88:$IV$90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 localSheetId="7">'[27]Monthly Price Summary'!$B$4:$E$27</definedName>
    <definedName name="Electric_Prices">'[27]Monthly Price Summary'!$B$4:$E$27</definedName>
    <definedName name="ElRBLine" localSheetId="7">[1]BS!$AQ$7:$AQ$3303</definedName>
    <definedName name="ElRBLine">[1]BS!$AQ$7:$AQ$3303</definedName>
    <definedName name="EndDate" localSheetId="7">[9]Assumptions!$C$11</definedName>
    <definedName name="EndDate">[9]Assumptions!$C$11</definedName>
    <definedName name="ENERGY_1" localSheetId="7">[4]EXTERNAL!$A$4:$IV$6</definedName>
    <definedName name="ENERGY_1">[4]EXTERNAL!$A$4:$IV$6</definedName>
    <definedName name="ENERGY_2" localSheetId="7">[4]EXTERNAL!$A$145:$IV$147</definedName>
    <definedName name="ENERGY_2">[4]EXTERNAL!$A$145:$IV$147</definedName>
    <definedName name="Engy" localSheetId="7">[10]Inputs!$D$9</definedName>
    <definedName name="Engy">[10]Inputs!$D$9</definedName>
    <definedName name="Engy2" localSheetId="7">[24]Inputs!$D$12</definedName>
    <definedName name="Engy2">[24]Inputs!$D$12</definedName>
    <definedName name="EPIS.T" localSheetId="7">[4]INTERNAL!$A$49:$IV$51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 localSheetId="7">'[7]COS Factor Table'!$O$15:$O$113</definedName>
    <definedName name="Factorck">'[7]COS Factor Table'!$O$15:$O$113</definedName>
    <definedName name="FactorType">[8]Variables!$AK$2:$AL$12</definedName>
    <definedName name="FactSum" localSheetId="7">'[7]COS Factor Table'!$A$14:$O$113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 localSheetId="7">[1]BS!$AE$7:$AE$3582</definedName>
    <definedName name="Feb04AMA">[1]BS!$AE$7:$AE$3582</definedName>
    <definedName name="Feb09AMA" localSheetId="7">[2]BS!$AL$7:$AL$1725</definedName>
    <definedName name="Feb09AMA">[2]BS!$AL$7:$AL$1725</definedName>
    <definedName name="Feb10AMA" localSheetId="7">[2]BS!$AX$7:$AX$1726</definedName>
    <definedName name="Feb10AMA">[2]BS!$AX$7:$AX$1726</definedName>
    <definedName name="Fed_Cap_Tax" localSheetId="7">[28]Inputs!$E$112</definedName>
    <definedName name="Fed_Cap_Tax">[28]Inputs!$E$112</definedName>
    <definedName name="FedTaxRate" localSheetId="7">[9]Assumptions!$C$33</definedName>
    <definedName name="FedTaxRate">[9]Assumptions!$C$33</definedName>
    <definedName name="FERC_Lookup" localSheetId="7">'[29]Map Table'!$E$2:$F$58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 localSheetId="7">[11]Variables!$D$26</definedName>
    <definedName name="FranchiseTax">[11]Variables!$D$26</definedName>
    <definedName name="FTAX">[18]INPUTS!$F$35</definedName>
    <definedName name="Func" localSheetId="7">'[7]Func Factor Table'!$A$10:$H$77</definedName>
    <definedName name="Func">'[7]Func Factor Table'!$A$10:$H$77</definedName>
    <definedName name="Function" localSheetId="7">'[7]Func Study'!$AB$250</definedName>
    <definedName name="Function">'[7]Func Study'!$AB$250</definedName>
    <definedName name="GasRBLine" localSheetId="7">[1]BS!$AS$7:$AS$3631</definedName>
    <definedName name="GasRBLine">[1]BS!$AS$7:$AS$3631</definedName>
    <definedName name="GasWC_LineItem" localSheetId="7">[1]BS!$AR$7:$AR$3631</definedName>
    <definedName name="GasWC_LineItem">[1]BS!$AR$7:$AR$3631</definedName>
    <definedName name="GP.T" localSheetId="7">[4]INTERNAL!$A$52:$IV$54</definedName>
    <definedName name="GP.T">[4]INTERNAL!$A$52:$IV$54</definedName>
    <definedName name="HTML_CodePage">1252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 localSheetId="7">[4]INTERNAL!$A$85:$IV$87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 localSheetId="7">[1]BS!$AD$7:$AD$3582</definedName>
    <definedName name="Jan04AMA">[1]BS!$AD$7:$AD$3582</definedName>
    <definedName name="Jan09AMA" localSheetId="7">[2]BS!$AK$7:$AK$1743</definedName>
    <definedName name="Jan09AMA">[2]BS!$AK$7:$AK$1743</definedName>
    <definedName name="Jan10AMA" localSheetId="7">[2]BS!$AW$7:$AW$1726</definedName>
    <definedName name="Jan10AMA">[2]BS!$AW$7:$AW$1726</definedName>
    <definedName name="jjj" localSheetId="7">[31]Inputs!$N$18</definedName>
    <definedName name="jjj">[31]Inputs!$N$18</definedName>
    <definedName name="JP_Bal" localSheetId="7">[32]ACCOUNTS!$AG$31</definedName>
    <definedName name="JP_Bal">[33]ACCOUNTS!$AG$31</definedName>
    <definedName name="Jul04AMA" localSheetId="7">[1]BS!$AJ$7:$AJ$3582</definedName>
    <definedName name="Jul04AMA">[1]BS!$AJ$7:$AJ$3582</definedName>
    <definedName name="Jul09AMA" localSheetId="7">[2]BS!$AQ$7:$AQ$1726</definedName>
    <definedName name="Jul09AMA">[2]BS!$AQ$7:$AQ$1726</definedName>
    <definedName name="Jun04AMA" localSheetId="7">[1]BS!$AI$7:$AI$3582</definedName>
    <definedName name="Jun04AMA">[1]BS!$AI$7:$AI$3582</definedName>
    <definedName name="Jun09AMA" localSheetId="7">[2]BS!$AP$7:$AP$1726</definedName>
    <definedName name="Jun09AMA">[2]BS!$AP$7:$AP$1726</definedName>
    <definedName name="Jun10AMA" localSheetId="7">[2]BS!$BB$7:$BB$1726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7">IF('Current ERF Rates'!Values_Entered,Header_Row+'Current ERF Rates'!Number_of_Payments,Header_Row)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 localSheetId="7">[4]INTERNAL!$A$55:$IV$57</definedName>
    <definedName name="LINE.T">[4]INTERNAL!$A$55:$IV$57</definedName>
    <definedName name="LinkCos" localSheetId="7">'[7]JAM Download'!$K$4</definedName>
    <definedName name="LinkCos">'[7]JAM Download'!$K$4</definedName>
    <definedName name="Load_Factor" localSheetId="7">[32]ACCOUNTS!$AG$167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 localSheetId="7">[37]M9100F4!$A$1:$V$99</definedName>
    <definedName name="M9100F4_v4">[37]M9100F4!$A$1:$V$99</definedName>
    <definedName name="MACRS">'[12]MACRS RATES'!$A$3:$AT$10</definedName>
    <definedName name="Mar04AMA" localSheetId="7">[1]BS!$AF$7:$AF$3582</definedName>
    <definedName name="Mar04AMA">[1]BS!$AF$7:$AF$3582</definedName>
    <definedName name="MAR09AMA" localSheetId="7">[2]BS!$AM$7:$AM$1725</definedName>
    <definedName name="MAR09AMA">[2]BS!$AM$7:$AM$1725</definedName>
    <definedName name="Mar10AMA" localSheetId="7">[2]BS!$AY$7:$AY$1726</definedName>
    <definedName name="Mar10AMA">[2]BS!$AY$7:$AY$1726</definedName>
    <definedName name="May04AMA" localSheetId="7">[1]BS!$AH$7:$AH$3582</definedName>
    <definedName name="May04AMA">[1]BS!$AH$7:$AH$3582</definedName>
    <definedName name="MAY09AMA" localSheetId="7">[2]BS!$AO$7:$AO$1726</definedName>
    <definedName name="MAY09AMA">[2]BS!$AO$7:$AO$1726</definedName>
    <definedName name="May10AMA" localSheetId="7">[2]BS!$BA$7:$BA$1726</definedName>
    <definedName name="May10AMA">[2]BS!$BA$7:$BA$1726</definedName>
    <definedName name="menu1_Button5_Click" localSheetId="7">[38]!menu1_Button5_Click</definedName>
    <definedName name="menu1_Button5_Click">[38]!menu1_Button5_Click</definedName>
    <definedName name="menu1_Button6_Click" localSheetId="7">[38]!menu1_Button6_Click</definedName>
    <definedName name="menu1_Button6_Click">[38]!menu1_Button6_Click</definedName>
    <definedName name="MERGER_COST">[39]Sheet1!$AF$3:$AJ$28</definedName>
    <definedName name="METER" localSheetId="7">[4]EXTERNAL!$A$34:$IV$36</definedName>
    <definedName name="METER">[4]EXTERNAL!$A$34:$IV$36</definedName>
    <definedName name="Method" localSheetId="7">[10]Inputs!$C$6</definedName>
    <definedName name="Method">[10]Inputs!$C$6</definedName>
    <definedName name="monthlist" localSheetId="7">[40]Table!$R$2:$S$13</definedName>
    <definedName name="monthlist">[40]Table!$R$2:$S$13</definedName>
    <definedName name="monthtotals" localSheetId="7">'[40]WA SBC'!$D$40:$O$40</definedName>
    <definedName name="monthtotals">'[40]WA SBC'!$D$40:$O$40</definedName>
    <definedName name="MTD_Format" localSheetId="7">[41]Mthly!$B$11:$D$11,[41]Mthly!$B$32:$D$32</definedName>
    <definedName name="MTD_Format">[41]Mthly!$B$11:$D$11,[41]Mthly!$B$32:$D$32</definedName>
    <definedName name="MTR_YR3" localSheetId="7">[42]Variables!$E$14</definedName>
    <definedName name="MTR_YR3">[42]Variables!$E$14</definedName>
    <definedName name="NCP_360" localSheetId="7">[4]EXTERNAL!$A$13:$IV$15</definedName>
    <definedName name="NCP_360">[4]EXTERNAL!$A$13:$IV$15</definedName>
    <definedName name="NCP_361" localSheetId="7">[4]EXTERNAL!$A$16:$IV$18</definedName>
    <definedName name="NCP_361">[4]EXTERNAL!$A$16:$IV$18</definedName>
    <definedName name="NCP_362" localSheetId="7">[4]EXTERNAL!$A$19:$IV$21</definedName>
    <definedName name="NCP_362">[4]EXTERNAL!$A$19:$IV$21</definedName>
    <definedName name="Net_to_Gross_Factor" localSheetId="7">[7]Inputs!$G$8</definedName>
    <definedName name="Net_to_Gross_Factor">[7]Inputs!$G$8</definedName>
    <definedName name="NetToGross" localSheetId="7">[11]Variables!$D$23</definedName>
    <definedName name="NetToGross">[11]Variables!$D$23</definedName>
    <definedName name="Nov03AMA" localSheetId="7">[3]BS!$AI$7:$AI$3582</definedName>
    <definedName name="Nov03AMA">[3]BS!$AI$7:$AI$3582</definedName>
    <definedName name="Nov04AMA" localSheetId="7">[1]BS!$AN$7:$AN$3582</definedName>
    <definedName name="Nov04AMA">[1]BS!$AN$7:$AN$3582</definedName>
    <definedName name="Nov09AMA" localSheetId="7">[2]BS!$AU$7:$AU$1726</definedName>
    <definedName name="Nov09AMA">[2]BS!$AU$7:$AU$1726</definedName>
    <definedName name="NPC" localSheetId="7">[43]Inputs!$N$18</definedName>
    <definedName name="NPC">[43]Inputs!$N$18</definedName>
    <definedName name="NRG" localSheetId="7">[4]CLASSIFIERS!$A$5:$IV$5</definedName>
    <definedName name="NRG">[4]CLASSIFIERS!$A$5:$IV$5</definedName>
    <definedName name="Number_of_Payments" localSheetId="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 localSheetId="7">[3]BS!$AH$7:$AH$3582</definedName>
    <definedName name="Oct03AMA">[3]BS!$AH$7:$AH$3582</definedName>
    <definedName name="Oct04AMA" localSheetId="7">[1]BS!$AM$7:$AM$3582</definedName>
    <definedName name="Oct04AMA">[1]BS!$AM$7:$AM$3582</definedName>
    <definedName name="Oct09AMA" localSheetId="7">[2]BS!$AT$7:$AT$1726</definedName>
    <definedName name="Oct09AMA">[2]BS!$AT$7:$AT$1726</definedName>
    <definedName name="OH" localSheetId="7">[4]CLASSIFIERS!$A$8:$IV$8</definedName>
    <definedName name="OH">[4]CLASSIFIERS!$A$8:$IV$8</definedName>
    <definedName name="OH_NCP" localSheetId="7">[4]EXTERNAL!$A$79:$IV$81</definedName>
    <definedName name="OH_NCP">[4]EXTERNAL!$A$79:$IV$81</definedName>
    <definedName name="OH_SVC" localSheetId="7">[4]EXTERNAL!$A$142:$IV$144</definedName>
    <definedName name="OH_SVC">[4]EXTERNAL!$A$142:$IV$144</definedName>
    <definedName name="OH_TFMR" localSheetId="7">[4]EXTERNAL!$A$97:$IV$99</definedName>
    <definedName name="OH_TFMR">[4]EXTERNAL!$A$97:$IV$99</definedName>
    <definedName name="OH_TFMRC" localSheetId="7">[4]EXTERNAL!$A$94:$IV$96</definedName>
    <definedName name="OH_TFMRC">[4]EXTERNAL!$A$94:$IV$96</definedName>
    <definedName name="option">'[44]Dist Misc'!$F$120</definedName>
    <definedName name="OthRCF">[45]INPUTS!$F$41</definedName>
    <definedName name="OthUnc" localSheetId="7">[4]INPUTS!$F$36</definedName>
    <definedName name="OthUnc">[4]INPUTS!$F$36</definedName>
    <definedName name="outlookdata">'[46]pivoted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 localSheetId="7">'[47]2008 Extreme Peaks - 080403'!$E$5:$AD$8</definedName>
    <definedName name="peak_new_table">'[47]2008 Extreme Peaks - 080403'!$E$5:$AD$8</definedName>
    <definedName name="peak_table" localSheetId="7">'[47]Peaks-F01'!$C$5:$E$243</definedName>
    <definedName name="peak_table">'[47]Peaks-F01'!$C$5:$E$243</definedName>
    <definedName name="PeakMethod" localSheetId="7">[10]Inputs!$T$5</definedName>
    <definedName name="PeakMethod">[10]Inputs!$T$5</definedName>
    <definedName name="Percent_debt" localSheetId="7">[28]Inputs!$E$129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 localSheetId="7">[4]INTERNAL!$A$58:$IV$60</definedName>
    <definedName name="POWER.T">[4]INTERNAL!$A$58:$IV$60</definedName>
    <definedName name="PP.T" localSheetId="7">[4]INTERNAL!$A$61:$IV$63</definedName>
    <definedName name="PP.T">[4]INTERNAL!$A$61:$IV$63</definedName>
    <definedName name="PreTaxDebtCost" localSheetId="7">[9]Assumptions!$I$56</definedName>
    <definedName name="PreTaxDebtCost">[9]Assumptions!$I$56</definedName>
    <definedName name="PreTaxWACC" localSheetId="7">[9]Assumptions!$I$62</definedName>
    <definedName name="PreTaxWACC">[9]Assumptions!$I$62</definedName>
    <definedName name="Prices_Aurora" localSheetId="7">'[27]Monthly Price Summary'!$C$4:$H$63</definedName>
    <definedName name="Prices_Aurora">'[27]Monthly Price Summary'!$C$4:$H$63</definedName>
    <definedName name="_xlnm.Print_Area" localSheetId="7">'Current ERF Rates'!$B$1:$Q$234</definedName>
    <definedName name="_xlnm.Print_Area" localSheetId="2">'Rate Design C&amp;I'!$B$2:$Q$126</definedName>
    <definedName name="_xlnm.Print_Area" localSheetId="3">'Rate Design Int &amp; Trans'!$B$2:$Q$221</definedName>
    <definedName name="_xlnm.Print_Area" localSheetId="4">'Rate Design Rental'!$B$2:$N$29</definedName>
    <definedName name="_xlnm.Print_Area" localSheetId="1">'Rate Design Res'!$B$2:$Q$50</definedName>
    <definedName name="_xlnm.Print_Area" localSheetId="0">'Rate Spread'!$B$1:$W$36</definedName>
    <definedName name="_xlnm.Print_Titles" localSheetId="7">'Current ERF Rates'!$1:$7</definedName>
    <definedName name="_xlnm.Print_Titles" localSheetId="2">'Rate Design C&amp;I'!$1:$8</definedName>
    <definedName name="_xlnm.Print_Titles" localSheetId="3">'Rate Design Int &amp; Trans'!$1:$8</definedName>
    <definedName name="_xlnm.Print_Titles" localSheetId="1">'Rate Design Res'!$2:$8</definedName>
    <definedName name="_xlnm.Print_Titles" localSheetId="0">'Rate Spread'!$B:$B,'Rate Spread'!$1:$11</definedName>
    <definedName name="Prior_Month" localSheetId="7">[48]Sch_120!$I$21</definedName>
    <definedName name="Prior_Month">[48]Sch_120!$I$21</definedName>
    <definedName name="PROFORMA" localSheetId="7">[4]EXTERNAL!$A$67:$IV$69</definedName>
    <definedName name="PROFORMA">[4]EXTERNAL!$A$67:$IV$69</definedName>
    <definedName name="PROFORMA_RETAIL" localSheetId="7">[4]EXTERNAL!$A$91:$IV$93</definedName>
    <definedName name="PROFORMA_RETAIL">[4]EXTERNAL!$A$91:$IV$93</definedName>
    <definedName name="PROFORMA_RETAIL_TAX" localSheetId="7">[4]EXTERNAL!$A$169:$IV$171</definedName>
    <definedName name="PROFORMA_RETAIL_TAX">[4]EXTERNAL!$A$169:$IV$171</definedName>
    <definedName name="Projects" localSheetId="7">[49]Sheet1!$A$1147:$B$1887</definedName>
    <definedName name="Projects">[49]Sheet1!$A$1147:$B$1887</definedName>
    <definedName name="Prov_Cap_Tax" localSheetId="7">[28]Inputs!$E$111</definedName>
    <definedName name="Prov_Cap_Tax">[28]Inputs!$E$111</definedName>
    <definedName name="PSE" localSheetId="7">'[50]4.04'!$A$6</definedName>
    <definedName name="PSE">'[50]4.04'!$A$6</definedName>
    <definedName name="PSE_Pre_Tax_Equity_Rate">'[25]Assumptions of Purchase'!$B$42</definedName>
    <definedName name="PTDGP.T" localSheetId="7">[4]INTERNAL!$A$64:$IV$66</definedName>
    <definedName name="PTDGP.T">[4]INTERNAL!$A$64:$IV$66</definedName>
    <definedName name="PTDP.T" localSheetId="7">[4]INTERNAL!$A$67:$IV$69</definedName>
    <definedName name="PTDP.T">[4]INTERNAL!$A$67:$IV$69</definedName>
    <definedName name="QTD_Format" localSheetId="7">[51]QTD!$B$11:$D$11,[51]QTD!$B$35:$D$35</definedName>
    <definedName name="QTD_Format">[51]QTD!$B$11:$D$11,[51]QTD!$B$35:$D$35</definedName>
    <definedName name="RATE2">'[20]Transp Data'!$A$8:$I$112</definedName>
    <definedName name="Rates" localSheetId="7">[52]Codes!$A$1:$C$500</definedName>
    <definedName name="Rates">[52]Codes!$A$1:$C$500</definedName>
    <definedName name="RB.T" localSheetId="7">[4]INTERNAL!$A$70:$IV$72</definedName>
    <definedName name="RB.T">[4]INTERNAL!$A$70:$IV$72</definedName>
    <definedName name="RCF" localSheetId="7">[32]INPUTS!$F$48</definedName>
    <definedName name="RCF">[33]INPUTS!$F$48</definedName>
    <definedName name="Requlated_scenario">'[12]Assumptions (Input)'!$B$12</definedName>
    <definedName name="ResExchCrRate">[53]Sch_194!$M$31</definedName>
    <definedName name="RESID" localSheetId="7">[4]EXTERNAL!$A$88:$IV$90</definedName>
    <definedName name="RESID">[4]EXTERNAL!$A$88:$IV$90</definedName>
    <definedName name="resource_lookup">'[54]#REF'!$B$3:$C$112</definedName>
    <definedName name="ResourceSupplier" localSheetId="7">[11]Variables!$D$28</definedName>
    <definedName name="ResourceSupplier">[11]Variables!$D$28</definedName>
    <definedName name="ResRCF">[18]INPUTS!$F$44</definedName>
    <definedName name="ResUnc">[18]INPUTS!$F$39</definedName>
    <definedName name="RevClass" localSheetId="7">[52]Codes!$F$2:$G$10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 localSheetId="7">[4]INTERNAL!$A$73:$IV$75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 localSheetId="7">[4]INPUTS!$F$35</definedName>
    <definedName name="SbUnc">[4]INPUTS!$F$35</definedName>
    <definedName name="Sch194Rlfwd" localSheetId="7">'[55]Sch94 Rlfwd'!$B$11</definedName>
    <definedName name="Sch194Rlfwd">'[55]Sch94 Rlfwd'!$B$11</definedName>
    <definedName name="Schedule" localSheetId="7">[43]Inputs!$N$14</definedName>
    <definedName name="Schedule">[43]Inputs!$N$14</definedName>
    <definedName name="Sep03AMA" localSheetId="7">[3]BS!$AG$7:$AG$3582</definedName>
    <definedName name="Sep03AMA">[3]BS!$AG$7:$AG$3582</definedName>
    <definedName name="Sep04AMA" localSheetId="7">[1]BS!$AL$7:$AL$3582</definedName>
    <definedName name="Sep04AMA">[1]BS!$AL$7:$AL$3582</definedName>
    <definedName name="Sep09AMA" localSheetId="7">[2]BS!$AS$7:$AS$1726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 localSheetId="7">[9]Assumptions!$C$9</definedName>
    <definedName name="StartDate">[9]Assumptions!$C$9</definedName>
    <definedName name="STATE_UTILITY_TAX">'[6]MJS-7'!$N$16</definedName>
    <definedName name="STAX">[18]INPUTS!$F$34</definedName>
    <definedName name="SW.T" localSheetId="7">[4]INTERNAL!$A$76:$IV$78</definedName>
    <definedName name="SW.T">[4]INTERNAL!$A$76:$IV$78</definedName>
    <definedName name="SWPTD.T" localSheetId="7">[4]INTERNAL!$A$79:$IV$81</definedName>
    <definedName name="SWPTD.T">[4]INTERNAL!$A$79:$IV$81</definedName>
    <definedName name="TableName">"Dummy"</definedName>
    <definedName name="TargetROR" localSheetId="7">[10]Inputs!$G$29</definedName>
    <definedName name="TargetROR">[10]Inputs!$G$29</definedName>
    <definedName name="TDP.T" localSheetId="7">[4]INTERNAL!$A$82:$IV$84</definedName>
    <definedName name="TDP.T">[4]INTERNAL!$A$82:$IV$84</definedName>
    <definedName name="TestPeriod" localSheetId="7">[7]Inputs!$C$5</definedName>
    <definedName name="TestPeriod">[7]Inputs!$C$5</definedName>
    <definedName name="TESTYEAR">'[26]JHS-6'!$A$7</definedName>
    <definedName name="TFR" localSheetId="7">[4]CLASSIFIERS!$A$11:$IV$11</definedName>
    <definedName name="TFR">[4]CLASSIFIERS!$A$11:$IV$11</definedName>
    <definedName name="ThermalBookLife" localSheetId="7">[9]Assumptions!$C$25</definedName>
    <definedName name="ThermalBookLife">[9]Assumptions!$C$25</definedName>
    <definedName name="Title" localSheetId="7">[9]Assumptions!$A$1</definedName>
    <definedName name="Title">[9]Assumptions!$A$1</definedName>
    <definedName name="Total_Payment">Scheduled_Payment+Extra_Payment</definedName>
    <definedName name="TotalRateBase" localSheetId="7">'[7]G+T+D+R+M'!$H$58</definedName>
    <definedName name="TotalRateBase">'[7]G+T+D+R+M'!$H$58</definedName>
    <definedName name="TP.T" localSheetId="7">[4]INTERNAL!$A$91:$IV$93</definedName>
    <definedName name="TP.T">[4]INTERNAL!$A$91:$IV$93</definedName>
    <definedName name="transdb" localSheetId="7">'[56]Transp Unbilled'!$A$8:$E$174</definedName>
    <definedName name="transdb">'[56]Transp Unbilled'!$A$8:$E$174</definedName>
    <definedName name="TRANSM_2" localSheetId="7">[57]Transm2!$A$1:$M$461:'[57]10 Yr FC'!$M$47</definedName>
    <definedName name="TRANSM_2">[57]Transm2!$A$1:$M$461:'[57]10 Yr FC'!$M$47</definedName>
    <definedName name="UAcct103" localSheetId="7">'[7]Func Study'!$AB$1613</definedName>
    <definedName name="UAcct103">'[7]Func Study'!$AB$1613</definedName>
    <definedName name="UAcct105Dnpg" localSheetId="7">'[7]Func Study'!$AB$2010</definedName>
    <definedName name="UAcct105Dnpg">'[7]Func Study'!$AB$2010</definedName>
    <definedName name="UAcct105S" localSheetId="7">'[7]Func Study'!$AB$2005</definedName>
    <definedName name="UAcct105S">'[7]Func Study'!$AB$2005</definedName>
    <definedName name="UAcct105Seu" localSheetId="7">'[7]Func Study'!$AB$2009</definedName>
    <definedName name="UAcct105Seu">'[7]Func Study'!$AB$2009</definedName>
    <definedName name="UAcct105Snppo" localSheetId="7">'[7]Func Study'!$AB$2008</definedName>
    <definedName name="UAcct105Snppo">'[7]Func Study'!$AB$2008</definedName>
    <definedName name="UAcct105Snpps" localSheetId="7">'[7]Func Study'!$AB$2006</definedName>
    <definedName name="UAcct105Snpps">'[7]Func Study'!$AB$2006</definedName>
    <definedName name="UAcct105Snpt" localSheetId="7">'[7]Func Study'!$AB$2007</definedName>
    <definedName name="UAcct105Snpt">'[7]Func Study'!$AB$2007</definedName>
    <definedName name="UAcct1081390" localSheetId="7">'[7]Func Study'!$AB$2451</definedName>
    <definedName name="UAcct1081390">'[7]Func Study'!$AB$2451</definedName>
    <definedName name="UAcct1081390Rcl" localSheetId="7">'[7]Func Study'!$AB$2450</definedName>
    <definedName name="UAcct1081390Rcl">'[7]Func Study'!$AB$2450</definedName>
    <definedName name="UAcct1081399" localSheetId="7">'[7]Func Study'!$AB$2459</definedName>
    <definedName name="UAcct1081399">'[7]Func Study'!$AB$2459</definedName>
    <definedName name="UAcct1081399Rcl" localSheetId="7">'[7]Func Study'!$AB$2458</definedName>
    <definedName name="UAcct1081399Rcl">'[7]Func Study'!$AB$2458</definedName>
    <definedName name="UAcct108360" localSheetId="7">'[7]Func Study'!$AB$2355</definedName>
    <definedName name="UAcct108360">'[7]Func Study'!$AB$2355</definedName>
    <definedName name="UAcct108361" localSheetId="7">'[7]Func Study'!$AB$2359</definedName>
    <definedName name="UAcct108361">'[7]Func Study'!$AB$2359</definedName>
    <definedName name="UAcct108362" localSheetId="7">'[7]Func Study'!$AB$2363</definedName>
    <definedName name="UAcct108362">'[7]Func Study'!$AB$2363</definedName>
    <definedName name="UAcct108364" localSheetId="7">'[7]Func Study'!$AB$2367</definedName>
    <definedName name="UAcct108364">'[7]Func Study'!$AB$2367</definedName>
    <definedName name="UAcct108365" localSheetId="7">'[7]Func Study'!$AB$2371</definedName>
    <definedName name="UAcct108365">'[7]Func Study'!$AB$2371</definedName>
    <definedName name="UAcct108366" localSheetId="7">'[7]Func Study'!$AB$2375</definedName>
    <definedName name="UAcct108366">'[7]Func Study'!$AB$2375</definedName>
    <definedName name="UAcct108367" localSheetId="7">'[7]Func Study'!$AB$2379</definedName>
    <definedName name="UAcct108367">'[7]Func Study'!$AB$2379</definedName>
    <definedName name="UAcct108368" localSheetId="7">'[7]Func Study'!$AB$2383</definedName>
    <definedName name="UAcct108368">'[7]Func Study'!$AB$2383</definedName>
    <definedName name="UAcct108369" localSheetId="7">'[7]Func Study'!$AB$2387</definedName>
    <definedName name="UAcct108369">'[7]Func Study'!$AB$2387</definedName>
    <definedName name="UAcct108370" localSheetId="7">'[7]Func Study'!$AB$2391</definedName>
    <definedName name="UAcct108370">'[7]Func Study'!$AB$2391</definedName>
    <definedName name="UAcct108371" localSheetId="7">'[7]Func Study'!$AB$2395</definedName>
    <definedName name="UAcct108371">'[7]Func Study'!$AB$2395</definedName>
    <definedName name="UAcct108372" localSheetId="7">'[7]Func Study'!$AB$2399</definedName>
    <definedName name="UAcct108372">'[7]Func Study'!$AB$2399</definedName>
    <definedName name="UAcct108373" localSheetId="7">'[7]Func Study'!$AB$2403</definedName>
    <definedName name="UAcct108373">'[7]Func Study'!$AB$2403</definedName>
    <definedName name="UAcct108D" localSheetId="7">'[7]Func Study'!$AB$2415</definedName>
    <definedName name="UAcct108D">'[7]Func Study'!$AB$2415</definedName>
    <definedName name="UAcct108D00" localSheetId="7">'[7]Func Study'!$AB$2407</definedName>
    <definedName name="UAcct108D00">'[7]Func Study'!$AB$2407</definedName>
    <definedName name="UAcct108Ds" localSheetId="7">'[7]Func Study'!$AB$2411</definedName>
    <definedName name="UAcct108Ds">'[7]Func Study'!$AB$2411</definedName>
    <definedName name="UAcct108Ep" localSheetId="7">'[7]Func Study'!$AB$2327</definedName>
    <definedName name="UAcct108Ep">'[7]Func Study'!$AB$2327</definedName>
    <definedName name="UAcct108Gpcn" localSheetId="7">'[7]Func Study'!$AB$2429</definedName>
    <definedName name="UAcct108Gpcn">'[7]Func Study'!$AB$2429</definedName>
    <definedName name="UAcct108Gps" localSheetId="7">'[7]Func Study'!$AB$2425</definedName>
    <definedName name="UAcct108Gps">'[7]Func Study'!$AB$2425</definedName>
    <definedName name="UAcct108Gpse" localSheetId="7">'[7]Func Study'!$AB$2431</definedName>
    <definedName name="UAcct108Gpse">'[7]Func Study'!$AB$2431</definedName>
    <definedName name="UAcct108Gpsg" localSheetId="7">'[7]Func Study'!$AB$2428</definedName>
    <definedName name="UAcct108Gpsg">'[7]Func Study'!$AB$2428</definedName>
    <definedName name="UAcct108Gpsgp" localSheetId="7">'[7]Func Study'!$AB$2426</definedName>
    <definedName name="UAcct108Gpsgp">'[7]Func Study'!$AB$2426</definedName>
    <definedName name="UAcct108Gpsgu" localSheetId="7">'[7]Func Study'!$AB$2427</definedName>
    <definedName name="UAcct108Gpsgu">'[7]Func Study'!$AB$2427</definedName>
    <definedName name="UAcct108Gpso" localSheetId="7">'[7]Func Study'!$AB$2430</definedName>
    <definedName name="UAcct108Gpso">'[7]Func Study'!$AB$2430</definedName>
    <definedName name="UACCT108GPSSGCH" localSheetId="7">'[7]Func Study'!$AB$2434</definedName>
    <definedName name="UACCT108GPSSGCH">'[7]Func Study'!$AB$2434</definedName>
    <definedName name="UACCT108GPSSGCT" localSheetId="7">'[7]Func Study'!$AB$2433</definedName>
    <definedName name="UACCT108GPSSGCT">'[7]Func Study'!$AB$2433</definedName>
    <definedName name="UAcct108Hp" localSheetId="7">'[7]Func Study'!$AB$2313</definedName>
    <definedName name="UAcct108Hp">'[7]Func Study'!$AB$2313</definedName>
    <definedName name="UAcct108Mp" localSheetId="7">'[7]Func Study'!$AB$2444</definedName>
    <definedName name="UAcct108Mp">'[7]Func Study'!$AB$2444</definedName>
    <definedName name="UAcct108Np" localSheetId="7">'[7]Func Study'!$AB$2305</definedName>
    <definedName name="UAcct108Np">'[7]Func Study'!$AB$2305</definedName>
    <definedName name="UAcct108Op" localSheetId="7">'[7]Func Study'!$AB$2322</definedName>
    <definedName name="UAcct108Op">'[7]Func Study'!$AB$2322</definedName>
    <definedName name="UACCT108OPSSCCT" localSheetId="7">'[7]Func Study'!$AB$2321</definedName>
    <definedName name="UACCT108OPSSCCT">'[7]Func Study'!$AB$2321</definedName>
    <definedName name="UAcct108Sp" localSheetId="7">'[7]Func Study'!$AB$2299</definedName>
    <definedName name="UAcct108Sp">'[7]Func Study'!$AB$2299</definedName>
    <definedName name="UACCT108SPSSGCH" localSheetId="7">'[7]Func Study'!$AB$2298</definedName>
    <definedName name="UACCT108SPSSGCH">'[7]Func Study'!$AB$2298</definedName>
    <definedName name="UAcct108Tp" localSheetId="7">'[7]Func Study'!$AB$2346</definedName>
    <definedName name="UAcct108Tp">'[7]Func Study'!$AB$2346</definedName>
    <definedName name="UAcct111Clg" localSheetId="7">'[7]Func Study'!$AB$2487</definedName>
    <definedName name="UAcct111Clg">'[7]Func Study'!$AB$2487</definedName>
    <definedName name="UAcct111Clgsou" localSheetId="7">'[7]Func Study'!$AB$2485</definedName>
    <definedName name="UAcct111Clgsou">'[7]Func Study'!$AB$2485</definedName>
    <definedName name="UAcct111Clh" localSheetId="7">'[7]Func Study'!$AB$2493</definedName>
    <definedName name="UAcct111Clh">'[7]Func Study'!$AB$2493</definedName>
    <definedName name="UAcct111Cls" localSheetId="7">'[7]Func Study'!$AB$2478</definedName>
    <definedName name="UAcct111Cls">'[7]Func Study'!$AB$2478</definedName>
    <definedName name="UAcct111Ipcn" localSheetId="7">'[7]Func Study'!$AB$2502</definedName>
    <definedName name="UAcct111Ipcn">'[7]Func Study'!$AB$2502</definedName>
    <definedName name="UAcct111Ips" localSheetId="7">'[7]Func Study'!$AB$2497</definedName>
    <definedName name="UAcct111Ips">'[7]Func Study'!$AB$2497</definedName>
    <definedName name="UAcct111Ipse" localSheetId="7">'[7]Func Study'!$AB$2500</definedName>
    <definedName name="UAcct111Ipse">'[7]Func Study'!$AB$2500</definedName>
    <definedName name="UAcct111Ipsg" localSheetId="7">'[7]Func Study'!$AB$2501</definedName>
    <definedName name="UAcct111Ipsg">'[7]Func Study'!$AB$2501</definedName>
    <definedName name="UAcct111Ipsgp" localSheetId="7">'[7]Func Study'!$AB$2498</definedName>
    <definedName name="UAcct111Ipsgp">'[7]Func Study'!$AB$2498</definedName>
    <definedName name="UAcct111Ipsgu" localSheetId="7">'[7]Func Study'!$AB$2499</definedName>
    <definedName name="UAcct111Ipsgu">'[7]Func Study'!$AB$2499</definedName>
    <definedName name="UAcct111Ipso" localSheetId="7">'[7]Func Study'!$AB$2506</definedName>
    <definedName name="UAcct111Ipso">'[7]Func Study'!$AB$2506</definedName>
    <definedName name="UACCT111IPSSGCH" localSheetId="7">'[7]Func Study'!$AB$2505</definedName>
    <definedName name="UACCT111IPSSGCH">'[7]Func Study'!$AB$2505</definedName>
    <definedName name="UACCT111IPSSGCT" localSheetId="7">'[7]Func Study'!$AB$2504</definedName>
    <definedName name="UACCT111IPSSGCT">'[7]Func Study'!$AB$2504</definedName>
    <definedName name="UAcct114" localSheetId="7">'[7]Func Study'!$AB$2017</definedName>
    <definedName name="UAcct114">'[7]Func Study'!$AB$2017</definedName>
    <definedName name="UAcct120" localSheetId="7">'[7]Func Study'!$AB$2021</definedName>
    <definedName name="UAcct120">'[7]Func Study'!$AB$2021</definedName>
    <definedName name="UAcct124" localSheetId="7">'[7]Func Study'!$AB$2026</definedName>
    <definedName name="UAcct124">'[7]Func Study'!$AB$2026</definedName>
    <definedName name="UAcct141" localSheetId="7">'[7]Func Study'!$AB$2173</definedName>
    <definedName name="UAcct141">'[7]Func Study'!$AB$2173</definedName>
    <definedName name="UAcct151" localSheetId="7">'[7]Func Study'!$AB$2049</definedName>
    <definedName name="UAcct151">'[7]Func Study'!$AB$2049</definedName>
    <definedName name="Uacct151SSECT" localSheetId="7">'[7]Func Study'!$AB$2047</definedName>
    <definedName name="Uacct151SSECT">'[7]Func Study'!$AB$2047</definedName>
    <definedName name="UAcct154" localSheetId="7">'[7]Func Study'!$AB$2083</definedName>
    <definedName name="UAcct154">'[7]Func Study'!$AB$2083</definedName>
    <definedName name="Uacct154SSGCT" localSheetId="7">'[7]Func Study'!$AB$2080</definedName>
    <definedName name="Uacct154SSGCT">'[7]Func Study'!$AB$2080</definedName>
    <definedName name="UAcct163" localSheetId="7">'[7]Func Study'!$AB$2093</definedName>
    <definedName name="UAcct163">'[7]Func Study'!$AB$2093</definedName>
    <definedName name="UAcct165" localSheetId="7">'[7]Func Study'!$AB$2108</definedName>
    <definedName name="UAcct165">'[7]Func Study'!$AB$2108</definedName>
    <definedName name="UAcct165Gps" localSheetId="7">'[7]Func Study'!$AB$2104</definedName>
    <definedName name="UAcct165Gps">'[7]Func Study'!$AB$2104</definedName>
    <definedName name="UAcct182" localSheetId="7">'[7]Func Study'!$AB$2033</definedName>
    <definedName name="UAcct182">'[7]Func Study'!$AB$2033</definedName>
    <definedName name="UAcct18222" localSheetId="7">'[7]Func Study'!$AB$2163</definedName>
    <definedName name="UAcct18222">'[7]Func Study'!$AB$2163</definedName>
    <definedName name="UAcct182M" localSheetId="7">'[7]Func Study'!$AB$2118</definedName>
    <definedName name="UAcct182M">'[7]Func Study'!$AB$2118</definedName>
    <definedName name="UAcct182MSSGCH" localSheetId="7">'[7]Func Study'!$AB$2113</definedName>
    <definedName name="UAcct182MSSGCH">'[7]Func Study'!$AB$2113</definedName>
    <definedName name="UAcct186" localSheetId="7">'[7]Func Study'!$AB$2041</definedName>
    <definedName name="UAcct186">'[7]Func Study'!$AB$2041</definedName>
    <definedName name="UAcct1869" localSheetId="7">'[7]Func Study'!$AB$2168</definedName>
    <definedName name="UAcct1869">'[7]Func Study'!$AB$2168</definedName>
    <definedName name="UAcct186M" localSheetId="7">'[7]Func Study'!$AB$2129</definedName>
    <definedName name="UAcct186M">'[7]Func Study'!$AB$2129</definedName>
    <definedName name="UAcct190" localSheetId="7">'[7]Func Study'!$AB$2243</definedName>
    <definedName name="UAcct190">'[7]Func Study'!$AB$2243</definedName>
    <definedName name="UAcct190Baddebt" localSheetId="7">'[7]Func Study'!$AB$2237</definedName>
    <definedName name="UAcct190Baddebt">'[7]Func Study'!$AB$2237</definedName>
    <definedName name="UAcct190Dop" localSheetId="7">'[7]Func Study'!$AB$2235</definedName>
    <definedName name="UAcct190Dop">'[7]Func Study'!$AB$2235</definedName>
    <definedName name="UAcct2281" localSheetId="7">'[7]Func Study'!$AB$2191</definedName>
    <definedName name="UAcct2281">'[7]Func Study'!$AB$2191</definedName>
    <definedName name="UAcct2282" localSheetId="7">'[7]Func Study'!$AB$2195</definedName>
    <definedName name="UAcct2282">'[7]Func Study'!$AB$2195</definedName>
    <definedName name="UAcct2283" localSheetId="7">'[7]Func Study'!$AB$2200</definedName>
    <definedName name="UAcct2283">'[7]Func Study'!$AB$2200</definedName>
    <definedName name="UACCT22841SG" localSheetId="7">'[7]Func Study'!$AB$2205</definedName>
    <definedName name="UACCT22841SG">'[7]Func Study'!$AB$2205</definedName>
    <definedName name="UAcct22842" localSheetId="7">'[7]Func Study'!$AB$2211</definedName>
    <definedName name="UAcct22842">'[7]Func Study'!$AB$2211</definedName>
    <definedName name="UAcct235" localSheetId="7">'[7]Func Study'!$AB$2187</definedName>
    <definedName name="UAcct235">'[7]Func Study'!$AB$2187</definedName>
    <definedName name="UACCT235CN" localSheetId="7">'[7]Func Study'!$AB$2186</definedName>
    <definedName name="UACCT235CN">'[7]Func Study'!$AB$2186</definedName>
    <definedName name="UAcct252" localSheetId="7">'[7]Func Study'!$AB$2219</definedName>
    <definedName name="UAcct252">'[7]Func Study'!$AB$2219</definedName>
    <definedName name="UAcct25316" localSheetId="7">'[7]Func Study'!$AB$2057</definedName>
    <definedName name="UAcct25316">'[7]Func Study'!$AB$2057</definedName>
    <definedName name="UAcct25317" localSheetId="7">'[7]Func Study'!$AB$2061</definedName>
    <definedName name="UAcct25317">'[7]Func Study'!$AB$2061</definedName>
    <definedName name="UAcct25318" localSheetId="7">'[7]Func Study'!$AB$2098</definedName>
    <definedName name="UAcct25318">'[7]Func Study'!$AB$2098</definedName>
    <definedName name="UAcct25319" localSheetId="7">'[7]Func Study'!$AB$2065</definedName>
    <definedName name="UAcct25319">'[7]Func Study'!$AB$2065</definedName>
    <definedName name="uacct25398" localSheetId="7">'[7]Func Study'!$AB$2222</definedName>
    <definedName name="uacct25398">'[7]Func Study'!$AB$2222</definedName>
    <definedName name="UAcct25399" localSheetId="7">'[7]Func Study'!$AB$2230</definedName>
    <definedName name="UAcct25399">'[7]Func Study'!$AB$2230</definedName>
    <definedName name="UACCT254SO" localSheetId="7">'[7]Func Study'!$AB$2202</definedName>
    <definedName name="UACCT254SO">'[7]Func Study'!$AB$2202</definedName>
    <definedName name="UAcct255" localSheetId="7">'[7]Func Study'!$AB$2284</definedName>
    <definedName name="UAcct255">'[7]Func Study'!$AB$2284</definedName>
    <definedName name="UAcct281" localSheetId="7">'[7]Func Study'!$AB$2249</definedName>
    <definedName name="UAcct281">'[7]Func Study'!$AB$2249</definedName>
    <definedName name="UAcct282" localSheetId="7">'[7]Func Study'!$AB$2259</definedName>
    <definedName name="UAcct282">'[7]Func Study'!$AB$2259</definedName>
    <definedName name="UAcct282Cn" localSheetId="7">'[7]Func Study'!$AB$2256</definedName>
    <definedName name="UAcct282Cn">'[7]Func Study'!$AB$2256</definedName>
    <definedName name="UAcct282So" localSheetId="7">'[7]Func Study'!$AB$2255</definedName>
    <definedName name="UAcct282So">'[7]Func Study'!$AB$2255</definedName>
    <definedName name="UAcct283" localSheetId="7">'[7]Func Study'!$AB$2271</definedName>
    <definedName name="UAcct283">'[7]Func Study'!$AB$2271</definedName>
    <definedName name="UAcct283So" localSheetId="7">'[7]Func Study'!$AB$2265</definedName>
    <definedName name="UAcct283So">'[7]Func Study'!$AB$2265</definedName>
    <definedName name="UAcct301S" localSheetId="7">'[7]Func Study'!$AB$1964</definedName>
    <definedName name="UAcct301S">'[7]Func Study'!$AB$1964</definedName>
    <definedName name="UAcct301Sg" localSheetId="7">'[7]Func Study'!$AB$1966</definedName>
    <definedName name="UAcct301Sg">'[7]Func Study'!$AB$1966</definedName>
    <definedName name="UAcct301So" localSheetId="7">'[7]Func Study'!$AB$1965</definedName>
    <definedName name="UAcct301So">'[7]Func Study'!$AB$1965</definedName>
    <definedName name="UAcct302S" localSheetId="7">'[7]Func Study'!$AB$1969</definedName>
    <definedName name="UAcct302S">'[7]Func Study'!$AB$1969</definedName>
    <definedName name="UAcct302Sg" localSheetId="7">'[7]Func Study'!$AB$1970</definedName>
    <definedName name="UAcct302Sg">'[7]Func Study'!$AB$1970</definedName>
    <definedName name="UAcct302Sgp" localSheetId="7">'[7]Func Study'!$AB$1971</definedName>
    <definedName name="UAcct302Sgp">'[7]Func Study'!$AB$1971</definedName>
    <definedName name="UAcct302Sgu" localSheetId="7">'[7]Func Study'!$AB$1972</definedName>
    <definedName name="UAcct302Sgu">'[7]Func Study'!$AB$1972</definedName>
    <definedName name="UAcct303Cn" localSheetId="7">'[7]Func Study'!$AB$1980</definedName>
    <definedName name="UAcct303Cn">'[7]Func Study'!$AB$1980</definedName>
    <definedName name="UAcct303S" localSheetId="7">'[7]Func Study'!$AB$1976</definedName>
    <definedName name="UAcct303S">'[7]Func Study'!$AB$1976</definedName>
    <definedName name="UAcct303Se" localSheetId="7">'[7]Func Study'!$AB$1979</definedName>
    <definedName name="UAcct303Se">'[7]Func Study'!$AB$1979</definedName>
    <definedName name="UAcct303Sg" localSheetId="7">'[7]Func Study'!$AB$1977</definedName>
    <definedName name="UAcct303Sg">'[7]Func Study'!$AB$1977</definedName>
    <definedName name="UAcct303Sgu" localSheetId="7">'[7]Func Study'!$AB$1981</definedName>
    <definedName name="UAcct303Sgu">'[7]Func Study'!$AB$1981</definedName>
    <definedName name="UAcct303So" localSheetId="7">'[7]Func Study'!$AB$1978</definedName>
    <definedName name="UAcct303So">'[7]Func Study'!$AB$1978</definedName>
    <definedName name="UACCT303SSGCH" localSheetId="7">'[7]Func Study'!$AB$1983</definedName>
    <definedName name="UACCT303SSGCH">'[7]Func Study'!$AB$1983</definedName>
    <definedName name="UAcct310" localSheetId="7">'[7]Func Study'!$AB$1414</definedName>
    <definedName name="UAcct310">'[7]Func Study'!$AB$1414</definedName>
    <definedName name="UAcct310JBG" localSheetId="7">'[7]Func Study'!$AB$1413</definedName>
    <definedName name="UAcct310JBG">'[7]Func Study'!$AB$1413</definedName>
    <definedName name="UAcct311" localSheetId="7">'[7]Func Study'!$AB$1421</definedName>
    <definedName name="UAcct311">'[7]Func Study'!$AB$1421</definedName>
    <definedName name="UAcct311JBG" localSheetId="7">'[7]Func Study'!$AB$1420</definedName>
    <definedName name="UAcct311JBG">'[7]Func Study'!$AB$1420</definedName>
    <definedName name="UAcct312" localSheetId="7">'[7]Func Study'!$AB$1428</definedName>
    <definedName name="UAcct312">'[7]Func Study'!$AB$1428</definedName>
    <definedName name="UAcct312JBG" localSheetId="7">'[7]Func Study'!$AB$1427</definedName>
    <definedName name="UAcct312JBG">'[7]Func Study'!$AB$1427</definedName>
    <definedName name="UAcct314" localSheetId="7">'[7]Func Study'!$AB$1435</definedName>
    <definedName name="UAcct314">'[7]Func Study'!$AB$1435</definedName>
    <definedName name="UAcct314JBG" localSheetId="7">'[7]Func Study'!$AB$1434</definedName>
    <definedName name="UAcct314JBG">'[7]Func Study'!$AB$1434</definedName>
    <definedName name="UAcct315" localSheetId="7">'[7]Func Study'!$AB$1442</definedName>
    <definedName name="UAcct315">'[7]Func Study'!$AB$1442</definedName>
    <definedName name="UAcct315JBG" localSheetId="7">'[7]Func Study'!$AB$1441</definedName>
    <definedName name="UAcct315JBG">'[7]Func Study'!$AB$1441</definedName>
    <definedName name="UAcct316" localSheetId="7">'[7]Func Study'!$AB$1450</definedName>
    <definedName name="UAcct316">'[7]Func Study'!$AB$1450</definedName>
    <definedName name="UAcct316JBG" localSheetId="7">'[7]Func Study'!$AB$1449</definedName>
    <definedName name="UAcct316JBG">'[7]Func Study'!$AB$1449</definedName>
    <definedName name="UAcct320" localSheetId="7">'[7]Func Study'!$AB$1466</definedName>
    <definedName name="UAcct320">'[7]Func Study'!$AB$1466</definedName>
    <definedName name="UAcct321" localSheetId="7">'[7]Func Study'!$AB$1471</definedName>
    <definedName name="UAcct321">'[7]Func Study'!$AB$1471</definedName>
    <definedName name="UAcct322" localSheetId="7">'[7]Func Study'!$AB$1476</definedName>
    <definedName name="UAcct322">'[7]Func Study'!$AB$1476</definedName>
    <definedName name="UAcct323" localSheetId="7">'[7]Func Study'!$AB$1481</definedName>
    <definedName name="UAcct323">'[7]Func Study'!$AB$1481</definedName>
    <definedName name="UAcct324" localSheetId="7">'[7]Func Study'!$AB$1486</definedName>
    <definedName name="UAcct324">'[7]Func Study'!$AB$1486</definedName>
    <definedName name="UAcct325" localSheetId="7">'[7]Func Study'!$AB$1491</definedName>
    <definedName name="UAcct325">'[7]Func Study'!$AB$1491</definedName>
    <definedName name="UAcct33" localSheetId="7">'[7]Func Study'!$AB$295</definedName>
    <definedName name="UAcct33">'[7]Func Study'!$AB$295</definedName>
    <definedName name="UAcct330" localSheetId="7">'[7]Func Study'!$AB$1508</definedName>
    <definedName name="UAcct330">'[7]Func Study'!$AB$1508</definedName>
    <definedName name="UAcct331" localSheetId="7">'[7]Func Study'!$AB$1513</definedName>
    <definedName name="UAcct331">'[7]Func Study'!$AB$1513</definedName>
    <definedName name="UAcct332" localSheetId="7">'[7]Func Study'!$AB$1518</definedName>
    <definedName name="UAcct332">'[7]Func Study'!$AB$1518</definedName>
    <definedName name="UAcct333" localSheetId="7">'[7]Func Study'!$AB$1523</definedName>
    <definedName name="UAcct333">'[7]Func Study'!$AB$1523</definedName>
    <definedName name="UAcct334" localSheetId="7">'[7]Func Study'!$AB$1528</definedName>
    <definedName name="UAcct334">'[7]Func Study'!$AB$1528</definedName>
    <definedName name="UAcct335" localSheetId="7">'[7]Func Study'!$AB$1533</definedName>
    <definedName name="UAcct335">'[7]Func Study'!$AB$1533</definedName>
    <definedName name="UAcct336" localSheetId="7">'[7]Func Study'!$AB$1539</definedName>
    <definedName name="UAcct336">'[7]Func Study'!$AB$1539</definedName>
    <definedName name="UAcct340Dgu" localSheetId="7">'[7]Func Study'!$AB$1564</definedName>
    <definedName name="UAcct340Dgu">'[7]Func Study'!$AB$1564</definedName>
    <definedName name="UAcct340Sgu" localSheetId="7">'[7]Func Study'!$AB$1565</definedName>
    <definedName name="UAcct340Sgu">'[7]Func Study'!$AB$1565</definedName>
    <definedName name="UAcct341Dgu" localSheetId="7">'[7]Func Study'!$AB$1569</definedName>
    <definedName name="UAcct341Dgu">'[7]Func Study'!$AB$1569</definedName>
    <definedName name="UAcct341Sgu" localSheetId="7">'[7]Func Study'!$AB$1570</definedName>
    <definedName name="UAcct341Sgu">'[7]Func Study'!$AB$1570</definedName>
    <definedName name="UAcct342Dgu" localSheetId="7">'[7]Func Study'!$AB$1574</definedName>
    <definedName name="UAcct342Dgu">'[7]Func Study'!$AB$1574</definedName>
    <definedName name="UAcct342Sgu" localSheetId="7">'[7]Func Study'!$AB$1575</definedName>
    <definedName name="UAcct342Sgu">'[7]Func Study'!$AB$1575</definedName>
    <definedName name="UAcct343" localSheetId="7">'[7]Func Study'!$AB$1584</definedName>
    <definedName name="UAcct343">'[7]Func Study'!$AB$1584</definedName>
    <definedName name="UAcct344S" localSheetId="7">'[7]Func Study'!$AB$1587</definedName>
    <definedName name="UAcct344S">'[7]Func Study'!$AB$1587</definedName>
    <definedName name="UAcct344Sgp" localSheetId="7">'[7]Func Study'!$AB$1588</definedName>
    <definedName name="UAcct344Sgp">'[7]Func Study'!$AB$1588</definedName>
    <definedName name="UAcct345Dgu" localSheetId="7">'[7]Func Study'!$AB$1594</definedName>
    <definedName name="UAcct345Dgu">'[7]Func Study'!$AB$1594</definedName>
    <definedName name="UAcct345Sgu" localSheetId="7">'[7]Func Study'!$AB$1595</definedName>
    <definedName name="UAcct345Sgu">'[7]Func Study'!$AB$1595</definedName>
    <definedName name="UAcct346" localSheetId="7">'[7]Func Study'!$AB$1601</definedName>
    <definedName name="UAcct346">'[7]Func Study'!$AB$1601</definedName>
    <definedName name="UAcct350" localSheetId="7">'[7]Func Study'!$AB$1628</definedName>
    <definedName name="UAcct350">'[7]Func Study'!$AB$1628</definedName>
    <definedName name="UAcct352" localSheetId="7">'[7]Func Study'!$AB$1635</definedName>
    <definedName name="UAcct352">'[7]Func Study'!$AB$1635</definedName>
    <definedName name="UAcct353" localSheetId="7">'[7]Func Study'!$AB$1641</definedName>
    <definedName name="UAcct353">'[7]Func Study'!$AB$1641</definedName>
    <definedName name="UAcct354" localSheetId="7">'[7]Func Study'!$AB$1647</definedName>
    <definedName name="UAcct354">'[7]Func Study'!$AB$1647</definedName>
    <definedName name="UAcct355" localSheetId="7">'[7]Func Study'!$AB$1654</definedName>
    <definedName name="UAcct355">'[7]Func Study'!$AB$1654</definedName>
    <definedName name="UAcct356" localSheetId="7">'[7]Func Study'!$AB$1660</definedName>
    <definedName name="UAcct356">'[7]Func Study'!$AB$1660</definedName>
    <definedName name="UAcct357" localSheetId="7">'[7]Func Study'!$AB$1666</definedName>
    <definedName name="UAcct357">'[7]Func Study'!$AB$1666</definedName>
    <definedName name="UAcct358" localSheetId="7">'[7]Func Study'!$AB$1672</definedName>
    <definedName name="UAcct358">'[7]Func Study'!$AB$1672</definedName>
    <definedName name="UAcct359" localSheetId="7">'[7]Func Study'!$AB$1678</definedName>
    <definedName name="UAcct359">'[7]Func Study'!$AB$1678</definedName>
    <definedName name="UAcct360" localSheetId="7">'[7]Func Study'!$AB$1698</definedName>
    <definedName name="UAcct360">'[7]Func Study'!$AB$1698</definedName>
    <definedName name="UAcct361" localSheetId="7">'[7]Func Study'!$AB$1704</definedName>
    <definedName name="UAcct361">'[7]Func Study'!$AB$1704</definedName>
    <definedName name="UAcct362" localSheetId="7">'[7]Func Study'!$AB$1710</definedName>
    <definedName name="UAcct362">'[7]Func Study'!$AB$1710</definedName>
    <definedName name="UAcct368" localSheetId="7">'[7]Func Study'!$AB$1744</definedName>
    <definedName name="UAcct368">'[7]Func Study'!$AB$1744</definedName>
    <definedName name="UAcct369" localSheetId="7">'[7]Func Study'!$AB$1751</definedName>
    <definedName name="UAcct369">'[7]Func Study'!$AB$1751</definedName>
    <definedName name="UAcct370" localSheetId="7">'[7]Func Study'!$AB$1762</definedName>
    <definedName name="UAcct370">'[7]Func Study'!$AB$1762</definedName>
    <definedName name="UAcct372A" localSheetId="7">'[7]Func Study'!$AB$1775</definedName>
    <definedName name="UAcct372A">'[7]Func Study'!$AB$1775</definedName>
    <definedName name="UAcct372Dp" localSheetId="7">'[7]Func Study'!$AB$1773</definedName>
    <definedName name="UAcct372Dp">'[7]Func Study'!$AB$1773</definedName>
    <definedName name="UAcct372Ds" localSheetId="7">'[7]Func Study'!$AB$1774</definedName>
    <definedName name="UAcct372Ds">'[7]Func Study'!$AB$1774</definedName>
    <definedName name="UAcct373" localSheetId="7">'[7]Func Study'!$AB$1782</definedName>
    <definedName name="UAcct373">'[7]Func Study'!$AB$1782</definedName>
    <definedName name="UAcct389Cn" localSheetId="7">'[7]Func Study'!$AB$1800</definedName>
    <definedName name="UAcct389Cn">'[7]Func Study'!$AB$1800</definedName>
    <definedName name="UAcct389S" localSheetId="7">'[7]Func Study'!$AB$1799</definedName>
    <definedName name="UAcct389S">'[7]Func Study'!$AB$1799</definedName>
    <definedName name="UAcct389Sg" localSheetId="7">'[7]Func Study'!$AB$1802</definedName>
    <definedName name="UAcct389Sg">'[7]Func Study'!$AB$1802</definedName>
    <definedName name="UAcct389Sgu" localSheetId="7">'[7]Func Study'!$AB$1801</definedName>
    <definedName name="UAcct389Sgu">'[7]Func Study'!$AB$1801</definedName>
    <definedName name="UAcct389So" localSheetId="7">'[7]Func Study'!$AB$1803</definedName>
    <definedName name="UAcct389So">'[7]Func Study'!$AB$1803</definedName>
    <definedName name="UAcct390Cn" localSheetId="7">'[7]Func Study'!$AB$1810</definedName>
    <definedName name="UAcct390Cn">'[7]Func Study'!$AB$1810</definedName>
    <definedName name="UAcct390JBG" localSheetId="7">'[7]Func Study'!$AB$1812</definedName>
    <definedName name="UAcct390JBG">'[7]Func Study'!$AB$1812</definedName>
    <definedName name="UAcct390L" localSheetId="7">'[7]Func Study'!$AB$1927</definedName>
    <definedName name="UAcct390L">'[7]Func Study'!$AB$1927</definedName>
    <definedName name="UACCT390LRCL" localSheetId="7">'[7]Func Study'!$AB$1929</definedName>
    <definedName name="UACCT390LRCL">'[7]Func Study'!$AB$1929</definedName>
    <definedName name="UAcct390S" localSheetId="7">'[7]Func Study'!$AB$1807</definedName>
    <definedName name="UAcct390S">'[7]Func Study'!$AB$1807</definedName>
    <definedName name="UAcct390Sgp" localSheetId="7">'[7]Func Study'!$AB$1808</definedName>
    <definedName name="UAcct390Sgp">'[7]Func Study'!$AB$1808</definedName>
    <definedName name="UAcct390Sgu" localSheetId="7">'[7]Func Study'!$AB$1809</definedName>
    <definedName name="UAcct390Sgu">'[7]Func Study'!$AB$1809</definedName>
    <definedName name="UAcct390Sop" localSheetId="7">'[7]Func Study'!$AB$1811</definedName>
    <definedName name="UAcct390Sop">'[7]Func Study'!$AB$1811</definedName>
    <definedName name="UAcct390Sou" localSheetId="7">'[7]Func Study'!$AB$1813</definedName>
    <definedName name="UAcct390Sou">'[7]Func Study'!$AB$1813</definedName>
    <definedName name="UAcct391Cn" localSheetId="7">'[7]Func Study'!$AB$1820</definedName>
    <definedName name="UAcct391Cn">'[7]Func Study'!$AB$1820</definedName>
    <definedName name="UACCT391JBE" localSheetId="7">'[7]Func Study'!$AB$1825</definedName>
    <definedName name="UACCT391JBE">'[7]Func Study'!$AB$1825</definedName>
    <definedName name="UAcct391S" localSheetId="7">'[7]Func Study'!$AB$1817</definedName>
    <definedName name="UAcct391S">'[7]Func Study'!$AB$1817</definedName>
    <definedName name="UAcct391Sg" localSheetId="7">'[7]Func Study'!$AB$1821</definedName>
    <definedName name="UAcct391Sg">'[7]Func Study'!$AB$1821</definedName>
    <definedName name="UAcct391Sgp" localSheetId="7">'[7]Func Study'!$AB$1818</definedName>
    <definedName name="UAcct391Sgp">'[7]Func Study'!$AB$1818</definedName>
    <definedName name="UAcct391Sgu" localSheetId="7">'[7]Func Study'!$AB$1819</definedName>
    <definedName name="UAcct391Sgu">'[7]Func Study'!$AB$1819</definedName>
    <definedName name="UAcct391So" localSheetId="7">'[7]Func Study'!$AB$1823</definedName>
    <definedName name="UAcct391So">'[7]Func Study'!$AB$1823</definedName>
    <definedName name="UACCT391SSGCH" localSheetId="7">'[7]Func Study'!$AB$1824</definedName>
    <definedName name="UACCT391SSGCH">'[7]Func Study'!$AB$1824</definedName>
    <definedName name="UAcct392Cn" localSheetId="7">'[7]Func Study'!$AB$1832</definedName>
    <definedName name="UAcct392Cn">'[7]Func Study'!$AB$1832</definedName>
    <definedName name="UAcct392L" localSheetId="7">'[7]Func Study'!$AB$1935</definedName>
    <definedName name="UAcct392L">'[7]Func Study'!$AB$1935</definedName>
    <definedName name="UAcct392Lrcl" localSheetId="7">'[7]Func Study'!$AB$1937</definedName>
    <definedName name="UAcct392Lrcl">'[7]Func Study'!$AB$1937</definedName>
    <definedName name="UAcct392S" localSheetId="7">'[7]Func Study'!$AB$1829</definedName>
    <definedName name="UAcct392S">'[7]Func Study'!$AB$1829</definedName>
    <definedName name="UAcct392Se" localSheetId="7">'[7]Func Study'!$AB$1834</definedName>
    <definedName name="UAcct392Se">'[7]Func Study'!$AB$1834</definedName>
    <definedName name="UAcct392Sg" localSheetId="7">'[7]Func Study'!$AB$1831</definedName>
    <definedName name="UAcct392Sg">'[7]Func Study'!$AB$1831</definedName>
    <definedName name="UAcct392Sgp" localSheetId="7">'[7]Func Study'!$AB$1835</definedName>
    <definedName name="UAcct392Sgp">'[7]Func Study'!$AB$1835</definedName>
    <definedName name="UAcct392Sgu" localSheetId="7">'[7]Func Study'!$AB$1833</definedName>
    <definedName name="UAcct392Sgu">'[7]Func Study'!$AB$1833</definedName>
    <definedName name="UAcct392So" localSheetId="7">'[7]Func Study'!$AB$1830</definedName>
    <definedName name="UAcct392So">'[7]Func Study'!$AB$1830</definedName>
    <definedName name="UACCT392SSGCH" localSheetId="7">'[7]Func Study'!$AB$1836</definedName>
    <definedName name="UACCT392SSGCH">'[7]Func Study'!$AB$1836</definedName>
    <definedName name="UAcct393S" localSheetId="7">'[7]Func Study'!$AB$1841</definedName>
    <definedName name="UAcct393S">'[7]Func Study'!$AB$1841</definedName>
    <definedName name="UAcct393Sg" localSheetId="7">'[7]Func Study'!$AB$1845</definedName>
    <definedName name="UAcct393Sg">'[7]Func Study'!$AB$1845</definedName>
    <definedName name="UAcct393Sgp" localSheetId="7">'[7]Func Study'!$AB$1842</definedName>
    <definedName name="UAcct393Sgp">'[7]Func Study'!$AB$1842</definedName>
    <definedName name="UAcct393Sgu" localSheetId="7">'[7]Func Study'!$AB$1843</definedName>
    <definedName name="UAcct393Sgu">'[7]Func Study'!$AB$1843</definedName>
    <definedName name="UAcct393So" localSheetId="7">'[7]Func Study'!$AB$1844</definedName>
    <definedName name="UAcct393So">'[7]Func Study'!$AB$1844</definedName>
    <definedName name="UACCT393SSGCT" localSheetId="7">'[7]Func Study'!$AB$1846</definedName>
    <definedName name="UACCT393SSGCT">'[7]Func Study'!$AB$1846</definedName>
    <definedName name="UAcct394S" localSheetId="7">'[7]Func Study'!$AB$1850</definedName>
    <definedName name="UAcct394S">'[7]Func Study'!$AB$1850</definedName>
    <definedName name="UAcct394Se" localSheetId="7">'[7]Func Study'!$AB$1854</definedName>
    <definedName name="UAcct394Se">'[7]Func Study'!$AB$1854</definedName>
    <definedName name="UAcct394Sg" localSheetId="7">'[7]Func Study'!$AB$1855</definedName>
    <definedName name="UAcct394Sg">'[7]Func Study'!$AB$1855</definedName>
    <definedName name="UAcct394Sgp" localSheetId="7">'[7]Func Study'!$AB$1851</definedName>
    <definedName name="UAcct394Sgp">'[7]Func Study'!$AB$1851</definedName>
    <definedName name="UAcct394Sgu" localSheetId="7">'[7]Func Study'!$AB$1852</definedName>
    <definedName name="UAcct394Sgu">'[7]Func Study'!$AB$1852</definedName>
    <definedName name="UAcct394So" localSheetId="7">'[7]Func Study'!$AB$1853</definedName>
    <definedName name="UAcct394So">'[7]Func Study'!$AB$1853</definedName>
    <definedName name="UACCT394SSGCH" localSheetId="7">'[7]Func Study'!$AB$1856</definedName>
    <definedName name="UACCT394SSGCH">'[7]Func Study'!$AB$1856</definedName>
    <definedName name="UAcct395S" localSheetId="7">'[7]Func Study'!$AB$1861</definedName>
    <definedName name="UAcct395S">'[7]Func Study'!$AB$1861</definedName>
    <definedName name="UAcct395Se" localSheetId="7">'[7]Func Study'!$AB$1865</definedName>
    <definedName name="UAcct395Se">'[7]Func Study'!$AB$1865</definedName>
    <definedName name="UAcct395Sg" localSheetId="7">'[7]Func Study'!$AB$1866</definedName>
    <definedName name="UAcct395Sg">'[7]Func Study'!$AB$1866</definedName>
    <definedName name="UAcct395Sgp" localSheetId="7">'[7]Func Study'!$AB$1862</definedName>
    <definedName name="UAcct395Sgp">'[7]Func Study'!$AB$1862</definedName>
    <definedName name="UAcct395Sgu" localSheetId="7">'[7]Func Study'!$AB$1863</definedName>
    <definedName name="UAcct395Sgu">'[7]Func Study'!$AB$1863</definedName>
    <definedName name="UAcct395So" localSheetId="7">'[7]Func Study'!$AB$1864</definedName>
    <definedName name="UAcct395So">'[7]Func Study'!$AB$1864</definedName>
    <definedName name="UACCT395SSGCH" localSheetId="7">'[7]Func Study'!$AB$1867</definedName>
    <definedName name="UACCT395SSGCH">'[7]Func Study'!$AB$1867</definedName>
    <definedName name="UAcct396S" localSheetId="7">'[7]Func Study'!$AB$1872</definedName>
    <definedName name="UAcct396S">'[7]Func Study'!$AB$1872</definedName>
    <definedName name="UAcct396Se" localSheetId="7">'[7]Func Study'!$AB$1877</definedName>
    <definedName name="UAcct396Se">'[7]Func Study'!$AB$1877</definedName>
    <definedName name="UAcct396Sg" localSheetId="7">'[7]Func Study'!$AB$1874</definedName>
    <definedName name="UAcct396Sg">'[7]Func Study'!$AB$1874</definedName>
    <definedName name="UAcct396Sgp" localSheetId="7">'[7]Func Study'!$AB$1873</definedName>
    <definedName name="UAcct396Sgp">'[7]Func Study'!$AB$1873</definedName>
    <definedName name="UAcct396Sgu" localSheetId="7">'[7]Func Study'!$AB$1876</definedName>
    <definedName name="UAcct396Sgu">'[7]Func Study'!$AB$1876</definedName>
    <definedName name="UAcct396So" localSheetId="7">'[7]Func Study'!$AB$1875</definedName>
    <definedName name="UAcct396So">'[7]Func Study'!$AB$1875</definedName>
    <definedName name="UACCT396SSGCH" localSheetId="7">'[7]Func Study'!$AB$1879</definedName>
    <definedName name="UACCT396SSGCH">'[7]Func Study'!$AB$1879</definedName>
    <definedName name="UACCT396SSGCT" localSheetId="7">'[7]Func Study'!$AB$1878</definedName>
    <definedName name="UACCT396SSGCT">'[7]Func Study'!$AB$1878</definedName>
    <definedName name="UAcct397Cn" localSheetId="7">'[7]Func Study'!$AB$1890</definedName>
    <definedName name="UAcct397Cn">'[7]Func Study'!$AB$1890</definedName>
    <definedName name="UAcct397JBG" localSheetId="7">'[7]Func Study'!$AB$1893</definedName>
    <definedName name="UAcct397JBG">'[7]Func Study'!$AB$1893</definedName>
    <definedName name="UAcct397S" localSheetId="7">'[7]Func Study'!$AB$1886</definedName>
    <definedName name="UAcct397S">'[7]Func Study'!$AB$1886</definedName>
    <definedName name="UAcct397Se" localSheetId="7">'[7]Func Study'!$AB$1892</definedName>
    <definedName name="UAcct397Se">'[7]Func Study'!$AB$1892</definedName>
    <definedName name="UAcct397Sg" localSheetId="7">'[7]Func Study'!$AB$1891</definedName>
    <definedName name="UAcct397Sg">'[7]Func Study'!$AB$1891</definedName>
    <definedName name="UAcct397Sgp" localSheetId="7">'[7]Func Study'!$AB$1887</definedName>
    <definedName name="UAcct397Sgp">'[7]Func Study'!$AB$1887</definedName>
    <definedName name="UAcct397Sgu" localSheetId="7">'[7]Func Study'!$AB$1888</definedName>
    <definedName name="UAcct397Sgu">'[7]Func Study'!$AB$1888</definedName>
    <definedName name="UAcct397So" localSheetId="7">'[7]Func Study'!$AB$1889</definedName>
    <definedName name="UAcct397So">'[7]Func Study'!$AB$1889</definedName>
    <definedName name="UAcct398Cn" localSheetId="7">'[7]Func Study'!$AB$1902</definedName>
    <definedName name="UAcct398Cn">'[7]Func Study'!$AB$1902</definedName>
    <definedName name="UAcct398S" localSheetId="7">'[7]Func Study'!$AB$1899</definedName>
    <definedName name="UAcct398S">'[7]Func Study'!$AB$1899</definedName>
    <definedName name="UAcct398Se" localSheetId="7">'[7]Func Study'!$AB$1904</definedName>
    <definedName name="UAcct398Se">'[7]Func Study'!$AB$1904</definedName>
    <definedName name="UAcct398Sg" localSheetId="7">'[7]Func Study'!$AB$1905</definedName>
    <definedName name="UAcct398Sg">'[7]Func Study'!$AB$1905</definedName>
    <definedName name="UAcct398Sgp" localSheetId="7">'[7]Func Study'!$AB$1900</definedName>
    <definedName name="UAcct398Sgp">'[7]Func Study'!$AB$1900</definedName>
    <definedName name="UAcct398Sgu" localSheetId="7">'[7]Func Study'!$AB$1901</definedName>
    <definedName name="UAcct398Sgu">'[7]Func Study'!$AB$1901</definedName>
    <definedName name="UAcct398So" localSheetId="7">'[7]Func Study'!$AB$1903</definedName>
    <definedName name="UAcct398So">'[7]Func Study'!$AB$1903</definedName>
    <definedName name="UACCT398SSGCT" localSheetId="7">'[7]Func Study'!$AB$1906</definedName>
    <definedName name="UACCT398SSGCT">'[7]Func Study'!$AB$1906</definedName>
    <definedName name="UAcct399" localSheetId="7">'[7]Func Study'!$AB$1913</definedName>
    <definedName name="UAcct399">'[7]Func Study'!$AB$1913</definedName>
    <definedName name="UAcct399G" localSheetId="7">'[7]Func Study'!$AB$1955</definedName>
    <definedName name="UAcct399G">'[7]Func Study'!$AB$1955</definedName>
    <definedName name="UAcct399L" localSheetId="7">'[7]Func Study'!$AB$1917</definedName>
    <definedName name="UAcct399L">'[7]Func Study'!$AB$1917</definedName>
    <definedName name="UAcct399Lrcl" localSheetId="7">'[7]Func Study'!$AB$1919</definedName>
    <definedName name="UAcct399Lrcl">'[7]Func Study'!$AB$1919</definedName>
    <definedName name="UAcct403360" localSheetId="7">'[7]Func Study'!$AB$1090</definedName>
    <definedName name="UAcct403360">'[7]Func Study'!$AB$1090</definedName>
    <definedName name="UAcct403361" localSheetId="7">'[7]Func Study'!$AB$1091</definedName>
    <definedName name="UAcct403361">'[7]Func Study'!$AB$1091</definedName>
    <definedName name="UAcct403362" localSheetId="7">'[7]Func Study'!$AB$1092</definedName>
    <definedName name="UAcct403362">'[7]Func Study'!$AB$1092</definedName>
    <definedName name="UAcct403364" localSheetId="7">'[7]Func Study'!$AB$1094</definedName>
    <definedName name="UAcct403364">'[7]Func Study'!$AB$1094</definedName>
    <definedName name="UAcct403365" localSheetId="7">'[7]Func Study'!$AB$1095</definedName>
    <definedName name="UAcct403365">'[7]Func Study'!$AB$1095</definedName>
    <definedName name="UAcct403366" localSheetId="7">'[7]Func Study'!$AB$1096</definedName>
    <definedName name="UAcct403366">'[7]Func Study'!$AB$1096</definedName>
    <definedName name="UAcct403367" localSheetId="7">'[7]Func Study'!$AB$1097</definedName>
    <definedName name="UAcct403367">'[7]Func Study'!$AB$1097</definedName>
    <definedName name="UAcct403368" localSheetId="7">'[7]Func Study'!$AB$1098</definedName>
    <definedName name="UAcct403368">'[7]Func Study'!$AB$1098</definedName>
    <definedName name="UAcct403369" localSheetId="7">'[7]Func Study'!$AB$1099</definedName>
    <definedName name="UAcct403369">'[7]Func Study'!$AB$1099</definedName>
    <definedName name="UAcct403370" localSheetId="7">'[7]Func Study'!$AB$1100</definedName>
    <definedName name="UAcct403370">'[7]Func Study'!$AB$1100</definedName>
    <definedName name="UAcct403371" localSheetId="7">'[7]Func Study'!$AB$1101</definedName>
    <definedName name="UAcct403371">'[7]Func Study'!$AB$1101</definedName>
    <definedName name="UAcct403372" localSheetId="7">'[7]Func Study'!$AB$1102</definedName>
    <definedName name="UAcct403372">'[7]Func Study'!$AB$1102</definedName>
    <definedName name="UAcct403373" localSheetId="7">'[7]Func Study'!$AB$1103</definedName>
    <definedName name="UAcct403373">'[7]Func Study'!$AB$1103</definedName>
    <definedName name="UAcct403Ep" localSheetId="7">'[7]Func Study'!$AB$1130</definedName>
    <definedName name="UAcct403Ep">'[7]Func Study'!$AB$1130</definedName>
    <definedName name="UAcct403Gpcn" localSheetId="7">'[7]Func Study'!$AB$1111</definedName>
    <definedName name="UAcct403Gpcn">'[7]Func Study'!$AB$1111</definedName>
    <definedName name="UAcct403GPDGP" localSheetId="7">'[7]Func Study'!$AB$1108</definedName>
    <definedName name="UAcct403GPDGP">'[7]Func Study'!$AB$1108</definedName>
    <definedName name="UAcct403GPDGU" localSheetId="7">'[7]Func Study'!$AB$1109</definedName>
    <definedName name="UAcct403GPDGU">'[7]Func Study'!$AB$1109</definedName>
    <definedName name="UAcct403GPJBG" localSheetId="7">'[7]Func Study'!$AB$1115</definedName>
    <definedName name="UAcct403GPJBG">'[7]Func Study'!$AB$1115</definedName>
    <definedName name="UAcct403Gps" localSheetId="7">'[7]Func Study'!$AB$1107</definedName>
    <definedName name="UAcct403Gps">'[7]Func Study'!$AB$1107</definedName>
    <definedName name="UAcct403Gpsg" localSheetId="7">'[7]Func Study'!$AB$1112</definedName>
    <definedName name="UAcct403Gpsg">'[7]Func Study'!$AB$1112</definedName>
    <definedName name="UAcct403Gpso" localSheetId="7">'[7]Func Study'!$AB$1113</definedName>
    <definedName name="UAcct403Gpso">'[7]Func Study'!$AB$1113</definedName>
    <definedName name="UAcct403Gv0" localSheetId="7">'[7]Func Study'!$AB$1121</definedName>
    <definedName name="UAcct403Gv0">'[7]Func Study'!$AB$1121</definedName>
    <definedName name="UAcct403Hp" localSheetId="7">'[7]Func Study'!$AB$1072</definedName>
    <definedName name="UAcct403Hp">'[7]Func Study'!$AB$1072</definedName>
    <definedName name="UACCT403JBE" localSheetId="7">'[7]Func Study'!$AB$1116</definedName>
    <definedName name="UACCT403JBE">'[7]Func Study'!$AB$1116</definedName>
    <definedName name="UAcct403Mp" localSheetId="7">'[7]Func Study'!$AB$1125</definedName>
    <definedName name="UAcct403Mp">'[7]Func Study'!$AB$1125</definedName>
    <definedName name="UAcct403Np" localSheetId="7">'[7]Func Study'!$AB$1065</definedName>
    <definedName name="UAcct403Np">'[7]Func Study'!$AB$1065</definedName>
    <definedName name="UAcct403Op" localSheetId="7">'[7]Func Study'!$AB$1080</definedName>
    <definedName name="UAcct403Op">'[7]Func Study'!$AB$1080</definedName>
    <definedName name="UAcct403OPCAGE" localSheetId="7">'[7]Func Study'!$AB$1078</definedName>
    <definedName name="UAcct403OPCAGE">'[7]Func Study'!$AB$1078</definedName>
    <definedName name="UAcct403Sp" localSheetId="7">'[7]Func Study'!$AB$1061</definedName>
    <definedName name="UAcct403Sp">'[7]Func Study'!$AB$1061</definedName>
    <definedName name="UAcct403SPJBG" localSheetId="7">'[7]Func Study'!$AB$1058</definedName>
    <definedName name="UAcct403SPJBG">'[7]Func Study'!$AB$1058</definedName>
    <definedName name="UAcct403Tp" localSheetId="7">'[7]Func Study'!$AB$1087</definedName>
    <definedName name="UAcct403Tp">'[7]Func Study'!$AB$1087</definedName>
    <definedName name="UAcct404330" localSheetId="7">'[7]Func Study'!$AB$1177</definedName>
    <definedName name="UAcct404330">'[7]Func Study'!$AB$1177</definedName>
    <definedName name="UACCT404GP" localSheetId="7">'[7]Func Study'!$AB$1146</definedName>
    <definedName name="UACCT404GP">'[7]Func Study'!$AB$1146</definedName>
    <definedName name="UACCT404GPCN" localSheetId="7">'[7]Func Study'!$AB$1143</definedName>
    <definedName name="UACCT404GPCN">'[7]Func Study'!$AB$1143</definedName>
    <definedName name="UACCT404GPSO" localSheetId="7">'[7]Func Study'!$AB$1141</definedName>
    <definedName name="UACCT404GPSO">'[7]Func Study'!$AB$1141</definedName>
    <definedName name="UAcct404Ipcn" localSheetId="7">'[7]Func Study'!$AB$1158</definedName>
    <definedName name="UAcct404Ipcn">'[7]Func Study'!$AB$1158</definedName>
    <definedName name="UAcct404IPJBG" localSheetId="7">'[7]Func Study'!$AB$1163</definedName>
    <definedName name="UAcct404IPJBG">'[7]Func Study'!$AB$1163</definedName>
    <definedName name="UAcct404Ips" localSheetId="7">'[7]Func Study'!$AB$1154</definedName>
    <definedName name="UAcct404Ips">'[7]Func Study'!$AB$1154</definedName>
    <definedName name="UAcct404Ipse" localSheetId="7">'[7]Func Study'!$AB$1155</definedName>
    <definedName name="UAcct404Ipse">'[7]Func Study'!$AB$1155</definedName>
    <definedName name="UAcct404Ipsg" localSheetId="7">'[7]Func Study'!$AB$1156</definedName>
    <definedName name="UAcct404Ipsg">'[7]Func Study'!$AB$1156</definedName>
    <definedName name="UAcct404Ipsg1" localSheetId="7">'[7]Func Study'!$AB$1159</definedName>
    <definedName name="UAcct404Ipsg1">'[7]Func Study'!$AB$1159</definedName>
    <definedName name="UAcct404Ipsg2" localSheetId="7">'[7]Func Study'!$AB$1160</definedName>
    <definedName name="UAcct404Ipsg2">'[7]Func Study'!$AB$1160</definedName>
    <definedName name="UAcct404Ipso" localSheetId="7">'[7]Func Study'!$AB$1157</definedName>
    <definedName name="UAcct404Ipso">'[7]Func Study'!$AB$1157</definedName>
    <definedName name="UAcct404M" localSheetId="7">'[7]Func Study'!$AB$1168</definedName>
    <definedName name="UAcct404M">'[7]Func Study'!$AB$1168</definedName>
    <definedName name="UACCT404OP" localSheetId="7">'[7]Func Study'!$AB$1172</definedName>
    <definedName name="UACCT404OP">'[7]Func Study'!$AB$1172</definedName>
    <definedName name="UACCT404SP" localSheetId="7">'[7]Func Study'!$AB$1151</definedName>
    <definedName name="UACCT404SP">'[7]Func Study'!$AB$1151</definedName>
    <definedName name="UAcct405" localSheetId="7">'[7]Func Study'!$AB$1185</definedName>
    <definedName name="UAcct405">'[7]Func Study'!$AB$1185</definedName>
    <definedName name="UAcct406" localSheetId="7">'[7]Func Study'!$AB$1193</definedName>
    <definedName name="UAcct406">'[7]Func Study'!$AB$1193</definedName>
    <definedName name="UAcct407" localSheetId="7">'[7]Func Study'!$AB$1202</definedName>
    <definedName name="UAcct407">'[7]Func Study'!$AB$1202</definedName>
    <definedName name="UAcct408" localSheetId="7">'[7]Func Study'!$AB$1221</definedName>
    <definedName name="UAcct408">'[7]Func Study'!$AB$1221</definedName>
    <definedName name="UAcct408S" localSheetId="7">'[7]Func Study'!$AB$1213</definedName>
    <definedName name="UAcct408S">'[7]Func Study'!$AB$1213</definedName>
    <definedName name="UAcct41010" localSheetId="7">'[7]Func Study'!$AB$1294</definedName>
    <definedName name="UAcct41010">'[7]Func Study'!$AB$1294</definedName>
    <definedName name="UAcct41011" localSheetId="7">'[7]Func Study'!$AB$1309</definedName>
    <definedName name="UAcct41011">'[7]Func Study'!$AB$1309</definedName>
    <definedName name="UAcct41110" localSheetId="7">'[7]Func Study'!$AB$1325</definedName>
    <definedName name="UAcct41110">'[7]Func Study'!$AB$1325</definedName>
    <definedName name="UAcct41140" localSheetId="7">'[7]Func Study'!$AB$1232</definedName>
    <definedName name="UAcct41140">'[7]Func Study'!$AB$1232</definedName>
    <definedName name="UAcct41141" localSheetId="7">'[7]Func Study'!$AB$1237</definedName>
    <definedName name="UAcct41141">'[7]Func Study'!$AB$1237</definedName>
    <definedName name="UAcct41160" localSheetId="7">'[7]Func Study'!$AB$369</definedName>
    <definedName name="UAcct41160">'[7]Func Study'!$AB$369</definedName>
    <definedName name="UAcct41170" localSheetId="7">'[7]Func Study'!$AB$374</definedName>
    <definedName name="UAcct41170">'[7]Func Study'!$AB$374</definedName>
    <definedName name="UAcct4118" localSheetId="7">'[7]Func Study'!$AB$378</definedName>
    <definedName name="UAcct4118">'[7]Func Study'!$AB$378</definedName>
    <definedName name="UAcct41181" localSheetId="7">'[7]Func Study'!$AB$381</definedName>
    <definedName name="UAcct41181">'[7]Func Study'!$AB$381</definedName>
    <definedName name="UAcct4194" localSheetId="7">'[7]Func Study'!$AB$385</definedName>
    <definedName name="UAcct4194">'[7]Func Study'!$AB$385</definedName>
    <definedName name="UAcct421" localSheetId="7">'[7]Func Study'!$AB$394</definedName>
    <definedName name="UAcct421">'[7]Func Study'!$AB$394</definedName>
    <definedName name="UAcct4311" localSheetId="7">'[7]Func Study'!$AB$401</definedName>
    <definedName name="UAcct4311">'[7]Func Study'!$AB$401</definedName>
    <definedName name="UAcct442Se" localSheetId="7">'[7]Func Study'!$AB$259</definedName>
    <definedName name="UAcct442Se">'[7]Func Study'!$AB$259</definedName>
    <definedName name="UAcct442Sg" localSheetId="7">'[7]Func Study'!$AB$260</definedName>
    <definedName name="UAcct442Sg">'[7]Func Study'!$AB$260</definedName>
    <definedName name="UAcct447" localSheetId="7">'[7]Func Study'!$AB$281</definedName>
    <definedName name="UAcct447">'[7]Func Study'!$AB$281</definedName>
    <definedName name="UACCT447NPC" localSheetId="7">'[7]Func Study'!$AB$289</definedName>
    <definedName name="UACCT447NPC">'[7]Func Study'!$AB$289</definedName>
    <definedName name="UACCT447NPCCAEW" localSheetId="7">'[7]Func Study'!$AB$286</definedName>
    <definedName name="UACCT447NPCCAEW">'[7]Func Study'!$AB$286</definedName>
    <definedName name="UACCT447NPCCAGW" localSheetId="7">'[7]Func Study'!$AB$287</definedName>
    <definedName name="UACCT447NPCCAGW">'[7]Func Study'!$AB$287</definedName>
    <definedName name="UACCT447NPCDGP" localSheetId="7">'[7]Func Study'!$AB$288</definedName>
    <definedName name="UACCT447NPCDGP">'[7]Func Study'!$AB$288</definedName>
    <definedName name="UAcct447S" localSheetId="7">'[7]Func Study'!$AB$280</definedName>
    <definedName name="UAcct447S">'[7]Func Study'!$AB$280</definedName>
    <definedName name="UAcct448S" localSheetId="7">'[7]Func Study'!$AB$274</definedName>
    <definedName name="UAcct448S">'[7]Func Study'!$AB$274</definedName>
    <definedName name="UAcct448So" localSheetId="7">'[7]Func Study'!$AB$275</definedName>
    <definedName name="UAcct448So">'[7]Func Study'!$AB$275</definedName>
    <definedName name="UAcct449" localSheetId="7">'[7]Func Study'!$AB$294</definedName>
    <definedName name="UAcct449">'[7]Func Study'!$AB$294</definedName>
    <definedName name="UAcct450" localSheetId="7">'[7]Func Study'!$AB$304</definedName>
    <definedName name="UAcct450">'[7]Func Study'!$AB$304</definedName>
    <definedName name="UAcct450S" localSheetId="7">'[7]Func Study'!$AB$302</definedName>
    <definedName name="UAcct450S">'[7]Func Study'!$AB$302</definedName>
    <definedName name="UAcct450So" localSheetId="7">'[7]Func Study'!$AB$303</definedName>
    <definedName name="UAcct450So">'[7]Func Study'!$AB$303</definedName>
    <definedName name="UAcct451S" localSheetId="7">'[7]Func Study'!$AB$307</definedName>
    <definedName name="UAcct451S">'[7]Func Study'!$AB$307</definedName>
    <definedName name="UAcct451Sg" localSheetId="7">'[7]Func Study'!$AB$308</definedName>
    <definedName name="UAcct451Sg">'[7]Func Study'!$AB$308</definedName>
    <definedName name="UAcct451So" localSheetId="7">'[7]Func Study'!$AB$309</definedName>
    <definedName name="UAcct451So">'[7]Func Study'!$AB$309</definedName>
    <definedName name="UAcct453" localSheetId="7">'[7]Func Study'!$AB$315</definedName>
    <definedName name="UAcct453">'[7]Func Study'!$AB$315</definedName>
    <definedName name="UAcct454" localSheetId="7">'[7]Func Study'!$AB$322</definedName>
    <definedName name="UAcct454">'[7]Func Study'!$AB$322</definedName>
    <definedName name="UAcct454JBG" localSheetId="7">'[7]Func Study'!$AB$319</definedName>
    <definedName name="UAcct454JBG">'[7]Func Study'!$AB$319</definedName>
    <definedName name="UAcct454S" localSheetId="7">'[7]Func Study'!$AB$318</definedName>
    <definedName name="UAcct454S">'[7]Func Study'!$AB$318</definedName>
    <definedName name="UAcct454Sg" localSheetId="7">'[7]Func Study'!$AB$320</definedName>
    <definedName name="UAcct454Sg">'[7]Func Study'!$AB$320</definedName>
    <definedName name="UAcct454So" localSheetId="7">'[7]Func Study'!$AB$321</definedName>
    <definedName name="UAcct454So">'[7]Func Study'!$AB$321</definedName>
    <definedName name="UAcct456" localSheetId="7">'[7]Func Study'!$AB$332</definedName>
    <definedName name="UAcct456">'[7]Func Study'!$AB$332</definedName>
    <definedName name="UAcct456CAEW" localSheetId="7">'[7]Func Study'!$AB$331</definedName>
    <definedName name="UAcct456CAEW">'[7]Func Study'!$AB$331</definedName>
    <definedName name="UAcct456S" localSheetId="7">'[7]Func Study'!$AB$325</definedName>
    <definedName name="UAcct456S">'[7]Func Study'!$AB$325</definedName>
    <definedName name="UAcct456So" localSheetId="7">'[7]Func Study'!$AB$329</definedName>
    <definedName name="UAcct456So">'[7]Func Study'!$AB$329</definedName>
    <definedName name="UAcct500" localSheetId="7">'[7]Func Study'!$AB$416</definedName>
    <definedName name="UAcct500">'[7]Func Study'!$AB$416</definedName>
    <definedName name="UAcct500JBG" localSheetId="7">'[7]Func Study'!$AB$414</definedName>
    <definedName name="UAcct500JBG">'[7]Func Study'!$AB$414</definedName>
    <definedName name="UAcct501" localSheetId="7">'[7]Func Study'!$AB$423</definedName>
    <definedName name="UAcct501">'[7]Func Study'!$AB$423</definedName>
    <definedName name="UAcct501CAEW" localSheetId="7">'[7]Func Study'!$AB$420</definedName>
    <definedName name="UAcct501CAEW">'[7]Func Study'!$AB$420</definedName>
    <definedName name="UAcct501JBE" localSheetId="7">'[7]Func Study'!$AB$421</definedName>
    <definedName name="UAcct501JBE">'[7]Func Study'!$AB$421</definedName>
    <definedName name="UACCT501NPCCAEW" localSheetId="7">'[7]Func Study'!$AB$426</definedName>
    <definedName name="UACCT501NPCCAEW">'[7]Func Study'!$AB$426</definedName>
    <definedName name="UAcct502" localSheetId="7">'[7]Func Study'!$AB$433</definedName>
    <definedName name="UAcct502">'[7]Func Study'!$AB$433</definedName>
    <definedName name="UAcct502CAGE" localSheetId="7">'[7]Func Study'!$AB$431</definedName>
    <definedName name="UAcct502CAGE">'[7]Func Study'!$AB$431</definedName>
    <definedName name="UAcct503" localSheetId="7">'[7]Func Study'!$AB$437</definedName>
    <definedName name="UAcct503">'[7]Func Study'!$AB$437</definedName>
    <definedName name="UACCT503NPC" localSheetId="7">'[7]Func Study'!$AB$443</definedName>
    <definedName name="UACCT503NPC">'[7]Func Study'!$AB$443</definedName>
    <definedName name="UAcct505" localSheetId="7">'[7]Func Study'!$AB$449</definedName>
    <definedName name="UAcct505">'[7]Func Study'!$AB$449</definedName>
    <definedName name="UAcct505CAGE" localSheetId="7">'[7]Func Study'!$AB$447</definedName>
    <definedName name="UAcct505CAGE">'[7]Func Study'!$AB$447</definedName>
    <definedName name="UAcct506" localSheetId="7">'[7]Func Study'!$AB$455</definedName>
    <definedName name="UAcct506">'[7]Func Study'!$AB$455</definedName>
    <definedName name="UAcct506CAGE" localSheetId="7">'[7]Func Study'!$AB$452</definedName>
    <definedName name="UAcct506CAGE">'[7]Func Study'!$AB$452</definedName>
    <definedName name="UAcct507" localSheetId="7">'[7]Func Study'!$AB$464</definedName>
    <definedName name="UAcct507">'[7]Func Study'!$AB$464</definedName>
    <definedName name="UAcct507CAGE" localSheetId="7">'[7]Func Study'!$AB$462</definedName>
    <definedName name="UAcct507CAGE">'[7]Func Study'!$AB$462</definedName>
    <definedName name="UAcct510" localSheetId="7">'[7]Func Study'!$AB$469</definedName>
    <definedName name="UAcct510">'[7]Func Study'!$AB$469</definedName>
    <definedName name="UAcct510CAGE" localSheetId="7">'[7]Func Study'!$AB$467</definedName>
    <definedName name="UAcct510CAGE">'[7]Func Study'!$AB$467</definedName>
    <definedName name="UAcct511" localSheetId="7">'[7]Func Study'!$AB$474</definedName>
    <definedName name="UAcct511">'[7]Func Study'!$AB$474</definedName>
    <definedName name="UAcct511CAGE" localSheetId="7">'[7]Func Study'!$AB$472</definedName>
    <definedName name="UAcct511CAGE">'[7]Func Study'!$AB$472</definedName>
    <definedName name="UAcct512" localSheetId="7">'[7]Func Study'!$AB$479</definedName>
    <definedName name="UAcct512">'[7]Func Study'!$AB$479</definedName>
    <definedName name="UAcct512CAGE" localSheetId="7">'[7]Func Study'!$AB$477</definedName>
    <definedName name="UAcct512CAGE">'[7]Func Study'!$AB$477</definedName>
    <definedName name="UAcct513" localSheetId="7">'[7]Func Study'!$AB$484</definedName>
    <definedName name="UAcct513">'[7]Func Study'!$AB$484</definedName>
    <definedName name="UAcct513CAGE" localSheetId="7">'[7]Func Study'!$AB$482</definedName>
    <definedName name="UAcct513CAGE">'[7]Func Study'!$AB$482</definedName>
    <definedName name="UAcct514" localSheetId="7">'[7]Func Study'!$AB$489</definedName>
    <definedName name="UAcct514">'[7]Func Study'!$AB$489</definedName>
    <definedName name="UAcct514CAGE" localSheetId="7">'[7]Func Study'!$AB$487</definedName>
    <definedName name="UAcct514CAGE">'[7]Func Study'!$AB$487</definedName>
    <definedName name="UAcct517" localSheetId="7">'[7]Func Study'!$AB$498</definedName>
    <definedName name="UAcct517">'[7]Func Study'!$AB$498</definedName>
    <definedName name="UAcct518" localSheetId="7">'[7]Func Study'!$AB$502</definedName>
    <definedName name="UAcct518">'[7]Func Study'!$AB$502</definedName>
    <definedName name="UAcct519" localSheetId="7">'[7]Func Study'!$AB$507</definedName>
    <definedName name="UAcct519">'[7]Func Study'!$AB$507</definedName>
    <definedName name="UAcct520" localSheetId="7">'[7]Func Study'!$AB$511</definedName>
    <definedName name="UAcct520">'[7]Func Study'!$AB$511</definedName>
    <definedName name="UAcct523" localSheetId="7">'[7]Func Study'!$AB$515</definedName>
    <definedName name="UAcct523">'[7]Func Study'!$AB$515</definedName>
    <definedName name="UAcct524" localSheetId="7">'[7]Func Study'!$AB$519</definedName>
    <definedName name="UAcct524">'[7]Func Study'!$AB$519</definedName>
    <definedName name="UAcct528" localSheetId="7">'[7]Func Study'!$AB$523</definedName>
    <definedName name="UAcct528">'[7]Func Study'!$AB$523</definedName>
    <definedName name="UAcct529" localSheetId="7">'[7]Func Study'!$AB$527</definedName>
    <definedName name="UAcct529">'[7]Func Study'!$AB$527</definedName>
    <definedName name="UAcct530" localSheetId="7">'[7]Func Study'!$AB$531</definedName>
    <definedName name="UAcct530">'[7]Func Study'!$AB$531</definedName>
    <definedName name="UAcct531" localSheetId="7">'[7]Func Study'!$AB$535</definedName>
    <definedName name="UAcct531">'[7]Func Study'!$AB$535</definedName>
    <definedName name="UAcct532" localSheetId="7">'[7]Func Study'!$AB$539</definedName>
    <definedName name="UAcct532">'[7]Func Study'!$AB$539</definedName>
    <definedName name="UAcct535" localSheetId="7">'[7]Func Study'!$AB$551</definedName>
    <definedName name="UAcct535">'[7]Func Study'!$AB$551</definedName>
    <definedName name="UAcct536" localSheetId="7">'[7]Func Study'!$AB$555</definedName>
    <definedName name="UAcct536">'[7]Func Study'!$AB$555</definedName>
    <definedName name="UAcct537" localSheetId="7">'[7]Func Study'!$AB$559</definedName>
    <definedName name="UAcct537">'[7]Func Study'!$AB$559</definedName>
    <definedName name="UAcct538" localSheetId="7">'[7]Func Study'!$AB$563</definedName>
    <definedName name="UAcct538">'[7]Func Study'!$AB$563</definedName>
    <definedName name="UAcct539" localSheetId="7">'[7]Func Study'!$AB$568</definedName>
    <definedName name="UAcct539">'[7]Func Study'!$AB$568</definedName>
    <definedName name="UAcct540" localSheetId="7">'[7]Func Study'!$AB$572</definedName>
    <definedName name="UAcct540">'[7]Func Study'!$AB$572</definedName>
    <definedName name="UAcct541" localSheetId="7">'[7]Func Study'!$AB$576</definedName>
    <definedName name="UAcct541">'[7]Func Study'!$AB$576</definedName>
    <definedName name="UAcct542" localSheetId="7">'[7]Func Study'!$AB$580</definedName>
    <definedName name="UAcct542">'[7]Func Study'!$AB$580</definedName>
    <definedName name="UAcct543" localSheetId="7">'[7]Func Study'!$AB$584</definedName>
    <definedName name="UAcct543">'[7]Func Study'!$AB$584</definedName>
    <definedName name="UAcct544" localSheetId="7">'[7]Func Study'!$AB$588</definedName>
    <definedName name="UAcct544">'[7]Func Study'!$AB$588</definedName>
    <definedName name="UAcct545" localSheetId="7">'[7]Func Study'!$AB$592</definedName>
    <definedName name="UAcct545">'[7]Func Study'!$AB$592</definedName>
    <definedName name="UAcct546" localSheetId="7">'[7]Func Study'!$AB$606</definedName>
    <definedName name="UAcct546">'[7]Func Study'!$AB$606</definedName>
    <definedName name="UAcct546CAGE" localSheetId="7">'[7]Func Study'!$AB$605</definedName>
    <definedName name="UAcct546CAGE">'[7]Func Study'!$AB$605</definedName>
    <definedName name="UAcct547CAEW" localSheetId="7">'[7]Func Study'!$AB$610</definedName>
    <definedName name="UAcct547CAEW">'[7]Func Study'!$AB$610</definedName>
    <definedName name="UACCT547NPCCAEW" localSheetId="7">'[7]Func Study'!$AB$613</definedName>
    <definedName name="UACCT547NPCCAEW">'[7]Func Study'!$AB$613</definedName>
    <definedName name="UAcct547Se" localSheetId="7">'[7]Func Study'!$AB$609</definedName>
    <definedName name="UAcct547Se">'[7]Func Study'!$AB$609</definedName>
    <definedName name="UAcct548" localSheetId="7">'[7]Func Study'!$AB$621</definedName>
    <definedName name="UAcct548">'[7]Func Study'!$AB$621</definedName>
    <definedName name="UACCT548CAGE" localSheetId="7">'[7]Func Study'!$AB$620</definedName>
    <definedName name="UACCT548CAGE">'[7]Func Study'!$AB$620</definedName>
    <definedName name="UAcct549" localSheetId="7">'[7]Func Study'!$AB$626</definedName>
    <definedName name="UAcct549">'[7]Func Study'!$AB$626</definedName>
    <definedName name="Uacct549CAGE" localSheetId="7">'[7]Func Study'!$AB$625</definedName>
    <definedName name="Uacct549CAGE">'[7]Func Study'!$AB$625</definedName>
    <definedName name="UAcct551CAGE" localSheetId="7">'[7]Func Study'!$AB$634</definedName>
    <definedName name="UAcct551CAGE">'[7]Func Study'!$AB$634</definedName>
    <definedName name="UACCT551SG" localSheetId="7">'[7]Func Study'!$AB$635</definedName>
    <definedName name="UACCT551SG">'[7]Func Study'!$AB$635</definedName>
    <definedName name="UACCT552CAGE" localSheetId="7">'[7]Func Study'!$AB$640</definedName>
    <definedName name="UACCT552CAGE">'[7]Func Study'!$AB$640</definedName>
    <definedName name="UAcct552SG" localSheetId="7">'[7]Func Study'!$AB$639</definedName>
    <definedName name="UAcct552SG">'[7]Func Study'!$AB$639</definedName>
    <definedName name="UACCT553CAGE" localSheetId="7">'[7]Func Study'!$AB$646</definedName>
    <definedName name="UACCT553CAGE">'[7]Func Study'!$AB$646</definedName>
    <definedName name="UAcct553SG" localSheetId="7">'[7]Func Study'!$AB$645</definedName>
    <definedName name="UAcct553SG">'[7]Func Study'!$AB$645</definedName>
    <definedName name="UACCT554CAGE" localSheetId="7">'[7]Func Study'!$AB$651</definedName>
    <definedName name="UACCT554CAGE">'[7]Func Study'!$AB$651</definedName>
    <definedName name="UAcct554SG" localSheetId="7">'[7]Func Study'!$AB$650</definedName>
    <definedName name="UAcct554SG">'[7]Func Study'!$AB$650</definedName>
    <definedName name="UAcct555CAEW" localSheetId="7">'[7]Func Study'!$AB$665</definedName>
    <definedName name="UAcct555CAEW">'[7]Func Study'!$AB$665</definedName>
    <definedName name="UAcct555CAGW" localSheetId="7">'[7]Func Study'!$AB$664</definedName>
    <definedName name="UAcct555CAGW">'[7]Func Study'!$AB$664</definedName>
    <definedName name="UACCT555DGP" localSheetId="7">'[7]Func Study'!$AB$670</definedName>
    <definedName name="UACCT555DGP">'[7]Func Study'!$AB$670</definedName>
    <definedName name="UACCT555NPCCAEW" localSheetId="7">'[7]Func Study'!$AB$669</definedName>
    <definedName name="UACCT555NPCCAEW">'[7]Func Study'!$AB$669</definedName>
    <definedName name="UACCT555NPCCAGW" localSheetId="7">'[7]Func Study'!$AB$668</definedName>
    <definedName name="UACCT555NPCCAGW">'[7]Func Study'!$AB$668</definedName>
    <definedName name="UAcct555S" localSheetId="7">'[7]Func Study'!$AB$663</definedName>
    <definedName name="UAcct555S">'[7]Func Study'!$AB$663</definedName>
    <definedName name="UAcct555Se" localSheetId="7">'[7]Func Study'!$AB$665</definedName>
    <definedName name="UAcct555Se">'[7]Func Study'!$AB$665</definedName>
    <definedName name="UACCT555SG" localSheetId="7">'[7]Func Study'!$AB$664</definedName>
    <definedName name="UACCT555SG">'[7]Func Study'!$AB$664</definedName>
    <definedName name="UAcct556" localSheetId="7">'[7]Func Study'!$AB$676</definedName>
    <definedName name="UAcct556">'[7]Func Study'!$AB$676</definedName>
    <definedName name="UAcct557" localSheetId="7">'[7]Func Study'!$AB$685</definedName>
    <definedName name="UAcct557">'[7]Func Study'!$AB$685</definedName>
    <definedName name="UAcct560" localSheetId="7">'[7]Func Study'!$AB$715</definedName>
    <definedName name="UAcct560">'[7]Func Study'!$AB$715</definedName>
    <definedName name="UAcct561" localSheetId="7">'[7]Func Study'!$AB$720</definedName>
    <definedName name="UAcct561">'[7]Func Study'!$AB$720</definedName>
    <definedName name="UAcct562" localSheetId="7">'[7]Func Study'!$AB$726</definedName>
    <definedName name="UAcct562">'[7]Func Study'!$AB$726</definedName>
    <definedName name="UAcct563" localSheetId="7">'[7]Func Study'!$AB$731</definedName>
    <definedName name="UAcct563">'[7]Func Study'!$AB$731</definedName>
    <definedName name="UAcct564" localSheetId="7">'[7]Func Study'!$AB$735</definedName>
    <definedName name="UAcct564">'[7]Func Study'!$AB$735</definedName>
    <definedName name="UAcct565" localSheetId="7">'[7]Func Study'!$AB$739</definedName>
    <definedName name="UAcct565">'[7]Func Study'!$AB$739</definedName>
    <definedName name="UACCT565NPC" localSheetId="7">'[7]Func Study'!$AB$744</definedName>
    <definedName name="UACCT565NPC">'[7]Func Study'!$AB$744</definedName>
    <definedName name="UACCT565NPCCAGW" localSheetId="7">'[7]Func Study'!$AB$742</definedName>
    <definedName name="UACCT565NPCCAGW">'[7]Func Study'!$AB$742</definedName>
    <definedName name="UAcct566" localSheetId="7">'[7]Func Study'!$AB$748</definedName>
    <definedName name="UAcct566">'[7]Func Study'!$AB$748</definedName>
    <definedName name="UAcct567" localSheetId="7">'[7]Func Study'!$AB$752</definedName>
    <definedName name="UAcct567">'[7]Func Study'!$AB$752</definedName>
    <definedName name="UAcct568" localSheetId="7">'[7]Func Study'!$AB$756</definedName>
    <definedName name="UAcct568">'[7]Func Study'!$AB$756</definedName>
    <definedName name="UAcct569" localSheetId="7">'[7]Func Study'!$AB$760</definedName>
    <definedName name="UAcct569">'[7]Func Study'!$AB$760</definedName>
    <definedName name="UAcct570" localSheetId="7">'[7]Func Study'!$AB$765</definedName>
    <definedName name="UAcct570">'[7]Func Study'!$AB$765</definedName>
    <definedName name="UAcct571" localSheetId="7">'[7]Func Study'!$AB$770</definedName>
    <definedName name="UAcct571">'[7]Func Study'!$AB$770</definedName>
    <definedName name="UAcct572" localSheetId="7">'[7]Func Study'!$AB$774</definedName>
    <definedName name="UAcct572">'[7]Func Study'!$AB$774</definedName>
    <definedName name="UAcct573" localSheetId="7">'[7]Func Study'!$AB$778</definedName>
    <definedName name="UAcct573">'[7]Func Study'!$AB$778</definedName>
    <definedName name="UAcct580" localSheetId="7">'[7]Func Study'!$AB$791</definedName>
    <definedName name="UAcct580">'[7]Func Study'!$AB$791</definedName>
    <definedName name="UAcct581" localSheetId="7">'[7]Func Study'!$AB$796</definedName>
    <definedName name="UAcct581">'[7]Func Study'!$AB$796</definedName>
    <definedName name="UAcct582" localSheetId="7">'[7]Func Study'!$AB$801</definedName>
    <definedName name="UAcct582">'[7]Func Study'!$AB$801</definedName>
    <definedName name="UAcct583" localSheetId="7">'[7]Func Study'!$AB$806</definedName>
    <definedName name="UAcct583">'[7]Func Study'!$AB$806</definedName>
    <definedName name="UAcct584" localSheetId="7">'[7]Func Study'!$AB$811</definedName>
    <definedName name="UAcct584">'[7]Func Study'!$AB$811</definedName>
    <definedName name="UAcct585" localSheetId="7">'[7]Func Study'!$AB$816</definedName>
    <definedName name="UAcct585">'[7]Func Study'!$AB$816</definedName>
    <definedName name="UAcct586" localSheetId="7">'[7]Func Study'!$AB$821</definedName>
    <definedName name="UAcct586">'[7]Func Study'!$AB$821</definedName>
    <definedName name="UAcct587" localSheetId="7">'[7]Func Study'!$AB$826</definedName>
    <definedName name="UAcct587">'[7]Func Study'!$AB$826</definedName>
    <definedName name="UAcct588" localSheetId="7">'[7]Func Study'!$AB$831</definedName>
    <definedName name="UAcct588">'[7]Func Study'!$AB$831</definedName>
    <definedName name="UAcct589" localSheetId="7">'[7]Func Study'!$AB$836</definedName>
    <definedName name="UAcct589">'[7]Func Study'!$AB$836</definedName>
    <definedName name="UAcct590" localSheetId="7">'[7]Func Study'!$AB$841</definedName>
    <definedName name="UAcct590">'[7]Func Study'!$AB$841</definedName>
    <definedName name="UAcct591" localSheetId="7">'[7]Func Study'!$AB$846</definedName>
    <definedName name="UAcct591">'[7]Func Study'!$AB$846</definedName>
    <definedName name="UAcct592" localSheetId="7">'[7]Func Study'!$AB$851</definedName>
    <definedName name="UAcct592">'[7]Func Study'!$AB$851</definedName>
    <definedName name="UAcct593" localSheetId="7">'[7]Func Study'!$AB$856</definedName>
    <definedName name="UAcct593">'[7]Func Study'!$AB$856</definedName>
    <definedName name="UAcct594" localSheetId="7">'[7]Func Study'!$AB$861</definedName>
    <definedName name="UAcct594">'[7]Func Study'!$AB$861</definedName>
    <definedName name="UAcct595" localSheetId="7">'[7]Func Study'!$AB$866</definedName>
    <definedName name="UAcct595">'[7]Func Study'!$AB$866</definedName>
    <definedName name="UAcct596" localSheetId="7">'[7]Func Study'!$AB$876</definedName>
    <definedName name="UAcct596">'[7]Func Study'!$AB$876</definedName>
    <definedName name="UAcct597" localSheetId="7">'[7]Func Study'!$AB$881</definedName>
    <definedName name="UAcct597">'[7]Func Study'!$AB$881</definedName>
    <definedName name="UAcct598" localSheetId="7">'[7]Func Study'!$AB$886</definedName>
    <definedName name="UAcct598">'[7]Func Study'!$AB$886</definedName>
    <definedName name="UAcct901" localSheetId="7">'[7]Func Study'!$AB$898</definedName>
    <definedName name="UAcct901">'[7]Func Study'!$AB$898</definedName>
    <definedName name="UAcct902" localSheetId="7">'[7]Func Study'!$AB$903</definedName>
    <definedName name="UAcct902">'[7]Func Study'!$AB$903</definedName>
    <definedName name="UAcct903" localSheetId="7">'[7]Func Study'!$AB$908</definedName>
    <definedName name="UAcct903">'[7]Func Study'!$AB$908</definedName>
    <definedName name="UAcct904" localSheetId="7">'[7]Func Study'!$AB$914</definedName>
    <definedName name="UAcct904">'[7]Func Study'!$AB$914</definedName>
    <definedName name="UAcct905" localSheetId="7">'[7]Func Study'!$AB$919</definedName>
    <definedName name="UAcct905">'[7]Func Study'!$AB$919</definedName>
    <definedName name="UAcct907" localSheetId="7">'[7]Func Study'!$AB$933</definedName>
    <definedName name="UAcct907">'[7]Func Study'!$AB$933</definedName>
    <definedName name="UAcct908" localSheetId="7">'[7]Func Study'!$AB$938</definedName>
    <definedName name="UAcct908">'[7]Func Study'!$AB$938</definedName>
    <definedName name="UAcct909" localSheetId="7">'[7]Func Study'!$AB$943</definedName>
    <definedName name="UAcct909">'[7]Func Study'!$AB$943</definedName>
    <definedName name="UAcct910" localSheetId="7">'[7]Func Study'!$AB$948</definedName>
    <definedName name="UAcct910">'[7]Func Study'!$AB$948</definedName>
    <definedName name="UAcct911" localSheetId="7">'[7]Func Study'!$AB$959</definedName>
    <definedName name="UAcct911">'[7]Func Study'!$AB$959</definedName>
    <definedName name="UAcct912" localSheetId="7">'[7]Func Study'!$AB$964</definedName>
    <definedName name="UAcct912">'[7]Func Study'!$AB$964</definedName>
    <definedName name="UAcct913" localSheetId="7">'[7]Func Study'!$AB$969</definedName>
    <definedName name="UAcct913">'[7]Func Study'!$AB$969</definedName>
    <definedName name="UAcct916" localSheetId="7">'[7]Func Study'!$AB$974</definedName>
    <definedName name="UAcct916">'[7]Func Study'!$AB$974</definedName>
    <definedName name="UAcct920" localSheetId="7">'[7]Func Study'!$AB$985</definedName>
    <definedName name="UAcct920">'[7]Func Study'!$AB$985</definedName>
    <definedName name="UAcct920Cn" localSheetId="7">'[7]Func Study'!$AB$983</definedName>
    <definedName name="UAcct920Cn">'[7]Func Study'!$AB$983</definedName>
    <definedName name="UAcct921" localSheetId="7">'[7]Func Study'!$AB$991</definedName>
    <definedName name="UAcct921">'[7]Func Study'!$AB$991</definedName>
    <definedName name="UAcct921Cn" localSheetId="7">'[7]Func Study'!$AB$989</definedName>
    <definedName name="UAcct921Cn">'[7]Func Study'!$AB$989</definedName>
    <definedName name="UAcct923" localSheetId="7">'[7]Func Study'!$AB$997</definedName>
    <definedName name="UAcct923">'[7]Func Study'!$AB$997</definedName>
    <definedName name="UAcct923CAGW" localSheetId="7">'[7]Func Study'!$AB$995</definedName>
    <definedName name="UAcct923CAGW">'[7]Func Study'!$AB$995</definedName>
    <definedName name="UAcct924" localSheetId="7">'[7]Func Study'!$AB$1001</definedName>
    <definedName name="UAcct924">'[7]Func Study'!$AB$1001</definedName>
    <definedName name="UAcct925" localSheetId="7">'[7]Func Study'!$AB$1005</definedName>
    <definedName name="UAcct925">'[7]Func Study'!$AB$1005</definedName>
    <definedName name="UAcct926" localSheetId="7">'[7]Func Study'!$AB$1011</definedName>
    <definedName name="UAcct926">'[7]Func Study'!$AB$1011</definedName>
    <definedName name="UAcct927" localSheetId="7">'[7]Func Study'!$AB$1016</definedName>
    <definedName name="UAcct927">'[7]Func Study'!$AB$1016</definedName>
    <definedName name="UAcct928" localSheetId="7">'[7]Func Study'!$AB$1023</definedName>
    <definedName name="UAcct928">'[7]Func Study'!$AB$1023</definedName>
    <definedName name="UAcct929" localSheetId="7">'[7]Func Study'!$AB$1028</definedName>
    <definedName name="UAcct929">'[7]Func Study'!$AB$1028</definedName>
    <definedName name="UAcct930" localSheetId="7">'[7]Func Study'!$AB$1034</definedName>
    <definedName name="UAcct930">'[7]Func Study'!$AB$1034</definedName>
    <definedName name="UAcct931" localSheetId="7">'[7]Func Study'!$AB$1039</definedName>
    <definedName name="UAcct931">'[7]Func Study'!$AB$1039</definedName>
    <definedName name="UAcct935" localSheetId="7">'[7]Func Study'!$AB$1045</definedName>
    <definedName name="UAcct935">'[7]Func Study'!$AB$1045</definedName>
    <definedName name="UAcctAGA" localSheetId="7">'[7]Func Study'!$AB$296</definedName>
    <definedName name="UAcctAGA">'[7]Func Study'!$AB$296</definedName>
    <definedName name="UAcctcwc" localSheetId="7">'[7]Func Study'!$AB$2136</definedName>
    <definedName name="UAcctcwc">'[7]Func Study'!$AB$2136</definedName>
    <definedName name="UAcctd00" localSheetId="7">'[7]Func Study'!$AB$1786</definedName>
    <definedName name="UAcctd00">'[7]Func Study'!$AB$1786</definedName>
    <definedName name="UAcctds0" localSheetId="7">'[7]Func Study'!$AB$1790</definedName>
    <definedName name="UAcctds0">'[7]Func Study'!$AB$1790</definedName>
    <definedName name="UACCTECDDGP" localSheetId="7">'[7]Func Study'!$AB$687</definedName>
    <definedName name="UACCTECDDGP">'[7]Func Study'!$AB$687</definedName>
    <definedName name="UACCTECDMC" localSheetId="7">'[7]Func Study'!$AB$689</definedName>
    <definedName name="UACCTECDMC">'[7]Func Study'!$AB$689</definedName>
    <definedName name="UACCTECDS" localSheetId="7">'[7]Func Study'!$AB$691</definedName>
    <definedName name="UACCTECDS">'[7]Func Study'!$AB$691</definedName>
    <definedName name="UACCTECDSG1" localSheetId="7">'[7]Func Study'!$AB$688</definedName>
    <definedName name="UACCTECDSG1">'[7]Func Study'!$AB$688</definedName>
    <definedName name="UACCTECDSG2" localSheetId="7">'[7]Func Study'!$AB$690</definedName>
    <definedName name="UACCTECDSG2">'[7]Func Study'!$AB$690</definedName>
    <definedName name="UACCTECDSG3" localSheetId="7">'[7]Func Study'!$AB$692</definedName>
    <definedName name="UACCTECDSG3">'[7]Func Study'!$AB$692</definedName>
    <definedName name="UAcctfit" localSheetId="7">'[7]Func Study'!$AB$1395</definedName>
    <definedName name="UAcctfit">'[7]Func Study'!$AB$1395</definedName>
    <definedName name="UAcctg00" localSheetId="7">'[7]Func Study'!$AB$1947</definedName>
    <definedName name="UAcctg00">'[7]Func Study'!$AB$1947</definedName>
    <definedName name="UAccth00" localSheetId="7">'[7]Func Study'!$AB$1545</definedName>
    <definedName name="UAccth00">'[7]Func Study'!$AB$1545</definedName>
    <definedName name="UAccti00" localSheetId="7">'[7]Func Study'!$AB$1993</definedName>
    <definedName name="UAccti00">'[7]Func Study'!$AB$1993</definedName>
    <definedName name="UAcctn00" localSheetId="7">'[7]Func Study'!$AB$1496</definedName>
    <definedName name="UAcctn00">'[7]Func Study'!$AB$1496</definedName>
    <definedName name="UAccto00" localSheetId="7">'[7]Func Study'!$AB$1606</definedName>
    <definedName name="UAccto00">'[7]Func Study'!$AB$1606</definedName>
    <definedName name="UAcctowc" localSheetId="7">'[7]Func Study'!$AB$2149</definedName>
    <definedName name="UAcctowc">'[7]Func Study'!$AB$2149</definedName>
    <definedName name="UACCTOWCSSECH" localSheetId="7">'[7]Func Study'!$AB$2148</definedName>
    <definedName name="UACCTOWCSSECH">'[7]Func Study'!$AB$2148</definedName>
    <definedName name="UAccts00" localSheetId="7">'[7]Func Study'!$AB$1455</definedName>
    <definedName name="UAccts00">'[7]Func Study'!$AB$1455</definedName>
    <definedName name="UAcctsttax" localSheetId="7">'[7]Func Study'!$AB$1377</definedName>
    <definedName name="UAcctsttax">'[7]Func Study'!$AB$1377</definedName>
    <definedName name="UAcctt00" localSheetId="7">'[7]Func Study'!$AB$1682</definedName>
    <definedName name="UAcctt00">'[7]Func Study'!$AB$1682</definedName>
    <definedName name="UG" localSheetId="7">[4]CLASSIFIERS!$A$9:$IV$9</definedName>
    <definedName name="UG">[4]CLASSIFIERS!$A$9:$IV$9</definedName>
    <definedName name="UG_NCP" localSheetId="7">[4]EXTERNAL!$A$82:$IV$84</definedName>
    <definedName name="UG_NCP">[4]EXTERNAL!$A$82:$IV$84</definedName>
    <definedName name="UG_TFMR" localSheetId="7">[4]EXTERNAL!$A$103:$IV$105</definedName>
    <definedName name="UG_TFMR">[4]EXTERNAL!$A$103:$IV$105</definedName>
    <definedName name="UG_TFMRC" localSheetId="7">[4]EXTERNAL!$A$100:$IV$102</definedName>
    <definedName name="UG_TFMRC">[4]EXTERNAL!$A$100:$IV$102</definedName>
    <definedName name="UNBILLED" localSheetId="7">[4]EXTERNAL!$A$64:$IV$66</definedName>
    <definedName name="UNBILLED">[4]EXTERNAL!$A$64:$IV$66</definedName>
    <definedName name="UncollectibleAccounts" localSheetId="7">[11]Variables!$D$25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 localSheetId="7">[11]Variables!$D$29</definedName>
    <definedName name="UtGrossReceipts">[11]Variables!$D$29</definedName>
    <definedName name="ValidAccount">[8]Variables!$AK$43:$AK$369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VOMEsc" localSheetId="7">[9]Assumptions!$C$21</definedName>
    <definedName name="VOMEsc">[9]Assumptions!$C$21</definedName>
    <definedName name="WACC" localSheetId="7">[9]Assumptions!$I$61</definedName>
    <definedName name="WACC">[9]Assumptions!$I$61</definedName>
    <definedName name="WaRevenueTax" localSheetId="7">[11]Variables!$D$27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'[58]Input Tab'!$B$11</definedName>
    <definedName name="WinterPeak" localSheetId="7">'[59]Load Data'!$D$9:$H$12,'[59]Load Data'!$D$20:$H$22</definedName>
    <definedName name="WinterPeak">'[59]Load Data'!$D$9:$H$12,'[59]Load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'[60]Revison Inputs'!$B$6</definedName>
    <definedName name="YEFactors">[8]Factors!$S$3:$AG$99</definedName>
    <definedName name="YTD_Format" localSheetId="7">[51]YTD!$B$13:$D$13,[51]YTD!$B$36:$D$36</definedName>
    <definedName name="YTD_Format">[51]YTD!$B$13:$D$13,[51]YTD!$B$36:$D$36</definedName>
  </definedNames>
  <calcPr calcId="145621" calcMode="manual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" i="1" l="1"/>
  <c r="N26" i="1" l="1"/>
  <c r="D18" i="1" l="1"/>
  <c r="D17" i="1"/>
  <c r="D16" i="1"/>
  <c r="D15" i="1"/>
  <c r="D14" i="1"/>
  <c r="D13" i="1"/>
  <c r="C19" i="1"/>
  <c r="C18" i="1"/>
  <c r="C17" i="1"/>
  <c r="C16" i="1"/>
  <c r="C15" i="1"/>
  <c r="C14" i="1"/>
  <c r="C13" i="1"/>
  <c r="E28" i="5" l="1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E166" i="4"/>
  <c r="E163" i="4"/>
  <c r="E162" i="4"/>
  <c r="E161" i="4"/>
  <c r="E160" i="4"/>
  <c r="E159" i="4"/>
  <c r="E158" i="4"/>
  <c r="E154" i="4"/>
  <c r="E153" i="4"/>
  <c r="E140" i="4"/>
  <c r="E139" i="4"/>
  <c r="E138" i="4"/>
  <c r="E137" i="4"/>
  <c r="E136" i="4"/>
  <c r="E135" i="4"/>
  <c r="E131" i="4"/>
  <c r="E130" i="4"/>
  <c r="E129" i="4"/>
  <c r="E101" i="4"/>
  <c r="E98" i="4"/>
  <c r="E97" i="4"/>
  <c r="E93" i="4"/>
  <c r="E92" i="4"/>
  <c r="E79" i="4"/>
  <c r="E78" i="4"/>
  <c r="E74" i="4"/>
  <c r="E73" i="4"/>
  <c r="E72" i="4"/>
  <c r="E44" i="4"/>
  <c r="E41" i="4"/>
  <c r="E40" i="4"/>
  <c r="E39" i="4"/>
  <c r="E34" i="4"/>
  <c r="E33" i="4"/>
  <c r="E20" i="4"/>
  <c r="E19" i="4"/>
  <c r="E18" i="4"/>
  <c r="E14" i="4"/>
  <c r="E13" i="4"/>
  <c r="E12" i="4"/>
  <c r="E81" i="3"/>
  <c r="E76" i="3"/>
  <c r="E75" i="3"/>
  <c r="E74" i="3"/>
  <c r="E71" i="3"/>
  <c r="E70" i="3"/>
  <c r="E69" i="3"/>
  <c r="E56" i="3"/>
  <c r="E54" i="3"/>
  <c r="E53" i="3"/>
  <c r="E52" i="3"/>
  <c r="E49" i="3"/>
  <c r="E48" i="3"/>
  <c r="E47" i="3"/>
  <c r="E29" i="3"/>
  <c r="E25" i="3"/>
  <c r="E24" i="3"/>
  <c r="E14" i="3"/>
  <c r="E13" i="3"/>
  <c r="E12" i="3"/>
  <c r="E35" i="2"/>
  <c r="E24" i="2"/>
  <c r="E23" i="2"/>
  <c r="E13" i="2"/>
  <c r="E12" i="2"/>
  <c r="D163" i="4"/>
  <c r="D162" i="4"/>
  <c r="D161" i="4"/>
  <c r="D160" i="4"/>
  <c r="D159" i="4"/>
  <c r="D158" i="4"/>
  <c r="F155" i="4"/>
  <c r="D154" i="4"/>
  <c r="D153" i="4"/>
  <c r="E145" i="4"/>
  <c r="E144" i="4"/>
  <c r="D140" i="4"/>
  <c r="D139" i="4"/>
  <c r="D138" i="4"/>
  <c r="D137" i="4"/>
  <c r="D136" i="4"/>
  <c r="D135" i="4"/>
  <c r="F132" i="4"/>
  <c r="D130" i="4"/>
  <c r="D129" i="4"/>
  <c r="D98" i="4"/>
  <c r="D97" i="4"/>
  <c r="F94" i="4"/>
  <c r="D93" i="4"/>
  <c r="D92" i="4"/>
  <c r="E84" i="4"/>
  <c r="E83" i="4"/>
  <c r="D79" i="4"/>
  <c r="D78" i="4"/>
  <c r="F75" i="4"/>
  <c r="D73" i="4"/>
  <c r="D72" i="4"/>
  <c r="D41" i="4"/>
  <c r="D40" i="4"/>
  <c r="D39" i="4"/>
  <c r="F35" i="4"/>
  <c r="D34" i="4"/>
  <c r="D33" i="4"/>
  <c r="E25" i="4"/>
  <c r="E24" i="4"/>
  <c r="D20" i="4"/>
  <c r="D19" i="4"/>
  <c r="D18" i="4"/>
  <c r="F15" i="4"/>
  <c r="D13" i="4"/>
  <c r="D12" i="4"/>
  <c r="D76" i="3"/>
  <c r="D75" i="3"/>
  <c r="D74" i="3"/>
  <c r="D71" i="3"/>
  <c r="D69" i="3"/>
  <c r="E61" i="3"/>
  <c r="E60" i="3"/>
  <c r="D54" i="3"/>
  <c r="D53" i="3"/>
  <c r="D52" i="3"/>
  <c r="D49" i="3"/>
  <c r="D47" i="3"/>
  <c r="D25" i="3"/>
  <c r="D24" i="3"/>
  <c r="E17" i="3"/>
  <c r="D13" i="3"/>
  <c r="D12" i="3"/>
  <c r="E39" i="2"/>
  <c r="D37" i="2"/>
  <c r="D35" i="2"/>
  <c r="E27" i="2"/>
  <c r="D24" i="2"/>
  <c r="D23" i="2"/>
  <c r="E16" i="2"/>
  <c r="D13" i="2"/>
  <c r="D12" i="2"/>
  <c r="C23" i="1"/>
  <c r="C20" i="1"/>
  <c r="F19" i="1"/>
  <c r="F18" i="1"/>
  <c r="F17" i="1"/>
  <c r="F16" i="1"/>
  <c r="F15" i="1"/>
  <c r="F14" i="1"/>
  <c r="F13" i="1"/>
  <c r="H12" i="2" l="1"/>
  <c r="H56" i="3" l="1"/>
  <c r="H131" i="4"/>
  <c r="H74" i="4"/>
  <c r="H24" i="4"/>
  <c r="H14" i="4"/>
  <c r="H130" i="4" l="1"/>
  <c r="H73" i="4"/>
  <c r="H13" i="4"/>
  <c r="H49" i="3"/>
  <c r="H71" i="3" s="1"/>
  <c r="E231" i="7"/>
  <c r="E230" i="7"/>
  <c r="E229" i="7"/>
  <c r="E228" i="7"/>
  <c r="E227" i="7"/>
  <c r="E226" i="7"/>
  <c r="E225" i="7"/>
  <c r="E224" i="7"/>
  <c r="E232" i="7" s="1"/>
  <c r="E223" i="7"/>
  <c r="E219" i="7"/>
  <c r="E214" i="7"/>
  <c r="E209" i="7"/>
  <c r="E208" i="7"/>
  <c r="E207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J186" i="7"/>
  <c r="L186" i="7" s="1"/>
  <c r="M186" i="7" s="1"/>
  <c r="J185" i="7"/>
  <c r="L185" i="7" s="1"/>
  <c r="M185" i="7" s="1"/>
  <c r="G185" i="7"/>
  <c r="E185" i="7"/>
  <c r="E175" i="7"/>
  <c r="E174" i="7"/>
  <c r="E173" i="7"/>
  <c r="L170" i="7"/>
  <c r="M170" i="7" s="1"/>
  <c r="I167" i="7"/>
  <c r="O167" i="7" s="1"/>
  <c r="G167" i="7"/>
  <c r="I166" i="7"/>
  <c r="J166" i="7" s="1"/>
  <c r="L166" i="7" s="1"/>
  <c r="G166" i="7"/>
  <c r="I165" i="7"/>
  <c r="O165" i="7" s="1"/>
  <c r="G165" i="7"/>
  <c r="L164" i="7"/>
  <c r="I164" i="7"/>
  <c r="J164" i="7" s="1"/>
  <c r="G164" i="7"/>
  <c r="O160" i="7"/>
  <c r="I160" i="7"/>
  <c r="J160" i="7" s="1"/>
  <c r="L160" i="7" s="1"/>
  <c r="G160" i="7"/>
  <c r="I159" i="7"/>
  <c r="J159" i="7" s="1"/>
  <c r="G159" i="7"/>
  <c r="I158" i="7"/>
  <c r="O158" i="7" s="1"/>
  <c r="G158" i="7"/>
  <c r="I157" i="7"/>
  <c r="J157" i="7" s="1"/>
  <c r="G157" i="7"/>
  <c r="I156" i="7"/>
  <c r="O156" i="7" s="1"/>
  <c r="G156" i="7"/>
  <c r="I155" i="7"/>
  <c r="J155" i="7" s="1"/>
  <c r="G155" i="7"/>
  <c r="L155" i="7" s="1"/>
  <c r="O154" i="7"/>
  <c r="I154" i="7"/>
  <c r="J154" i="7" s="1"/>
  <c r="G154" i="7"/>
  <c r="G161" i="7" s="1"/>
  <c r="I150" i="7"/>
  <c r="J150" i="7" s="1"/>
  <c r="L150" i="7" s="1"/>
  <c r="G150" i="7"/>
  <c r="I149" i="7"/>
  <c r="O149" i="7" s="1"/>
  <c r="G149" i="7"/>
  <c r="I148" i="7"/>
  <c r="G148" i="7"/>
  <c r="I147" i="7"/>
  <c r="O147" i="7" s="1"/>
  <c r="G147" i="7"/>
  <c r="I146" i="7"/>
  <c r="G146" i="7"/>
  <c r="I145" i="7"/>
  <c r="O145" i="7" s="1"/>
  <c r="G145" i="7"/>
  <c r="E141" i="7"/>
  <c r="E218" i="7" s="1"/>
  <c r="F140" i="7"/>
  <c r="G140" i="7" s="1"/>
  <c r="F139" i="7"/>
  <c r="I139" i="7" s="1"/>
  <c r="G138" i="7"/>
  <c r="F138" i="7"/>
  <c r="I138" i="7" s="1"/>
  <c r="F137" i="7"/>
  <c r="F136" i="7"/>
  <c r="G136" i="7" s="1"/>
  <c r="F135" i="7"/>
  <c r="I135" i="7" s="1"/>
  <c r="M132" i="7"/>
  <c r="L132" i="7"/>
  <c r="I131" i="7"/>
  <c r="O131" i="7" s="1"/>
  <c r="G131" i="7"/>
  <c r="I130" i="7"/>
  <c r="J130" i="7" s="1"/>
  <c r="G130" i="7"/>
  <c r="E126" i="7"/>
  <c r="E213" i="7" s="1"/>
  <c r="I125" i="7"/>
  <c r="J125" i="7" s="1"/>
  <c r="L125" i="7" s="1"/>
  <c r="G125" i="7"/>
  <c r="I124" i="7"/>
  <c r="O124" i="7" s="1"/>
  <c r="G124" i="7"/>
  <c r="I123" i="7"/>
  <c r="J123" i="7" s="1"/>
  <c r="L123" i="7" s="1"/>
  <c r="G123" i="7"/>
  <c r="I122" i="7"/>
  <c r="O122" i="7" s="1"/>
  <c r="G122" i="7"/>
  <c r="I121" i="7"/>
  <c r="J121" i="7" s="1"/>
  <c r="L121" i="7" s="1"/>
  <c r="G121" i="7"/>
  <c r="I120" i="7"/>
  <c r="O120" i="7" s="1"/>
  <c r="G120" i="7"/>
  <c r="L117" i="7"/>
  <c r="M117" i="7" s="1"/>
  <c r="I116" i="7"/>
  <c r="O116" i="7" s="1"/>
  <c r="E116" i="7"/>
  <c r="I115" i="7"/>
  <c r="G115" i="7"/>
  <c r="M115" i="7" s="1"/>
  <c r="J114" i="7"/>
  <c r="I114" i="7"/>
  <c r="O114" i="7" s="1"/>
  <c r="G114" i="7"/>
  <c r="E110" i="7"/>
  <c r="F109" i="7"/>
  <c r="I108" i="7"/>
  <c r="O108" i="7" s="1"/>
  <c r="G108" i="7"/>
  <c r="F108" i="7"/>
  <c r="L105" i="7"/>
  <c r="M105" i="7" s="1"/>
  <c r="M104" i="7"/>
  <c r="J104" i="7"/>
  <c r="I104" i="7"/>
  <c r="O104" i="7" s="1"/>
  <c r="G104" i="7"/>
  <c r="L104" i="7" s="1"/>
  <c r="I103" i="7"/>
  <c r="H92" i="4" s="1"/>
  <c r="G103" i="7"/>
  <c r="E99" i="7"/>
  <c r="E212" i="7" s="1"/>
  <c r="I98" i="7"/>
  <c r="J98" i="7" s="1"/>
  <c r="G98" i="7"/>
  <c r="I97" i="7"/>
  <c r="O97" i="7" s="1"/>
  <c r="G97" i="7"/>
  <c r="L94" i="7"/>
  <c r="M94" i="7" s="1"/>
  <c r="I93" i="7"/>
  <c r="O93" i="7" s="1"/>
  <c r="E93" i="7"/>
  <c r="I92" i="7"/>
  <c r="O92" i="7" s="1"/>
  <c r="G92" i="7"/>
  <c r="I91" i="7"/>
  <c r="J91" i="7" s="1"/>
  <c r="G91" i="7"/>
  <c r="E87" i="7"/>
  <c r="E216" i="7" s="1"/>
  <c r="F86" i="7"/>
  <c r="I86" i="7" s="1"/>
  <c r="F85" i="7"/>
  <c r="F84" i="7"/>
  <c r="I84" i="7" s="1"/>
  <c r="M81" i="7"/>
  <c r="L81" i="7"/>
  <c r="I80" i="7"/>
  <c r="O80" i="7" s="1"/>
  <c r="G80" i="7"/>
  <c r="I79" i="7"/>
  <c r="J79" i="7" s="1"/>
  <c r="L79" i="7" s="1"/>
  <c r="G79" i="7"/>
  <c r="M79" i="7" s="1"/>
  <c r="E75" i="7"/>
  <c r="E211" i="7" s="1"/>
  <c r="J74" i="7"/>
  <c r="L74" i="7" s="1"/>
  <c r="I74" i="7"/>
  <c r="O74" i="7" s="1"/>
  <c r="G74" i="7"/>
  <c r="J73" i="7"/>
  <c r="L73" i="7" s="1"/>
  <c r="I73" i="7"/>
  <c r="O73" i="7" s="1"/>
  <c r="G73" i="7"/>
  <c r="J72" i="7"/>
  <c r="L72" i="7" s="1"/>
  <c r="I72" i="7"/>
  <c r="O72" i="7" s="1"/>
  <c r="G72" i="7"/>
  <c r="M69" i="7"/>
  <c r="L69" i="7"/>
  <c r="O68" i="7"/>
  <c r="I68" i="7"/>
  <c r="G68" i="7"/>
  <c r="E68" i="7"/>
  <c r="J68" i="7" s="1"/>
  <c r="I67" i="7"/>
  <c r="O67" i="7" s="1"/>
  <c r="G67" i="7"/>
  <c r="I66" i="7"/>
  <c r="O66" i="7" s="1"/>
  <c r="G66" i="7"/>
  <c r="I62" i="7"/>
  <c r="O62" i="7" s="1"/>
  <c r="E62" i="7"/>
  <c r="J62" i="7" s="1"/>
  <c r="E61" i="7"/>
  <c r="E177" i="7" s="1"/>
  <c r="F60" i="7"/>
  <c r="I60" i="7" s="1"/>
  <c r="F59" i="7"/>
  <c r="F58" i="7"/>
  <c r="O55" i="7"/>
  <c r="I55" i="7"/>
  <c r="J55" i="7" s="1"/>
  <c r="L55" i="7" s="1"/>
  <c r="G55" i="7"/>
  <c r="G54" i="7"/>
  <c r="F54" i="7"/>
  <c r="E54" i="7"/>
  <c r="J53" i="7"/>
  <c r="I53" i="7"/>
  <c r="H69" i="3" s="1"/>
  <c r="G53" i="7"/>
  <c r="I49" i="7"/>
  <c r="O49" i="7" s="1"/>
  <c r="E47" i="7"/>
  <c r="I46" i="7"/>
  <c r="O46" i="7" s="1"/>
  <c r="G46" i="7"/>
  <c r="I45" i="7"/>
  <c r="O45" i="7" s="1"/>
  <c r="G45" i="7"/>
  <c r="I41" i="7"/>
  <c r="J41" i="7" s="1"/>
  <c r="L41" i="7" s="1"/>
  <c r="M41" i="7" s="1"/>
  <c r="G41" i="7"/>
  <c r="E40" i="7"/>
  <c r="G40" i="7" s="1"/>
  <c r="J39" i="7"/>
  <c r="I39" i="7"/>
  <c r="H47" i="3" s="1"/>
  <c r="G39" i="7"/>
  <c r="G36" i="7"/>
  <c r="M36" i="7" s="1"/>
  <c r="J35" i="7"/>
  <c r="L35" i="7" s="1"/>
  <c r="I35" i="7"/>
  <c r="O35" i="7" s="1"/>
  <c r="G35" i="7"/>
  <c r="M35" i="7" s="1"/>
  <c r="O31" i="7"/>
  <c r="I31" i="7"/>
  <c r="J31" i="7" s="1"/>
  <c r="L31" i="7" s="1"/>
  <c r="G31" i="7"/>
  <c r="M31" i="7" s="1"/>
  <c r="O30" i="7"/>
  <c r="I30" i="7"/>
  <c r="J30" i="7" s="1"/>
  <c r="G30" i="7"/>
  <c r="I29" i="7"/>
  <c r="H24" i="3" s="1"/>
  <c r="G29" i="7"/>
  <c r="I25" i="7"/>
  <c r="J25" i="7" s="1"/>
  <c r="G25" i="7"/>
  <c r="L24" i="7"/>
  <c r="J24" i="7"/>
  <c r="I24" i="7"/>
  <c r="O24" i="7" s="1"/>
  <c r="G24" i="7"/>
  <c r="I23" i="7"/>
  <c r="H12" i="3" s="1"/>
  <c r="G23" i="7"/>
  <c r="E20" i="7"/>
  <c r="E206" i="7" s="1"/>
  <c r="I19" i="7"/>
  <c r="O19" i="7" s="1"/>
  <c r="G19" i="7"/>
  <c r="F15" i="7"/>
  <c r="G15" i="7" s="1"/>
  <c r="F14" i="7"/>
  <c r="G14" i="7" s="1"/>
  <c r="I10" i="7"/>
  <c r="G10" i="7"/>
  <c r="J9" i="7"/>
  <c r="L9" i="7" s="1"/>
  <c r="I9" i="7"/>
  <c r="G9" i="7"/>
  <c r="G11" i="7" s="1"/>
  <c r="M121" i="7" l="1"/>
  <c r="M123" i="7"/>
  <c r="M125" i="7"/>
  <c r="J84" i="7"/>
  <c r="O84" i="7"/>
  <c r="L157" i="7"/>
  <c r="E179" i="7"/>
  <c r="M24" i="7"/>
  <c r="I40" i="7"/>
  <c r="O40" i="7" s="1"/>
  <c r="I44" i="7"/>
  <c r="O44" i="7" s="1"/>
  <c r="J45" i="7"/>
  <c r="L45" i="7" s="1"/>
  <c r="J46" i="7"/>
  <c r="L46" i="7" s="1"/>
  <c r="J80" i="7"/>
  <c r="G84" i="7"/>
  <c r="J92" i="7"/>
  <c r="L92" i="7" s="1"/>
  <c r="J97" i="7"/>
  <c r="L97" i="7" s="1"/>
  <c r="O98" i="7"/>
  <c r="J120" i="7"/>
  <c r="L120" i="7" s="1"/>
  <c r="J122" i="7"/>
  <c r="L122" i="7" s="1"/>
  <c r="J124" i="7"/>
  <c r="L124" i="7" s="1"/>
  <c r="J131" i="7"/>
  <c r="L131" i="7" s="1"/>
  <c r="I136" i="7"/>
  <c r="I140" i="7"/>
  <c r="J145" i="7"/>
  <c r="J158" i="7"/>
  <c r="L158" i="7" s="1"/>
  <c r="M160" i="7"/>
  <c r="E182" i="7"/>
  <c r="H33" i="4"/>
  <c r="H129" i="4"/>
  <c r="I14" i="7"/>
  <c r="J14" i="7" s="1"/>
  <c r="L25" i="7"/>
  <c r="M25" i="7" s="1"/>
  <c r="L30" i="7"/>
  <c r="M30" i="7" s="1"/>
  <c r="J40" i="7"/>
  <c r="L40" i="7" s="1"/>
  <c r="J67" i="7"/>
  <c r="L67" i="7" s="1"/>
  <c r="M67" i="7" s="1"/>
  <c r="M72" i="7"/>
  <c r="M74" i="7"/>
  <c r="O79" i="7"/>
  <c r="G86" i="7"/>
  <c r="O91" i="7"/>
  <c r="J108" i="7"/>
  <c r="L108" i="7" s="1"/>
  <c r="M108" i="7" s="1"/>
  <c r="L114" i="7"/>
  <c r="O130" i="7"/>
  <c r="G135" i="7"/>
  <c r="G139" i="7"/>
  <c r="J147" i="7"/>
  <c r="L147" i="7" s="1"/>
  <c r="J156" i="7"/>
  <c r="L156" i="7" s="1"/>
  <c r="M156" i="7" s="1"/>
  <c r="M157" i="7"/>
  <c r="M164" i="7"/>
  <c r="E183" i="7"/>
  <c r="E215" i="7"/>
  <c r="H72" i="4"/>
  <c r="M45" i="7"/>
  <c r="L68" i="7"/>
  <c r="M68" i="7" s="1"/>
  <c r="M92" i="7"/>
  <c r="M97" i="7"/>
  <c r="G151" i="7"/>
  <c r="M155" i="7"/>
  <c r="M158" i="7"/>
  <c r="L159" i="7"/>
  <c r="J167" i="7"/>
  <c r="L167" i="7" s="1"/>
  <c r="H12" i="4"/>
  <c r="H153" i="4"/>
  <c r="M14" i="7"/>
  <c r="L14" i="7"/>
  <c r="I15" i="7"/>
  <c r="J10" i="7"/>
  <c r="L10" i="7" s="1"/>
  <c r="M10" i="7" s="1"/>
  <c r="O10" i="7"/>
  <c r="G16" i="7"/>
  <c r="O14" i="7"/>
  <c r="J36" i="7"/>
  <c r="L36" i="7" s="1"/>
  <c r="L39" i="7"/>
  <c r="M39" i="7" s="1"/>
  <c r="G76" i="7"/>
  <c r="G85" i="7"/>
  <c r="I85" i="7"/>
  <c r="J93" i="7"/>
  <c r="G93" i="7"/>
  <c r="M9" i="7"/>
  <c r="J23" i="7"/>
  <c r="L80" i="7"/>
  <c r="M80" i="7" s="1"/>
  <c r="G100" i="7"/>
  <c r="M131" i="7"/>
  <c r="J135" i="7"/>
  <c r="L135" i="7" s="1"/>
  <c r="M135" i="7" s="1"/>
  <c r="O135" i="7"/>
  <c r="J140" i="7"/>
  <c r="L140" i="7" s="1"/>
  <c r="M140" i="7" s="1"/>
  <c r="O140" i="7"/>
  <c r="O9" i="7"/>
  <c r="J19" i="7"/>
  <c r="L19" i="7" s="1"/>
  <c r="M19" i="7" s="1"/>
  <c r="G32" i="7"/>
  <c r="O39" i="7"/>
  <c r="O41" i="7"/>
  <c r="M46" i="7"/>
  <c r="E176" i="7"/>
  <c r="E210" i="7"/>
  <c r="E49" i="7"/>
  <c r="M55" i="7"/>
  <c r="G62" i="7"/>
  <c r="J66" i="7"/>
  <c r="M73" i="7"/>
  <c r="L84" i="7"/>
  <c r="M84" i="7" s="1"/>
  <c r="L145" i="7"/>
  <c r="J148" i="7"/>
  <c r="L148" i="7" s="1"/>
  <c r="M148" i="7" s="1"/>
  <c r="O148" i="7"/>
  <c r="J149" i="7"/>
  <c r="L149" i="7" s="1"/>
  <c r="J165" i="7"/>
  <c r="L165" i="7" s="1"/>
  <c r="O23" i="7"/>
  <c r="O60" i="7"/>
  <c r="J60" i="7"/>
  <c r="J103" i="7"/>
  <c r="O103" i="7"/>
  <c r="I109" i="7"/>
  <c r="G109" i="7"/>
  <c r="G111" i="7" s="1"/>
  <c r="G116" i="7"/>
  <c r="J116" i="7"/>
  <c r="I137" i="7"/>
  <c r="G137" i="7"/>
  <c r="J146" i="7"/>
  <c r="L146" i="7" s="1"/>
  <c r="M146" i="7" s="1"/>
  <c r="O146" i="7"/>
  <c r="M161" i="7"/>
  <c r="J29" i="7"/>
  <c r="G59" i="7"/>
  <c r="I59" i="7"/>
  <c r="G60" i="7"/>
  <c r="E217" i="7"/>
  <c r="E181" i="7"/>
  <c r="G26" i="7"/>
  <c r="O25" i="7"/>
  <c r="O29" i="7"/>
  <c r="M40" i="7"/>
  <c r="L53" i="7"/>
  <c r="M53" i="7" s="1"/>
  <c r="J115" i="7"/>
  <c r="O115" i="7"/>
  <c r="J136" i="7"/>
  <c r="L136" i="7" s="1"/>
  <c r="M136" i="7" s="1"/>
  <c r="O136" i="7"/>
  <c r="J139" i="7"/>
  <c r="L139" i="7" s="1"/>
  <c r="M139" i="7" s="1"/>
  <c r="O139" i="7"/>
  <c r="M150" i="7"/>
  <c r="M159" i="7"/>
  <c r="L168" i="7"/>
  <c r="M166" i="7"/>
  <c r="M114" i="7"/>
  <c r="G127" i="7"/>
  <c r="J138" i="7"/>
  <c r="L138" i="7" s="1"/>
  <c r="M138" i="7" s="1"/>
  <c r="O138" i="7"/>
  <c r="M147" i="7"/>
  <c r="M149" i="7"/>
  <c r="J161" i="7"/>
  <c r="L154" i="7"/>
  <c r="L161" i="7" s="1"/>
  <c r="M165" i="7"/>
  <c r="M167" i="7"/>
  <c r="G168" i="7"/>
  <c r="E178" i="7"/>
  <c r="O53" i="7"/>
  <c r="J86" i="7"/>
  <c r="L86" i="7" s="1"/>
  <c r="M86" i="7" s="1"/>
  <c r="O86" i="7"/>
  <c r="L91" i="7"/>
  <c r="M91" i="7" s="1"/>
  <c r="L98" i="7"/>
  <c r="M98" i="7" s="1"/>
  <c r="J100" i="7"/>
  <c r="M120" i="7"/>
  <c r="M122" i="7"/>
  <c r="M124" i="7"/>
  <c r="L130" i="7"/>
  <c r="M130" i="7" s="1"/>
  <c r="E203" i="7"/>
  <c r="O121" i="7"/>
  <c r="O123" i="7"/>
  <c r="O125" i="7"/>
  <c r="M145" i="7"/>
  <c r="O150" i="7"/>
  <c r="O155" i="7"/>
  <c r="O157" i="7"/>
  <c r="O159" i="7"/>
  <c r="O164" i="7"/>
  <c r="O166" i="7"/>
  <c r="E180" i="7"/>
  <c r="E187" i="7" s="1"/>
  <c r="L116" i="7" l="1"/>
  <c r="L93" i="7"/>
  <c r="L11" i="7"/>
  <c r="M11" i="7" s="1"/>
  <c r="L60" i="7"/>
  <c r="E220" i="7"/>
  <c r="J11" i="7"/>
  <c r="I54" i="7"/>
  <c r="O59" i="7"/>
  <c r="I58" i="7"/>
  <c r="O58" i="7" s="1"/>
  <c r="J59" i="7"/>
  <c r="L59" i="7" s="1"/>
  <c r="M59" i="7" s="1"/>
  <c r="O137" i="7"/>
  <c r="J137" i="7"/>
  <c r="L137" i="7" s="1"/>
  <c r="G181" i="7"/>
  <c r="G180" i="7"/>
  <c r="L66" i="7"/>
  <c r="M66" i="7" s="1"/>
  <c r="J76" i="7"/>
  <c r="G173" i="7"/>
  <c r="M168" i="7"/>
  <c r="G184" i="7"/>
  <c r="M154" i="7"/>
  <c r="L115" i="7"/>
  <c r="J127" i="7"/>
  <c r="M116" i="7"/>
  <c r="L103" i="7"/>
  <c r="M103" i="7" s="1"/>
  <c r="J168" i="7"/>
  <c r="J151" i="7"/>
  <c r="J184" i="7" s="1"/>
  <c r="L184" i="7" s="1"/>
  <c r="L62" i="7"/>
  <c r="M62" i="7"/>
  <c r="G175" i="7"/>
  <c r="L23" i="7"/>
  <c r="M23" i="7" s="1"/>
  <c r="J26" i="7"/>
  <c r="M93" i="7"/>
  <c r="G178" i="7"/>
  <c r="O109" i="7"/>
  <c r="J109" i="7"/>
  <c r="L109" i="7" s="1"/>
  <c r="M109" i="7" s="1"/>
  <c r="G49" i="7"/>
  <c r="J49" i="7"/>
  <c r="J85" i="7"/>
  <c r="O85" i="7"/>
  <c r="G182" i="7"/>
  <c r="J142" i="7"/>
  <c r="L100" i="7"/>
  <c r="Q94" i="7" s="1"/>
  <c r="J180" i="7"/>
  <c r="L180" i="7" s="1"/>
  <c r="G174" i="7"/>
  <c r="M60" i="7"/>
  <c r="J32" i="7"/>
  <c r="L29" i="7"/>
  <c r="M29" i="7" s="1"/>
  <c r="M137" i="7"/>
  <c r="G63" i="7"/>
  <c r="L151" i="7"/>
  <c r="G142" i="7"/>
  <c r="G88" i="7"/>
  <c r="O15" i="7"/>
  <c r="J15" i="7"/>
  <c r="J111" i="7" l="1"/>
  <c r="L15" i="7"/>
  <c r="M15" i="7" s="1"/>
  <c r="J16" i="7"/>
  <c r="L49" i="7"/>
  <c r="M49" i="7" s="1"/>
  <c r="J50" i="7"/>
  <c r="L111" i="7"/>
  <c r="J181" i="7"/>
  <c r="L181" i="7" s="1"/>
  <c r="M181" i="7" s="1"/>
  <c r="G177" i="7"/>
  <c r="G50" i="7"/>
  <c r="M184" i="7"/>
  <c r="G179" i="7"/>
  <c r="J182" i="7"/>
  <c r="L182" i="7" s="1"/>
  <c r="M182" i="7" s="1"/>
  <c r="L127" i="7"/>
  <c r="J178" i="7"/>
  <c r="L178" i="7" s="1"/>
  <c r="L76" i="7"/>
  <c r="M100" i="7"/>
  <c r="Q148" i="7"/>
  <c r="M151" i="7"/>
  <c r="M178" i="7"/>
  <c r="J175" i="7"/>
  <c r="L175" i="7" s="1"/>
  <c r="M175" i="7" s="1"/>
  <c r="L32" i="7"/>
  <c r="G183" i="7"/>
  <c r="M142" i="7"/>
  <c r="J183" i="7"/>
  <c r="L183" i="7" s="1"/>
  <c r="L142" i="7"/>
  <c r="Q133" i="7" s="1"/>
  <c r="L85" i="7"/>
  <c r="M85" i="7" s="1"/>
  <c r="J88" i="7"/>
  <c r="J174" i="7"/>
  <c r="L174" i="7" s="1"/>
  <c r="M174" i="7" s="1"/>
  <c r="L26" i="7"/>
  <c r="M180" i="7"/>
  <c r="O54" i="7"/>
  <c r="J54" i="7"/>
  <c r="L54" i="7" l="1"/>
  <c r="M54" i="7" s="1"/>
  <c r="J63" i="7"/>
  <c r="Q117" i="7"/>
  <c r="M127" i="7"/>
  <c r="J179" i="7"/>
  <c r="L179" i="7" s="1"/>
  <c r="L88" i="7"/>
  <c r="M183" i="7"/>
  <c r="Q69" i="7"/>
  <c r="M76" i="7"/>
  <c r="G176" i="7"/>
  <c r="M50" i="7"/>
  <c r="Q106" i="7"/>
  <c r="M111" i="7"/>
  <c r="L16" i="7"/>
  <c r="J173" i="7"/>
  <c r="Q24" i="7"/>
  <c r="M26" i="7"/>
  <c r="Q33" i="7"/>
  <c r="M32" i="7"/>
  <c r="M179" i="7"/>
  <c r="J176" i="7"/>
  <c r="L50" i="7"/>
  <c r="Q42" i="7" s="1"/>
  <c r="L173" i="7" l="1"/>
  <c r="M173" i="7" s="1"/>
  <c r="Q12" i="7"/>
  <c r="M16" i="7"/>
  <c r="G187" i="7"/>
  <c r="Q82" i="7"/>
  <c r="M88" i="7"/>
  <c r="L176" i="7"/>
  <c r="M176" i="7" s="1"/>
  <c r="J177" i="7"/>
  <c r="L177" i="7" s="1"/>
  <c r="M177" i="7" s="1"/>
  <c r="L63" i="7"/>
  <c r="Q56" i="7" l="1"/>
  <c r="M63" i="7"/>
  <c r="J187" i="7"/>
  <c r="L187" i="7" s="1"/>
  <c r="M187" i="7" s="1"/>
  <c r="H18" i="4" l="1"/>
  <c r="Q18" i="4" s="1"/>
  <c r="H54" i="3"/>
  <c r="H14" i="3"/>
  <c r="H13" i="3"/>
  <c r="K22" i="1" l="1"/>
  <c r="R15" i="1" l="1"/>
  <c r="R16" i="1"/>
  <c r="R17" i="1"/>
  <c r="R18" i="1"/>
  <c r="R20" i="1"/>
  <c r="R19" i="1"/>
  <c r="R13" i="1"/>
  <c r="R14" i="1"/>
  <c r="R21" i="1" l="1"/>
  <c r="R24" i="1" s="1"/>
  <c r="D21" i="1"/>
  <c r="D24" i="1" s="1"/>
  <c r="H145" i="4"/>
  <c r="H144" i="4"/>
  <c r="H84" i="4"/>
  <c r="H83" i="4"/>
  <c r="H25" i="4"/>
  <c r="Q12" i="4"/>
  <c r="H61" i="3" l="1"/>
  <c r="H60" i="3"/>
  <c r="Q56" i="3"/>
  <c r="Q49" i="3"/>
  <c r="H17" i="3"/>
  <c r="Q14" i="3"/>
  <c r="H39" i="2" l="1"/>
  <c r="H16" i="2" l="1"/>
  <c r="H13" i="2"/>
  <c r="D39" i="2"/>
  <c r="D48" i="2" l="1"/>
  <c r="F21" i="1" l="1"/>
  <c r="D52" i="2"/>
  <c r="B5" i="5"/>
  <c r="B5" i="4"/>
  <c r="B5" i="3"/>
  <c r="B5" i="2"/>
  <c r="B3" i="2"/>
  <c r="H28" i="5" l="1"/>
  <c r="N28" i="5" s="1"/>
  <c r="F28" i="5"/>
  <c r="H27" i="5"/>
  <c r="F27" i="5"/>
  <c r="H26" i="5"/>
  <c r="F26" i="5"/>
  <c r="H24" i="5"/>
  <c r="F24" i="5"/>
  <c r="H23" i="5"/>
  <c r="N23" i="5" s="1"/>
  <c r="F23" i="5"/>
  <c r="H22" i="5"/>
  <c r="F22" i="5"/>
  <c r="H20" i="5"/>
  <c r="N20" i="5" s="1"/>
  <c r="H19" i="5"/>
  <c r="N19" i="5" s="1"/>
  <c r="F19" i="5"/>
  <c r="H18" i="5"/>
  <c r="N18" i="5" s="1"/>
  <c r="F18" i="5"/>
  <c r="H16" i="5"/>
  <c r="N16" i="5" s="1"/>
  <c r="F16" i="5"/>
  <c r="H15" i="5"/>
  <c r="N15" i="5" s="1"/>
  <c r="F15" i="5"/>
  <c r="H14" i="5"/>
  <c r="F14" i="5"/>
  <c r="H12" i="5"/>
  <c r="B3" i="5"/>
  <c r="D217" i="4"/>
  <c r="D183" i="4"/>
  <c r="D181" i="4"/>
  <c r="D179" i="4"/>
  <c r="F163" i="4"/>
  <c r="F162" i="4"/>
  <c r="F160" i="4"/>
  <c r="F159" i="4"/>
  <c r="F158" i="4"/>
  <c r="F154" i="4"/>
  <c r="F153" i="4"/>
  <c r="D145" i="4"/>
  <c r="H139" i="4"/>
  <c r="I139" i="4" s="1"/>
  <c r="F139" i="4"/>
  <c r="H138" i="4"/>
  <c r="F138" i="4"/>
  <c r="F137" i="4"/>
  <c r="H137" i="4"/>
  <c r="H136" i="4"/>
  <c r="Q136" i="4" s="1"/>
  <c r="H135" i="4"/>
  <c r="D178" i="4"/>
  <c r="I132" i="4"/>
  <c r="K132" i="4" s="1"/>
  <c r="Q131" i="4"/>
  <c r="H154" i="4"/>
  <c r="Q154" i="4" s="1"/>
  <c r="F130" i="4"/>
  <c r="I130" i="4"/>
  <c r="Q129" i="4"/>
  <c r="F98" i="4"/>
  <c r="I94" i="4"/>
  <c r="K94" i="4" s="1"/>
  <c r="F93" i="4"/>
  <c r="Q92" i="4"/>
  <c r="D84" i="4"/>
  <c r="I84" i="4" s="1"/>
  <c r="H79" i="4"/>
  <c r="I79" i="4" s="1"/>
  <c r="H78" i="4"/>
  <c r="Q78" i="4" s="1"/>
  <c r="D113" i="4"/>
  <c r="F110" i="4"/>
  <c r="Q74" i="4"/>
  <c r="H93" i="4"/>
  <c r="Q93" i="4" s="1"/>
  <c r="F73" i="4"/>
  <c r="D108" i="4"/>
  <c r="D119" i="4" s="1"/>
  <c r="F41" i="4"/>
  <c r="F40" i="4"/>
  <c r="I35" i="4"/>
  <c r="K35" i="4" s="1"/>
  <c r="F34" i="4"/>
  <c r="F33" i="4"/>
  <c r="Q33" i="4"/>
  <c r="H19" i="4"/>
  <c r="F19" i="4"/>
  <c r="F18" i="4"/>
  <c r="I15" i="4"/>
  <c r="F53" i="4"/>
  <c r="F13" i="4"/>
  <c r="I13" i="4"/>
  <c r="F12" i="4"/>
  <c r="B3" i="4"/>
  <c r="F75" i="3"/>
  <c r="D77" i="3"/>
  <c r="D81" i="3" s="1"/>
  <c r="I81" i="3" s="1"/>
  <c r="F71" i="3"/>
  <c r="D70" i="3"/>
  <c r="Q69" i="3"/>
  <c r="F69" i="3"/>
  <c r="Q54" i="3"/>
  <c r="H53" i="3"/>
  <c r="F53" i="3"/>
  <c r="F93" i="3" s="1"/>
  <c r="Q71" i="3"/>
  <c r="I49" i="3"/>
  <c r="Q47" i="3"/>
  <c r="D36" i="3"/>
  <c r="D122" i="3" s="1"/>
  <c r="D29" i="3"/>
  <c r="D26" i="3"/>
  <c r="F26" i="3" s="1"/>
  <c r="F25" i="3"/>
  <c r="Q24" i="3"/>
  <c r="D17" i="3"/>
  <c r="F17" i="3" s="1"/>
  <c r="D14" i="3"/>
  <c r="H25" i="3"/>
  <c r="Q25" i="3" s="1"/>
  <c r="F12" i="3"/>
  <c r="Q12" i="3"/>
  <c r="B3" i="3"/>
  <c r="H35" i="2"/>
  <c r="Q35" i="2" s="1"/>
  <c r="F24" i="2"/>
  <c r="H23" i="2"/>
  <c r="I23" i="2" s="1"/>
  <c r="F23" i="2"/>
  <c r="H24" i="2"/>
  <c r="F13" i="2"/>
  <c r="Q12" i="2"/>
  <c r="I12" i="2"/>
  <c r="F12" i="2"/>
  <c r="F24" i="1"/>
  <c r="I19" i="4" l="1"/>
  <c r="Q19" i="4"/>
  <c r="I53" i="4"/>
  <c r="K53" i="4" s="1"/>
  <c r="Q53" i="3"/>
  <c r="H48" i="3"/>
  <c r="Q48" i="3" s="1"/>
  <c r="Q153" i="4"/>
  <c r="I16" i="5"/>
  <c r="J16" i="5" s="1"/>
  <c r="I136" i="4"/>
  <c r="I18" i="5"/>
  <c r="J18" i="5" s="1"/>
  <c r="I22" i="5"/>
  <c r="J22" i="5" s="1"/>
  <c r="N22" i="5"/>
  <c r="I24" i="5"/>
  <c r="J24" i="5" s="1"/>
  <c r="N24" i="5"/>
  <c r="I27" i="5"/>
  <c r="J27" i="5" s="1"/>
  <c r="N27" i="5"/>
  <c r="I12" i="5"/>
  <c r="N12" i="5"/>
  <c r="I26" i="5"/>
  <c r="J26" i="5" s="1"/>
  <c r="N26" i="5"/>
  <c r="I14" i="5"/>
  <c r="J14" i="5" s="1"/>
  <c r="N14" i="5"/>
  <c r="F14" i="3"/>
  <c r="F37" i="3" s="1"/>
  <c r="D37" i="3"/>
  <c r="K139" i="4"/>
  <c r="K15" i="4"/>
  <c r="F84" i="4"/>
  <c r="F119" i="4" s="1"/>
  <c r="F51" i="4"/>
  <c r="I17" i="3"/>
  <c r="K17" i="3" s="1"/>
  <c r="L17" i="3" s="1"/>
  <c r="F25" i="2"/>
  <c r="Q23" i="2"/>
  <c r="Q13" i="2"/>
  <c r="F14" i="2"/>
  <c r="I39" i="2"/>
  <c r="I12" i="4"/>
  <c r="K12" i="4" s="1"/>
  <c r="I12" i="3"/>
  <c r="I26" i="3"/>
  <c r="K26" i="3" s="1"/>
  <c r="I24" i="3"/>
  <c r="I14" i="3"/>
  <c r="D78" i="3"/>
  <c r="Q24" i="2"/>
  <c r="I24" i="2"/>
  <c r="K12" i="2"/>
  <c r="F54" i="3"/>
  <c r="I54" i="3"/>
  <c r="F20" i="5"/>
  <c r="I20" i="5"/>
  <c r="D27" i="2"/>
  <c r="F27" i="2" s="1"/>
  <c r="F35" i="2"/>
  <c r="I13" i="3"/>
  <c r="Q13" i="3"/>
  <c r="D40" i="3"/>
  <c r="F70" i="3"/>
  <c r="H39" i="4"/>
  <c r="Q39" i="4" s="1"/>
  <c r="D48" i="3"/>
  <c r="F47" i="3"/>
  <c r="F87" i="3" s="1"/>
  <c r="I47" i="3"/>
  <c r="I102" i="3"/>
  <c r="K23" i="2"/>
  <c r="H27" i="2"/>
  <c r="D35" i="3"/>
  <c r="F24" i="3"/>
  <c r="F27" i="3" s="1"/>
  <c r="I25" i="3"/>
  <c r="K25" i="3" s="1"/>
  <c r="Q14" i="4"/>
  <c r="D93" i="3"/>
  <c r="I35" i="2"/>
  <c r="F39" i="2"/>
  <c r="F13" i="3"/>
  <c r="F36" i="3" s="1"/>
  <c r="I53" i="3"/>
  <c r="K53" i="3" s="1"/>
  <c r="D94" i="3"/>
  <c r="K13" i="4"/>
  <c r="D56" i="4"/>
  <c r="F39" i="4"/>
  <c r="F56" i="4" s="1"/>
  <c r="D42" i="4"/>
  <c r="D44" i="4" s="1"/>
  <c r="I13" i="2"/>
  <c r="K13" i="2" s="1"/>
  <c r="L13" i="2" s="1"/>
  <c r="I29" i="3"/>
  <c r="F29" i="3"/>
  <c r="F112" i="3" s="1"/>
  <c r="D55" i="3"/>
  <c r="F50" i="4"/>
  <c r="F57" i="4"/>
  <c r="H20" i="4"/>
  <c r="F20" i="4"/>
  <c r="F58" i="4" s="1"/>
  <c r="Q72" i="4"/>
  <c r="I72" i="4"/>
  <c r="F92" i="4"/>
  <c r="I92" i="4"/>
  <c r="F145" i="4"/>
  <c r="F188" i="4" s="1"/>
  <c r="I145" i="4"/>
  <c r="D16" i="2"/>
  <c r="F16" i="2" s="1"/>
  <c r="F49" i="3"/>
  <c r="K49" i="3" s="1"/>
  <c r="H52" i="3"/>
  <c r="H75" i="3"/>
  <c r="Q75" i="3" s="1"/>
  <c r="I71" i="3"/>
  <c r="H76" i="3"/>
  <c r="Q76" i="3" s="1"/>
  <c r="Q13" i="4"/>
  <c r="H40" i="4"/>
  <c r="Q40" i="4" s="1"/>
  <c r="F81" i="3"/>
  <c r="F102" i="3" s="1"/>
  <c r="K19" i="4"/>
  <c r="F108" i="4"/>
  <c r="F129" i="4"/>
  <c r="I129" i="4"/>
  <c r="I69" i="3"/>
  <c r="I18" i="4"/>
  <c r="D25" i="4"/>
  <c r="D50" i="4"/>
  <c r="H34" i="4"/>
  <c r="Q34" i="4" s="1"/>
  <c r="D61" i="3"/>
  <c r="F61" i="3" s="1"/>
  <c r="F101" i="3" s="1"/>
  <c r="D87" i="3"/>
  <c r="D88" i="3" s="1"/>
  <c r="D89" i="3"/>
  <c r="D92" i="3"/>
  <c r="D21" i="4"/>
  <c r="D14" i="4" s="1"/>
  <c r="D58" i="4"/>
  <c r="D114" i="4"/>
  <c r="F79" i="4"/>
  <c r="F114" i="4" s="1"/>
  <c r="I119" i="4"/>
  <c r="H97" i="4"/>
  <c r="Q97" i="4" s="1"/>
  <c r="F76" i="3"/>
  <c r="D57" i="4"/>
  <c r="F72" i="4"/>
  <c r="D107" i="4"/>
  <c r="D115" i="4"/>
  <c r="Q79" i="4"/>
  <c r="H98" i="4"/>
  <c r="I93" i="4"/>
  <c r="K93" i="4" s="1"/>
  <c r="H160" i="4"/>
  <c r="Q137" i="4"/>
  <c r="H21" i="5"/>
  <c r="F21" i="5"/>
  <c r="I33" i="4"/>
  <c r="D51" i="4"/>
  <c r="I73" i="4"/>
  <c r="I75" i="4"/>
  <c r="F78" i="4"/>
  <c r="D80" i="4"/>
  <c r="F97" i="4"/>
  <c r="D99" i="4"/>
  <c r="D101" i="4" s="1"/>
  <c r="I101" i="4" s="1"/>
  <c r="Q130" i="4"/>
  <c r="I135" i="4"/>
  <c r="I137" i="4"/>
  <c r="K137" i="4" s="1"/>
  <c r="Q139" i="4"/>
  <c r="H162" i="4"/>
  <c r="F173" i="4"/>
  <c r="D164" i="4"/>
  <c r="D166" i="4" s="1"/>
  <c r="F166" i="4" s="1"/>
  <c r="D182" i="4"/>
  <c r="H13" i="5"/>
  <c r="F13" i="5"/>
  <c r="I78" i="4"/>
  <c r="F135" i="4"/>
  <c r="F178" i="4" s="1"/>
  <c r="D141" i="4"/>
  <c r="Q138" i="4"/>
  <c r="H161" i="4"/>
  <c r="H159" i="4"/>
  <c r="D180" i="4"/>
  <c r="Q73" i="4"/>
  <c r="K130" i="4"/>
  <c r="Q135" i="4"/>
  <c r="H158" i="4"/>
  <c r="H140" i="4"/>
  <c r="I140" i="4" s="1"/>
  <c r="F140" i="4"/>
  <c r="F183" i="4" s="1"/>
  <c r="D172" i="4"/>
  <c r="F175" i="4"/>
  <c r="I155" i="4"/>
  <c r="I175" i="4" s="1"/>
  <c r="F180" i="4"/>
  <c r="F182" i="4"/>
  <c r="F12" i="5"/>
  <c r="D29" i="5"/>
  <c r="D31" i="5" s="1"/>
  <c r="H17" i="5"/>
  <c r="F17" i="5"/>
  <c r="H25" i="5"/>
  <c r="F25" i="5"/>
  <c r="F136" i="4"/>
  <c r="F179" i="4" s="1"/>
  <c r="I138" i="4"/>
  <c r="K138" i="4" s="1"/>
  <c r="I154" i="4"/>
  <c r="F161" i="4"/>
  <c r="F181" i="4" s="1"/>
  <c r="I15" i="5"/>
  <c r="J15" i="5" s="1"/>
  <c r="I19" i="5"/>
  <c r="J19" i="5" s="1"/>
  <c r="I23" i="5"/>
  <c r="J23" i="5" s="1"/>
  <c r="I28" i="5"/>
  <c r="J28" i="5" s="1"/>
  <c r="I153" i="4"/>
  <c r="D173" i="4"/>
  <c r="I36" i="3" l="1"/>
  <c r="K36" i="3" s="1"/>
  <c r="F89" i="3"/>
  <c r="Q159" i="4"/>
  <c r="Q161" i="4"/>
  <c r="Q158" i="4"/>
  <c r="Q162" i="4"/>
  <c r="I78" i="3"/>
  <c r="K119" i="4"/>
  <c r="I159" i="4"/>
  <c r="I179" i="4" s="1"/>
  <c r="K179" i="4" s="1"/>
  <c r="K12" i="3"/>
  <c r="I15" i="3"/>
  <c r="I19" i="3" s="1"/>
  <c r="I27" i="3"/>
  <c r="H163" i="4"/>
  <c r="Q140" i="4"/>
  <c r="H74" i="3"/>
  <c r="Q74" i="3" s="1"/>
  <c r="Q52" i="3"/>
  <c r="I17" i="5"/>
  <c r="J17" i="5" s="1"/>
  <c r="N17" i="5"/>
  <c r="I13" i="5"/>
  <c r="J13" i="5" s="1"/>
  <c r="N13" i="5"/>
  <c r="I25" i="5"/>
  <c r="J25" i="5" s="1"/>
  <c r="N25" i="5"/>
  <c r="I21" i="5"/>
  <c r="J21" i="5" s="1"/>
  <c r="N21" i="5"/>
  <c r="K14" i="3"/>
  <c r="I37" i="3"/>
  <c r="K37" i="3" s="1"/>
  <c r="D184" i="4"/>
  <c r="D212" i="4" s="1"/>
  <c r="K84" i="4"/>
  <c r="K140" i="4"/>
  <c r="I112" i="3"/>
  <c r="K112" i="3" s="1"/>
  <c r="F29" i="5"/>
  <c r="K39" i="2"/>
  <c r="L39" i="2" s="1"/>
  <c r="F164" i="4"/>
  <c r="F167" i="4" s="1"/>
  <c r="K136" i="4"/>
  <c r="I161" i="4"/>
  <c r="K161" i="4" s="1"/>
  <c r="F78" i="3"/>
  <c r="I35" i="3"/>
  <c r="K54" i="3"/>
  <c r="F94" i="3"/>
  <c r="I61" i="3"/>
  <c r="K61" i="3" s="1"/>
  <c r="K101" i="3" s="1"/>
  <c r="I27" i="2"/>
  <c r="K27" i="2" s="1"/>
  <c r="L27" i="2" s="1"/>
  <c r="F29" i="2"/>
  <c r="F189" i="4"/>
  <c r="I158" i="4"/>
  <c r="K75" i="4"/>
  <c r="I110" i="4"/>
  <c r="K110" i="4" s="1"/>
  <c r="K92" i="4"/>
  <c r="K24" i="3"/>
  <c r="K27" i="3" s="1"/>
  <c r="F15" i="3"/>
  <c r="K153" i="4"/>
  <c r="I172" i="4"/>
  <c r="K154" i="4"/>
  <c r="I173" i="4"/>
  <c r="K173" i="4" s="1"/>
  <c r="K78" i="4"/>
  <c r="I108" i="4"/>
  <c r="K108" i="4" s="1"/>
  <c r="K73" i="4"/>
  <c r="F101" i="4"/>
  <c r="K101" i="4" s="1"/>
  <c r="D211" i="4"/>
  <c r="D118" i="4"/>
  <c r="D120" i="4" s="1"/>
  <c r="F42" i="4"/>
  <c r="F172" i="4"/>
  <c r="I34" i="4"/>
  <c r="K18" i="4"/>
  <c r="I97" i="4"/>
  <c r="K97" i="4" s="1"/>
  <c r="I75" i="3"/>
  <c r="F46" i="2"/>
  <c r="F99" i="4"/>
  <c r="H41" i="4"/>
  <c r="Q20" i="4"/>
  <c r="D56" i="3"/>
  <c r="D96" i="3" s="1"/>
  <c r="D60" i="3"/>
  <c r="D59" i="4"/>
  <c r="D210" i="4" s="1"/>
  <c r="F18" i="2"/>
  <c r="F35" i="3"/>
  <c r="F38" i="3" s="1"/>
  <c r="K47" i="3"/>
  <c r="I16" i="2"/>
  <c r="J20" i="5"/>
  <c r="I14" i="2"/>
  <c r="K33" i="4"/>
  <c r="L12" i="2"/>
  <c r="K14" i="2"/>
  <c r="D189" i="4"/>
  <c r="I166" i="4"/>
  <c r="K135" i="4"/>
  <c r="I74" i="4"/>
  <c r="D74" i="4"/>
  <c r="D83" i="4"/>
  <c r="D24" i="4"/>
  <c r="K69" i="3"/>
  <c r="I87" i="3"/>
  <c r="K79" i="4"/>
  <c r="H70" i="3"/>
  <c r="Q70" i="3" s="1"/>
  <c r="I188" i="4"/>
  <c r="K188" i="4" s="1"/>
  <c r="K145" i="4"/>
  <c r="I107" i="4"/>
  <c r="K72" i="4"/>
  <c r="F30" i="3"/>
  <c r="I39" i="4"/>
  <c r="K39" i="4" s="1"/>
  <c r="K81" i="3"/>
  <c r="K102" i="3" s="1"/>
  <c r="F40" i="3"/>
  <c r="I20" i="4"/>
  <c r="K13" i="3"/>
  <c r="K24" i="2"/>
  <c r="K25" i="2" s="1"/>
  <c r="I25" i="2"/>
  <c r="I120" i="4"/>
  <c r="Q160" i="4"/>
  <c r="I160" i="4"/>
  <c r="D63" i="4"/>
  <c r="F25" i="4"/>
  <c r="F63" i="4" s="1"/>
  <c r="I25" i="4"/>
  <c r="I89" i="3"/>
  <c r="K71" i="3"/>
  <c r="K89" i="3" s="1"/>
  <c r="I41" i="2"/>
  <c r="K35" i="2"/>
  <c r="K175" i="4"/>
  <c r="D144" i="4"/>
  <c r="D131" i="4"/>
  <c r="F113" i="4"/>
  <c r="I40" i="4"/>
  <c r="Q98" i="4"/>
  <c r="I98" i="4"/>
  <c r="F107" i="4"/>
  <c r="I162" i="4"/>
  <c r="D95" i="3"/>
  <c r="J12" i="5"/>
  <c r="K129" i="4"/>
  <c r="I50" i="4"/>
  <c r="I76" i="3"/>
  <c r="K29" i="3"/>
  <c r="I44" i="4"/>
  <c r="D64" i="4"/>
  <c r="F44" i="4"/>
  <c r="I40" i="3"/>
  <c r="I48" i="3"/>
  <c r="F48" i="3"/>
  <c r="F88" i="3" s="1"/>
  <c r="F41" i="2"/>
  <c r="F47" i="2"/>
  <c r="K159" i="4" l="1"/>
  <c r="I29" i="5"/>
  <c r="I181" i="4"/>
  <c r="K181" i="4" s="1"/>
  <c r="K15" i="3"/>
  <c r="I38" i="3"/>
  <c r="I41" i="3" s="1"/>
  <c r="I117" i="3"/>
  <c r="Q14" i="1" s="1"/>
  <c r="I47" i="2"/>
  <c r="Q13" i="1" s="1"/>
  <c r="Q163" i="4"/>
  <c r="I163" i="4"/>
  <c r="I164" i="4" s="1"/>
  <c r="I167" i="4" s="1"/>
  <c r="F41" i="3"/>
  <c r="I113" i="4"/>
  <c r="K113" i="4" s="1"/>
  <c r="K78" i="3"/>
  <c r="K96" i="3" s="1"/>
  <c r="F79" i="3"/>
  <c r="F82" i="3" s="1"/>
  <c r="F48" i="2"/>
  <c r="I29" i="2"/>
  <c r="D213" i="4"/>
  <c r="D223" i="4" s="1"/>
  <c r="I101" i="3"/>
  <c r="K48" i="3"/>
  <c r="I30" i="3"/>
  <c r="K98" i="4"/>
  <c r="K99" i="4" s="1"/>
  <c r="I114" i="4"/>
  <c r="K114" i="4" s="1"/>
  <c r="I131" i="4"/>
  <c r="I141" i="4" s="1"/>
  <c r="F131" i="4"/>
  <c r="K41" i="2"/>
  <c r="L41" i="2" s="1"/>
  <c r="L35" i="2"/>
  <c r="K34" i="4"/>
  <c r="I51" i="4"/>
  <c r="K51" i="4" s="1"/>
  <c r="K40" i="3"/>
  <c r="L40" i="3" s="1"/>
  <c r="K162" i="4"/>
  <c r="I182" i="4"/>
  <c r="K182" i="4" s="1"/>
  <c r="F144" i="4"/>
  <c r="I144" i="4"/>
  <c r="L25" i="2"/>
  <c r="K29" i="2"/>
  <c r="L29" i="2" s="1"/>
  <c r="D52" i="4"/>
  <c r="I14" i="4"/>
  <c r="F14" i="4"/>
  <c r="I109" i="4"/>
  <c r="L14" i="2"/>
  <c r="I18" i="2"/>
  <c r="I60" i="3"/>
  <c r="F60" i="3"/>
  <c r="F45" i="4"/>
  <c r="F64" i="4"/>
  <c r="K40" i="4"/>
  <c r="I57" i="4"/>
  <c r="K57" i="4" s="1"/>
  <c r="K20" i="4"/>
  <c r="I80" i="4"/>
  <c r="D62" i="4"/>
  <c r="I24" i="4"/>
  <c r="F24" i="4"/>
  <c r="K35" i="3"/>
  <c r="K38" i="3" s="1"/>
  <c r="I56" i="3"/>
  <c r="I57" i="3" s="1"/>
  <c r="F56" i="3"/>
  <c r="K172" i="4"/>
  <c r="K30" i="3"/>
  <c r="I99" i="4"/>
  <c r="I102" i="4" s="1"/>
  <c r="K158" i="4"/>
  <c r="I178" i="4"/>
  <c r="K178" i="4" s="1"/>
  <c r="K44" i="4"/>
  <c r="I64" i="4"/>
  <c r="K50" i="4"/>
  <c r="D123" i="3"/>
  <c r="D124" i="3" s="1"/>
  <c r="D128" i="3" s="1"/>
  <c r="D216" i="4"/>
  <c r="D219" i="4" s="1"/>
  <c r="D224" i="4" s="1"/>
  <c r="K25" i="4"/>
  <c r="I63" i="4"/>
  <c r="K63" i="4" s="1"/>
  <c r="F74" i="4"/>
  <c r="D109" i="4"/>
  <c r="Q41" i="4"/>
  <c r="I41" i="4"/>
  <c r="K75" i="3"/>
  <c r="K93" i="3" s="1"/>
  <c r="I93" i="3"/>
  <c r="K76" i="3"/>
  <c r="K94" i="3" s="1"/>
  <c r="I94" i="3"/>
  <c r="F120" i="4"/>
  <c r="K120" i="4" s="1"/>
  <c r="F102" i="4"/>
  <c r="F117" i="3"/>
  <c r="F19" i="3"/>
  <c r="J29" i="5"/>
  <c r="I180" i="4"/>
  <c r="K180" i="4" s="1"/>
  <c r="K160" i="4"/>
  <c r="K107" i="4"/>
  <c r="I70" i="3"/>
  <c r="I79" i="3" s="1"/>
  <c r="K87" i="3"/>
  <c r="F83" i="4"/>
  <c r="I83" i="4"/>
  <c r="I189" i="4"/>
  <c r="K189" i="4" s="1"/>
  <c r="K166" i="4"/>
  <c r="I46" i="2"/>
  <c r="K16" i="2"/>
  <c r="L16" i="2" s="1"/>
  <c r="I56" i="4"/>
  <c r="K56" i="4" s="1"/>
  <c r="K102" i="4" l="1"/>
  <c r="L15" i="3"/>
  <c r="S14" i="1"/>
  <c r="F57" i="3"/>
  <c r="F118" i="3" s="1"/>
  <c r="F119" i="3" s="1"/>
  <c r="F96" i="3"/>
  <c r="F97" i="3" s="1"/>
  <c r="K19" i="3"/>
  <c r="L19" i="3" s="1"/>
  <c r="K163" i="4"/>
  <c r="K164" i="4" s="1"/>
  <c r="I183" i="4"/>
  <c r="K183" i="4" s="1"/>
  <c r="I115" i="4"/>
  <c r="Q17" i="1" s="1"/>
  <c r="K64" i="4"/>
  <c r="I205" i="4"/>
  <c r="I122" i="3"/>
  <c r="F122" i="3"/>
  <c r="K46" i="2"/>
  <c r="I48" i="2"/>
  <c r="F109" i="4"/>
  <c r="F115" i="4" s="1"/>
  <c r="F80" i="4"/>
  <c r="F205" i="4" s="1"/>
  <c r="F52" i="4"/>
  <c r="F59" i="4" s="1"/>
  <c r="F21" i="4"/>
  <c r="F146" i="4"/>
  <c r="F200" i="4" s="1"/>
  <c r="F187" i="4"/>
  <c r="F190" i="4" s="1"/>
  <c r="I174" i="4"/>
  <c r="K131" i="4"/>
  <c r="I118" i="4"/>
  <c r="I85" i="4"/>
  <c r="K83" i="4"/>
  <c r="K85" i="4" s="1"/>
  <c r="K70" i="3"/>
  <c r="I88" i="3"/>
  <c r="I82" i="3"/>
  <c r="K41" i="4"/>
  <c r="K42" i="4" s="1"/>
  <c r="I42" i="4"/>
  <c r="I45" i="4" s="1"/>
  <c r="K56" i="3"/>
  <c r="K57" i="3" s="1"/>
  <c r="I96" i="3"/>
  <c r="F26" i="4"/>
  <c r="F198" i="4" s="1"/>
  <c r="F62" i="4"/>
  <c r="F65" i="4" s="1"/>
  <c r="K47" i="2"/>
  <c r="L47" i="2" s="1"/>
  <c r="I52" i="4"/>
  <c r="K14" i="4"/>
  <c r="K21" i="4" s="1"/>
  <c r="I21" i="4"/>
  <c r="F85" i="4"/>
  <c r="F118" i="4"/>
  <c r="F121" i="4" s="1"/>
  <c r="I62" i="4"/>
  <c r="I26" i="4"/>
  <c r="I198" i="4" s="1"/>
  <c r="K24" i="4"/>
  <c r="K26" i="4" s="1"/>
  <c r="F100" i="3"/>
  <c r="F103" i="3" s="1"/>
  <c r="F62" i="3"/>
  <c r="K74" i="4"/>
  <c r="K80" i="4" s="1"/>
  <c r="K117" i="3"/>
  <c r="I58" i="4"/>
  <c r="K58" i="4" s="1"/>
  <c r="I100" i="3"/>
  <c r="I103" i="3" s="1"/>
  <c r="I62" i="3"/>
  <c r="K60" i="3"/>
  <c r="K18" i="2"/>
  <c r="L18" i="2" s="1"/>
  <c r="I146" i="4"/>
  <c r="K144" i="4"/>
  <c r="I187" i="4"/>
  <c r="F174" i="4"/>
  <c r="F184" i="4" s="1"/>
  <c r="F141" i="4"/>
  <c r="K141" i="4" s="1"/>
  <c r="L164" i="4" l="1"/>
  <c r="L42" i="4"/>
  <c r="F105" i="3"/>
  <c r="S17" i="1"/>
  <c r="S13" i="1"/>
  <c r="K167" i="4"/>
  <c r="L167" i="4" s="1"/>
  <c r="F192" i="4"/>
  <c r="I59" i="4"/>
  <c r="F67" i="4"/>
  <c r="K109" i="4"/>
  <c r="K115" i="4" s="1"/>
  <c r="L115" i="4" s="1"/>
  <c r="K205" i="4"/>
  <c r="I97" i="3"/>
  <c r="I105" i="3" s="1"/>
  <c r="K122" i="3"/>
  <c r="L122" i="3" s="1"/>
  <c r="L117" i="3"/>
  <c r="I199" i="4"/>
  <c r="I87" i="4"/>
  <c r="K174" i="4"/>
  <c r="K184" i="4" s="1"/>
  <c r="I184" i="4"/>
  <c r="K187" i="4"/>
  <c r="K190" i="4" s="1"/>
  <c r="L190" i="4" s="1"/>
  <c r="I190" i="4"/>
  <c r="L26" i="4"/>
  <c r="F199" i="4"/>
  <c r="F211" i="4" s="1"/>
  <c r="F87" i="4"/>
  <c r="I204" i="4"/>
  <c r="I210" i="4" s="1"/>
  <c r="I28" i="4"/>
  <c r="Q16" i="1"/>
  <c r="K100" i="3"/>
  <c r="K103" i="3" s="1"/>
  <c r="L103" i="3" s="1"/>
  <c r="K62" i="3"/>
  <c r="K41" i="3"/>
  <c r="L41" i="3" s="1"/>
  <c r="L38" i="3"/>
  <c r="K198" i="4"/>
  <c r="L21" i="4"/>
  <c r="K28" i="4"/>
  <c r="L57" i="3"/>
  <c r="K88" i="3"/>
  <c r="K97" i="3" s="1"/>
  <c r="K79" i="3"/>
  <c r="I148" i="4"/>
  <c r="I206" i="4"/>
  <c r="Q18" i="1"/>
  <c r="F123" i="4"/>
  <c r="L80" i="4"/>
  <c r="I121" i="4"/>
  <c r="I123" i="4" s="1"/>
  <c r="K118" i="4"/>
  <c r="K121" i="4" s="1"/>
  <c r="L121" i="4" s="1"/>
  <c r="I118" i="3"/>
  <c r="K48" i="2"/>
  <c r="L48" i="2" s="1"/>
  <c r="F148" i="4"/>
  <c r="F206" i="4"/>
  <c r="F212" i="4" s="1"/>
  <c r="I200" i="4"/>
  <c r="K146" i="4"/>
  <c r="L146" i="4" s="1"/>
  <c r="I113" i="3"/>
  <c r="I64" i="3"/>
  <c r="K45" i="4"/>
  <c r="L45" i="4" s="1"/>
  <c r="F113" i="3"/>
  <c r="F64" i="3"/>
  <c r="K62" i="4"/>
  <c r="K65" i="4" s="1"/>
  <c r="L65" i="4" s="1"/>
  <c r="I65" i="4"/>
  <c r="K52" i="4"/>
  <c r="K59" i="4" s="1"/>
  <c r="K87" i="4"/>
  <c r="L85" i="4"/>
  <c r="F204" i="4"/>
  <c r="F28" i="4"/>
  <c r="S16" i="1" l="1"/>
  <c r="S18" i="1"/>
  <c r="L87" i="4"/>
  <c r="I67" i="4"/>
  <c r="F207" i="4"/>
  <c r="F201" i="4"/>
  <c r="F216" i="4"/>
  <c r="K113" i="3"/>
  <c r="K114" i="3" s="1"/>
  <c r="I123" i="3"/>
  <c r="I114" i="3"/>
  <c r="L59" i="4"/>
  <c r="K67" i="4"/>
  <c r="L67" i="4" s="1"/>
  <c r="K200" i="4"/>
  <c r="I212" i="4"/>
  <c r="K212" i="4" s="1"/>
  <c r="F210" i="4"/>
  <c r="F213" i="4" s="1"/>
  <c r="K206" i="4"/>
  <c r="L28" i="4"/>
  <c r="I201" i="4"/>
  <c r="K192" i="4"/>
  <c r="L192" i="4" s="1"/>
  <c r="L184" i="4"/>
  <c r="L62" i="3"/>
  <c r="K64" i="3"/>
  <c r="L64" i="3" s="1"/>
  <c r="I207" i="4"/>
  <c r="K204" i="4"/>
  <c r="F123" i="3"/>
  <c r="F124" i="3" s="1"/>
  <c r="F114" i="3"/>
  <c r="L79" i="3"/>
  <c r="K82" i="3"/>
  <c r="L82" i="3" s="1"/>
  <c r="I211" i="4"/>
  <c r="K211" i="4" s="1"/>
  <c r="K199" i="4"/>
  <c r="K118" i="3"/>
  <c r="Q15" i="1"/>
  <c r="I119" i="3"/>
  <c r="L141" i="4"/>
  <c r="K148" i="4"/>
  <c r="L148" i="4" s="1"/>
  <c r="K105" i="3"/>
  <c r="L105" i="3" s="1"/>
  <c r="L97" i="3"/>
  <c r="I192" i="4"/>
  <c r="K123" i="4"/>
  <c r="L123" i="4" s="1"/>
  <c r="S15" i="1" l="1"/>
  <c r="I216" i="4"/>
  <c r="K216" i="4" s="1"/>
  <c r="K207" i="4"/>
  <c r="I213" i="4"/>
  <c r="K201" i="4"/>
  <c r="L118" i="3"/>
  <c r="K119" i="3"/>
  <c r="L119" i="3" s="1"/>
  <c r="K210" i="4"/>
  <c r="K213" i="4" s="1"/>
  <c r="K123" i="3"/>
  <c r="I124" i="3"/>
  <c r="L216" i="4" l="1"/>
  <c r="L123" i="3"/>
  <c r="K124" i="3"/>
  <c r="L124" i="3" s="1"/>
  <c r="E14" i="1" l="1"/>
  <c r="E16" i="1"/>
  <c r="E15" i="1"/>
  <c r="E17" i="1"/>
  <c r="K17" i="1" s="1"/>
  <c r="E18" i="1"/>
  <c r="E19" i="1"/>
  <c r="K19" i="1" s="1"/>
  <c r="S19" i="1" l="1"/>
  <c r="I217" i="4" s="1"/>
  <c r="E13" i="1"/>
  <c r="T13" i="1" s="1"/>
  <c r="F52" i="2"/>
  <c r="F217" i="4" l="1"/>
  <c r="F128" i="3"/>
  <c r="T17" i="1"/>
  <c r="T15" i="1"/>
  <c r="F223" i="4"/>
  <c r="T18" i="1"/>
  <c r="U18" i="1" l="1"/>
  <c r="V18" i="1"/>
  <c r="T16" i="1"/>
  <c r="V13" i="1"/>
  <c r="U13" i="1"/>
  <c r="T14" i="1"/>
  <c r="V15" i="1"/>
  <c r="U15" i="1"/>
  <c r="V17" i="1"/>
  <c r="U17" i="1"/>
  <c r="K217" i="4"/>
  <c r="T19" i="1"/>
  <c r="V19" i="1" s="1"/>
  <c r="M19" i="1" s="1"/>
  <c r="U19" i="1" l="1"/>
  <c r="L217" i="4"/>
  <c r="U14" i="1"/>
  <c r="V14" i="1"/>
  <c r="V16" i="1"/>
  <c r="U16" i="1"/>
  <c r="E23" i="1" l="1"/>
  <c r="Q23" i="1" s="1"/>
  <c r="S23" i="1" s="1"/>
  <c r="U23" i="1"/>
  <c r="E20" i="1" l="1"/>
  <c r="Q20" i="1" s="1"/>
  <c r="C21" i="1"/>
  <c r="C24" i="1" s="1"/>
  <c r="N28" i="1"/>
  <c r="F218" i="4"/>
  <c r="F219" i="4" s="1"/>
  <c r="F31" i="5"/>
  <c r="F224" i="4" l="1"/>
  <c r="N27" i="1"/>
  <c r="E21" i="1"/>
  <c r="E24" i="1" s="1"/>
  <c r="G13" i="1"/>
  <c r="G14" i="1"/>
  <c r="G15" i="1"/>
  <c r="G17" i="1"/>
  <c r="G18" i="1"/>
  <c r="G16" i="1"/>
  <c r="N29" i="1"/>
  <c r="G20" i="1"/>
  <c r="G21" i="1" l="1"/>
  <c r="J13" i="1"/>
  <c r="K13" i="1" s="1"/>
  <c r="J15" i="1"/>
  <c r="K15" i="1" s="1"/>
  <c r="J14" i="1"/>
  <c r="K14" i="1" s="1"/>
  <c r="J16" i="1"/>
  <c r="K16" i="1" s="1"/>
  <c r="J18" i="1"/>
  <c r="K18" i="1" s="1"/>
  <c r="S20" i="1"/>
  <c r="Q21" i="1"/>
  <c r="Q24" i="1" s="1"/>
  <c r="T20" i="1"/>
  <c r="S21" i="1" l="1"/>
  <c r="S24" i="1" s="1"/>
  <c r="I218" i="4"/>
  <c r="U20" i="1"/>
  <c r="T21" i="1"/>
  <c r="V20" i="1"/>
  <c r="V21" i="1" l="1"/>
  <c r="U21" i="1"/>
  <c r="T24" i="1"/>
  <c r="K218" i="4"/>
  <c r="I219" i="4"/>
  <c r="K219" i="4" l="1"/>
  <c r="L219" i="4" s="1"/>
  <c r="L218" i="4"/>
  <c r="U24" i="1"/>
  <c r="V24" i="1"/>
  <c r="H17" i="1"/>
  <c r="M20" i="1"/>
  <c r="O20" i="1"/>
  <c r="W20" i="1"/>
  <c r="O17" i="1"/>
  <c r="W17" i="1"/>
  <c r="M17" i="1"/>
  <c r="O18" i="1"/>
  <c r="W18" i="1"/>
  <c r="M18" i="1"/>
  <c r="W14" i="1"/>
  <c r="O14" i="1"/>
  <c r="M14" i="1"/>
  <c r="P14" i="1"/>
  <c r="L21" i="1"/>
  <c r="O19" i="1"/>
  <c r="O12" i="3"/>
  <c r="O14" i="3"/>
  <c r="W16" i="1"/>
  <c r="O16" i="1"/>
  <c r="M16" i="1"/>
  <c r="P16" i="1"/>
  <c r="M13" i="1"/>
  <c r="H14" i="1"/>
  <c r="P20" i="1"/>
  <c r="P13" i="1"/>
  <c r="N19" i="1"/>
  <c r="O13" i="1"/>
  <c r="O21" i="1"/>
  <c r="M15" i="1"/>
  <c r="W15" i="1"/>
  <c r="O15" i="1"/>
  <c r="T32" i="1"/>
  <c r="O12" i="4"/>
  <c r="O14" i="4"/>
  <c r="N21" i="1"/>
  <c r="N24" i="1"/>
  <c r="L16" i="1"/>
  <c r="N16" i="1"/>
  <c r="L14" i="1"/>
  <c r="N14" i="1"/>
  <c r="P15" i="1"/>
  <c r="H15" i="1"/>
  <c r="O35" i="2"/>
  <c r="O37" i="2"/>
  <c r="H20" i="1"/>
  <c r="W13" i="1"/>
  <c r="W21" i="1"/>
  <c r="W24" i="1"/>
  <c r="L17" i="1"/>
  <c r="N17" i="1"/>
  <c r="O72" i="4"/>
  <c r="O74" i="4"/>
  <c r="H16" i="1"/>
  <c r="P18" i="1"/>
  <c r="H13" i="1"/>
  <c r="P17" i="1"/>
  <c r="L13" i="1"/>
  <c r="N13" i="1"/>
  <c r="O12" i="2"/>
  <c r="O14" i="2"/>
  <c r="P19" i="1"/>
  <c r="L18" i="1"/>
  <c r="N18" i="1"/>
  <c r="O129" i="4"/>
  <c r="O131" i="4"/>
  <c r="N20" i="1"/>
  <c r="L13" i="5"/>
  <c r="L15" i="5"/>
  <c r="H19" i="1"/>
  <c r="H18" i="1"/>
  <c r="L19" i="1"/>
  <c r="K20" i="1"/>
  <c r="K21" i="1"/>
  <c r="K24" i="1"/>
  <c r="L15" i="1"/>
  <c r="N15" i="1"/>
  <c r="O47" i="3"/>
  <c r="O49" i="3"/>
</calcChain>
</file>

<file path=xl/comments1.xml><?xml version="1.0" encoding="utf-8"?>
<comments xmlns="http://schemas.openxmlformats.org/spreadsheetml/2006/main">
  <authors>
    <author>jphelp</author>
  </authors>
  <commentList>
    <comment ref="F5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<sst xmlns="http://schemas.openxmlformats.org/spreadsheetml/2006/main" count="1043" uniqueCount="306">
  <si>
    <t>Puget Sound Energy</t>
  </si>
  <si>
    <t>Percent</t>
  </si>
  <si>
    <t>Pro forma</t>
  </si>
  <si>
    <t>of Total</t>
  </si>
  <si>
    <t>Proposed</t>
  </si>
  <si>
    <t>Over</t>
  </si>
  <si>
    <t>Revenue at</t>
  </si>
  <si>
    <t>Gas Revenue</t>
  </si>
  <si>
    <t>Margin</t>
  </si>
  <si>
    <t>of</t>
  </si>
  <si>
    <t>Calculated</t>
  </si>
  <si>
    <t>(Under)</t>
  </si>
  <si>
    <t>Existing</t>
  </si>
  <si>
    <t>at Existing</t>
  </si>
  <si>
    <t>Volume</t>
  </si>
  <si>
    <t>Less</t>
  </si>
  <si>
    <t>Increase Less</t>
  </si>
  <si>
    <t>Total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</si>
  <si>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</si>
  <si>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</si>
  <si>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</si>
  <si>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</si>
  <si>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</si>
  <si>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</si>
  <si>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</si>
  <si>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</si>
  <si>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</si>
  <si>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Increase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</si>
  <si>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</si>
  <si>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</si>
  <si>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</si>
  <si>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</si>
  <si>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</si>
  <si>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</si>
  <si>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</si>
  <si>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</si>
  <si>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</si>
  <si>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</si>
  <si>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</si>
  <si>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</si>
  <si>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</si>
  <si>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</si>
  <si>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</si>
  <si>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</si>
  <si>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</si>
  <si>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</si>
  <si>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Residential (16,23,53)</t>
  </si>
  <si>
    <t>Commercial &amp; industrial (31,31T)</t>
  </si>
  <si>
    <t>Large volume (41,41T)</t>
  </si>
  <si>
    <t>Interruptible (85, 85T)</t>
  </si>
  <si>
    <t>Limited interruptible (86, 86T)</t>
  </si>
  <si>
    <t>Non exclusive interruptible (87,87T)</t>
  </si>
  <si>
    <t>Rentals</t>
  </si>
  <si>
    <t>Subtotal revenue from rates</t>
  </si>
  <si>
    <t>Other revenue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</si>
  <si>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</si>
  <si>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</si>
  <si>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</si>
  <si>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</si>
  <si>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</si>
  <si>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 xml:space="preserve"> 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</si>
  <si>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</si>
  <si>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</si>
  <si>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</si>
  <si>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</si>
  <si>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</si>
  <si>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</si>
  <si>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</si>
  <si>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</si>
  <si>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</si>
  <si>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</si>
  <si>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</si>
  <si>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</si>
  <si>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</si>
  <si>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</si>
  <si>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</si>
  <si>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</si>
  <si>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</si>
  <si>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</si>
  <si>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</si>
  <si>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</si>
  <si>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</si>
  <si>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</si>
  <si>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</si>
  <si>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</si>
  <si>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</si>
  <si>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</si>
  <si>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</si>
  <si>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</si>
  <si>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</si>
  <si>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</si>
  <si>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</si>
  <si>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</si>
  <si>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</si>
  <si>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</si>
  <si>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</si>
  <si>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</si>
  <si>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</si>
  <si>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</si>
  <si>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</si>
  <si>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</si>
  <si>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</si>
  <si>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</si>
  <si>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</si>
  <si>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</si>
  <si>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</si>
  <si>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</si>
  <si>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</si>
  <si>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</si>
  <si>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</si>
  <si>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</si>
  <si>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</si>
  <si>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</si>
  <si>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</si>
  <si>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</si>
  <si>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</si>
  <si>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</si>
  <si>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</si>
  <si>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</si>
  <si>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</si>
  <si>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</si>
  <si>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</si>
  <si>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</si>
  <si>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</si>
  <si>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</si>
  <si>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</si>
  <si>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</si>
  <si>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</si>
  <si>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</si>
  <si>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</si>
  <si>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</si>
  <si>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</si>
  <si>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</si>
  <si>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</si>
  <si>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</si>
  <si>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</si>
  <si>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</si>
  <si>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</si>
  <si>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</si>
  <si>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</si>
  <si>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</si>
  <si>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</si>
  <si>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</si>
  <si>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</si>
  <si>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</si>
  <si>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</si>
  <si>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</si>
  <si>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</si>
  <si>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</si>
  <si>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</si>
  <si>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</si>
  <si>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</si>
  <si>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</si>
  <si>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</si>
  <si>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</si>
  <si>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</si>
  <si>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</si>
  <si>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</si>
  <si>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</si>
  <si>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</si>
  <si>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</si>
  <si>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</si>
  <si>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</si>
  <si>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</si>
  <si>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</si>
  <si>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</si>
  <si>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</si>
  <si>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</si>
  <si>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</si>
  <si>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</si>
  <si>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</si>
  <si>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</si>
  <si>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</si>
  <si>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</si>
  <si>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</si>
  <si>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</si>
  <si>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</si>
  <si>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</si>
  <si>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</si>
  <si>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</si>
  <si>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</si>
  <si>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</si>
  <si>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</si>
  <si>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</si>
  <si>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</si>
  <si>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</si>
  <si>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</si>
  <si>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</si>
  <si>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</si>
  <si>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</si>
  <si>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</si>
  <si>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</si>
  <si>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2019 Gas General Rate Case Filing</t>
  </si>
  <si>
    <t>Allocation of Revenue Deficiency to Rate Classes</t>
  </si>
  <si>
    <t>Test Year Ended December 31, 2018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</si>
  <si>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</si>
  <si>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</si>
  <si>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</si>
  <si>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</si>
  <si>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(1) Pro forma gas revenue at current Schedule 101 rates (effective 11-1-18) in effect at the time of filing.</t>
  </si>
  <si>
    <t>Current and Proposed Rates by Rate Schedule (Schedules 85, 85T, 86, 86T, 87 &amp; 87T)</t>
  </si>
  <si>
    <t>Current and Proposed Rates by Rate Schedule (Rental Schedules 71, 72 &amp; 74)</t>
  </si>
  <si>
    <t>TARGET RENTALS</t>
  </si>
  <si>
    <t>Ratio</t>
  </si>
  <si>
    <t>Parity</t>
  </si>
  <si>
    <t>Targeted</t>
  </si>
  <si>
    <t>Apply the system average increase to those classes with parity percentages between 90 percent and 110 percent</t>
  </si>
  <si>
    <t>Apply 50 percent of the average increase to those classes between 110 and 150 percent of parity</t>
  </si>
  <si>
    <t>Apply 150 percent of the average increase to those below 90
percent of parity</t>
  </si>
  <si>
    <t>Apply no increase to those above 150 percent of parity</t>
  </si>
  <si>
    <t>System</t>
  </si>
  <si>
    <t>150x</t>
  </si>
  <si>
    <t>50x</t>
  </si>
  <si>
    <t>Mitigation Strategy</t>
  </si>
  <si>
    <t>DELTA</t>
  </si>
  <si>
    <t>Allocation</t>
  </si>
  <si>
    <t>Delta</t>
  </si>
  <si>
    <t>Initial</t>
  </si>
  <si>
    <t>Ratio After</t>
  </si>
  <si>
    <t>No Increase</t>
  </si>
  <si>
    <t>At Cost to Serve</t>
  </si>
  <si>
    <t>Basic Charge Sales</t>
  </si>
  <si>
    <t>Basic Charge Transport</t>
  </si>
  <si>
    <t>Keep at Current Charge + ERF</t>
  </si>
  <si>
    <t>2018 Gas Expedited Rate Filing (ERF)</t>
  </si>
  <si>
    <t>Development of Net Schedule 141 &amp; Schedule 141X Rates</t>
  </si>
  <si>
    <t>Test Year Ended June 30, 2018</t>
  </si>
  <si>
    <t>Proposed Net</t>
  </si>
  <si>
    <t>Schedule 141 &amp; 141X</t>
  </si>
  <si>
    <t>Adjusting Rates</t>
  </si>
  <si>
    <t>Schedule 23 Residential</t>
  </si>
  <si>
    <t>target 23/53/16</t>
  </si>
  <si>
    <t>Total Margin Revenue</t>
  </si>
  <si>
    <t>over(under)</t>
  </si>
  <si>
    <t>Schedule 53 Residential Propane</t>
  </si>
  <si>
    <t>change</t>
  </si>
  <si>
    <t>Schedule 16 Gas Lights</t>
  </si>
  <si>
    <t>target 31</t>
  </si>
  <si>
    <t>Schedule 31 Commercial &amp; Industrial - Sales</t>
  </si>
  <si>
    <t>Schedule 31 Commercial &amp; Industrial - Transportation</t>
  </si>
  <si>
    <t>target 31T</t>
  </si>
  <si>
    <t>Schedule 61 Standby &amp; Auxiliary Heating</t>
  </si>
  <si>
    <t>Schedule 41 Large Volume High Load Factor - Sales</t>
  </si>
  <si>
    <t>target 41</t>
  </si>
  <si>
    <t>Schedule 41 Large Volume High Load Factor - Transportation</t>
  </si>
  <si>
    <t>target 41T</t>
  </si>
  <si>
    <t>Schedule 85 Interruptible - Sales</t>
  </si>
  <si>
    <t>target 85</t>
  </si>
  <si>
    <t>Schedule 85 Interruptible - Transportation</t>
  </si>
  <si>
    <t>target 85T</t>
  </si>
  <si>
    <t>Schedule 86 Limited Interruptible - Sales</t>
  </si>
  <si>
    <t>target 86</t>
  </si>
  <si>
    <t>Schedule 86 Limited Interruptible - Transportation</t>
  </si>
  <si>
    <t>target 86T</t>
  </si>
  <si>
    <t>Schedule 87 Non-exclusive Interruptible - Sales</t>
  </si>
  <si>
    <t>target 87</t>
  </si>
  <si>
    <t>Schedule 87 Non-exclusive Interruptible - Transportation</t>
  </si>
  <si>
    <t>target 87T</t>
  </si>
  <si>
    <t>Schedule 71 - Residential Water Heater Rental Service</t>
  </si>
  <si>
    <t>target 71/72/74</t>
  </si>
  <si>
    <t>Schedule 72 - Large Volume Water Heater Rental Service</t>
  </si>
  <si>
    <t>Schedule 74 - Gas Conversion Burner Rental Service</t>
  </si>
  <si>
    <t>Total Therms and Margin Revenue By Rate Class</t>
  </si>
  <si>
    <t>Commercial &amp; Industrial (31,61)</t>
  </si>
  <si>
    <t>Commercial &amp; Industrial Transportation (31T)</t>
  </si>
  <si>
    <t>Large Volume (41)</t>
  </si>
  <si>
    <t>Large Volume Transportation (41T)</t>
  </si>
  <si>
    <t>Interruptible (85)</t>
  </si>
  <si>
    <t>Interruptible Transporatation (85T)</t>
  </si>
  <si>
    <t>Limited Interruptible (86)</t>
  </si>
  <si>
    <t>Limited Interruptible Transportation (86T)</t>
  </si>
  <si>
    <t>Non-exclusive Interruptible (87)</t>
  </si>
  <si>
    <t>Non-exclusive Interruptible Transportation (87T)</t>
  </si>
  <si>
    <t>Other Revenue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</si>
  <si>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</si>
  <si>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</si>
  <si>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</si>
  <si>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</si>
  <si>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</si>
  <si>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</si>
  <si>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</si>
  <si>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</si>
  <si>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</si>
  <si>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</si>
  <si>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>Transportation - Commercial &amp; Industrial</t>
  </si>
  <si>
    <t>31T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</si>
  <si>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</si>
  <si>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</si>
  <si>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</si>
  <si>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</si>
  <si>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</si>
  <si>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</si>
  <si>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</si>
  <si>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</si>
  <si>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</si>
  <si>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</si>
  <si>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</si>
  <si>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</si>
  <si>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</si>
  <si>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</si>
  <si>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</si>
  <si>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 in the amounts above.</t>
  </si>
  <si>
    <t>Q</t>
  </si>
  <si>
    <t>R</t>
  </si>
  <si>
    <t>(2) Calculated margin increase (column O) divided by pro forma revenue at existing rates (column B).</t>
  </si>
  <si>
    <t>(3) Calculated margin increase (column O) divided by pro forma margin at existing rates (column 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</si>
</sst>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#,##0.000"/>
    <numFmt numFmtId="168" formatCode="&quot;$&quot;#,##0.00\ ;\(&quot;$&quot;#,##0.00\)"/>
    <numFmt numFmtId="169" formatCode="&quot;$&quot;#,##0\ ;\(&quot;$&quot;#,##0\)"/>
    <numFmt numFmtId="170" formatCode="&quot;$&quot;#,##0.00000"/>
    <numFmt numFmtId="171" formatCode="&quot;$&quot;#,##0.00000\ ;\(&quot;$&quot;#,##0.00000\)"/>
    <numFmt numFmtId="172" formatCode="0.0000%"/>
    <numFmt numFmtId="173" formatCode="#,##0.00000"/>
    <numFmt numFmtId="174" formatCode="&quot;$&quot;#,##0.0000\ ;\(&quot;$&quot;#,##0.0000\)"/>
    <numFmt numFmtId="175" formatCode="#,##0.0"/>
    <numFmt numFmtId="176" formatCode="_(&quot;$&quot;* #,##0.00000_);_(&quot;$&quot;* \(#,##0.00000\);_(&quot;$&quot;* &quot;-&quot;??_);_(@_)"/>
    <numFmt numFmtId="177" formatCode="&quot;$&quot;#,##0"/>
    <numFmt numFmtId="178" formatCode="&quot;$&quot;#,##0.000\ ;\(&quot;$&quot;#,##0.000\)"/>
    <numFmt numFmtId="179" formatCode="_(&quot;$&quot;* #,##0_);_(&quot;$&quot;* \(#,##0\);_(&quot;$&quot;* &quot;-&quot;??_);_(@_)"/>
    <numFmt numFmtId="180" formatCode="&quot;$&quot;#,##0.00000_);\(&quot;$&quot;#,##0.00000\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808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sz val="10"/>
      <color rgb="FF0000FF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2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 applyNumberFormat="0" applyBorder="0" applyAlignment="0"/>
    <xf numFmtId="41" fontId="1" fillId="2" borderId="0"/>
    <xf numFmtId="41" fontId="1" fillId="2" borderId="0"/>
    <xf numFmtId="43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1" fillId="0" borderId="0"/>
    <xf numFmtId="181" fontId="1" fillId="0" borderId="0"/>
    <xf numFmtId="2" fontId="24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/>
    <xf numFmtId="40" fontId="29" fillId="0" borderId="0"/>
    <xf numFmtId="10" fontId="26" fillId="2" borderId="15" applyNumberFormat="0" applyBorder="0" applyAlignment="0" applyProtection="0"/>
    <xf numFmtId="44" fontId="2" fillId="0" borderId="25" applyNumberFormat="0" applyFont="0" applyAlignment="0">
      <alignment horizontal="center"/>
    </xf>
    <xf numFmtId="44" fontId="2" fillId="0" borderId="26" applyNumberFormat="0" applyFont="0" applyAlignment="0">
      <alignment horizontal="center"/>
    </xf>
    <xf numFmtId="182" fontId="1" fillId="0" borderId="0"/>
    <xf numFmtId="182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25" fillId="4" borderId="0"/>
    <xf numFmtId="0" fontId="30" fillId="4" borderId="27"/>
    <xf numFmtId="0" fontId="31" fillId="5" borderId="28"/>
    <xf numFmtId="0" fontId="32" fillId="4" borderId="29"/>
    <xf numFmtId="42" fontId="33" fillId="6" borderId="4">
      <alignment vertical="center"/>
    </xf>
    <xf numFmtId="0" fontId="2" fillId="2" borderId="1" applyNumberFormat="0">
      <alignment horizontal="center" vertical="center" wrapText="1"/>
    </xf>
    <xf numFmtId="183" fontId="1" fillId="2" borderId="0"/>
    <xf numFmtId="183" fontId="1" fillId="2" borderId="0"/>
    <xf numFmtId="42" fontId="34" fillId="2" borderId="2">
      <alignment horizontal="left"/>
    </xf>
    <xf numFmtId="38" fontId="26" fillId="0" borderId="30"/>
    <xf numFmtId="38" fontId="29" fillId="0" borderId="2"/>
    <xf numFmtId="184" fontId="1" fillId="0" borderId="0">
      <alignment horizontal="left" wrapText="1"/>
    </xf>
    <xf numFmtId="184" fontId="1" fillId="0" borderId="0">
      <alignment horizontal="left" wrapText="1"/>
    </xf>
    <xf numFmtId="0" fontId="25" fillId="0" borderId="0"/>
    <xf numFmtId="0" fontId="30" fillId="4" borderId="0"/>
    <xf numFmtId="185" fontId="35" fillId="0" borderId="0">
      <alignment horizontal="left" vertical="center"/>
    </xf>
    <xf numFmtId="0" fontId="2" fillId="2" borderId="0">
      <alignment horizontal="left" wrapText="1"/>
    </xf>
    <xf numFmtId="0" fontId="36" fillId="0" borderId="0">
      <alignment horizontal="left" vertical="center"/>
    </xf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</cellStyleXfs>
  <cellXfs count="506">
    <xf numFmtId="0" fontId="0" fillId="0" borderId="0" xfId="0"/>
    <xf numFmtId="41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3" fontId="3" fillId="0" borderId="0" xfId="0" applyNumberFormat="1" applyFont="1"/>
    <xf numFmtId="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0" fontId="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4" fillId="0" borderId="0" xfId="0" applyNumberFormat="1" applyFont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3" fontId="6" fillId="0" borderId="0" xfId="0" applyNumberFormat="1" applyFont="1"/>
    <xf numFmtId="164" fontId="4" fillId="0" borderId="0" xfId="0" applyNumberFormat="1" applyFont="1" applyBorder="1"/>
    <xf numFmtId="9" fontId="1" fillId="0" borderId="0" xfId="0" applyNumberFormat="1" applyFont="1" applyBorder="1"/>
    <xf numFmtId="10" fontId="4" fillId="0" borderId="0" xfId="0" applyNumberFormat="1" applyFont="1" applyFill="1" applyBorder="1"/>
    <xf numFmtId="0" fontId="1" fillId="0" borderId="0" xfId="0" applyFont="1" applyAlignment="1">
      <alignment horizontal="left"/>
    </xf>
    <xf numFmtId="42" fontId="1" fillId="0" borderId="0" xfId="0" applyNumberFormat="1" applyFont="1"/>
    <xf numFmtId="42" fontId="1" fillId="0" borderId="0" xfId="0" applyNumberFormat="1" applyFont="1" applyBorder="1"/>
    <xf numFmtId="0" fontId="1" fillId="0" borderId="0" xfId="0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42" fontId="1" fillId="0" borderId="0" xfId="0" applyNumberFormat="1" applyFont="1" applyFill="1" applyBorder="1"/>
    <xf numFmtId="42" fontId="4" fillId="0" borderId="0" xfId="0" applyNumberFormat="1" applyFont="1" applyFill="1"/>
    <xf numFmtId="3" fontId="4" fillId="0" borderId="0" xfId="0" applyNumberFormat="1" applyFont="1"/>
    <xf numFmtId="9" fontId="1" fillId="0" borderId="0" xfId="0" applyNumberFormat="1" applyFont="1" applyFill="1"/>
    <xf numFmtId="3" fontId="1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169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168" fontId="1" fillId="0" borderId="5" xfId="0" applyNumberFormat="1" applyFont="1" applyBorder="1" applyAlignment="1">
      <alignment horizontal="centerContinuous"/>
    </xf>
    <xf numFmtId="17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1" fillId="0" borderId="12" xfId="0" applyFont="1" applyBorder="1" applyAlignment="1">
      <alignment horizontal="center"/>
    </xf>
    <xf numFmtId="0" fontId="2" fillId="0" borderId="10" xfId="0" applyFont="1" applyBorder="1"/>
    <xf numFmtId="170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 applyBorder="1"/>
    <xf numFmtId="9" fontId="1" fillId="0" borderId="0" xfId="0" applyNumberFormat="1" applyFont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169" fontId="1" fillId="0" borderId="0" xfId="0" applyNumberFormat="1" applyFont="1" applyFill="1"/>
    <xf numFmtId="0" fontId="2" fillId="0" borderId="2" xfId="0" applyFont="1" applyFill="1" applyBorder="1" applyProtection="1">
      <protection locked="0"/>
    </xf>
    <xf numFmtId="0" fontId="8" fillId="0" borderId="2" xfId="0" applyFont="1" applyFill="1" applyBorder="1"/>
    <xf numFmtId="169" fontId="8" fillId="0" borderId="2" xfId="0" applyNumberFormat="1" applyFont="1" applyBorder="1"/>
    <xf numFmtId="170" fontId="1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169" fontId="2" fillId="0" borderId="0" xfId="0" applyNumberFormat="1" applyFont="1" applyFill="1" applyBorder="1"/>
    <xf numFmtId="169" fontId="8" fillId="0" borderId="0" xfId="0" applyNumberFormat="1" applyFont="1" applyFill="1" applyBorder="1"/>
    <xf numFmtId="0" fontId="8" fillId="0" borderId="0" xfId="0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/>
    <xf numFmtId="0" fontId="2" fillId="0" borderId="6" xfId="0" applyFont="1" applyBorder="1"/>
    <xf numFmtId="0" fontId="2" fillId="0" borderId="1" xfId="0" applyFont="1" applyBorder="1"/>
    <xf numFmtId="169" fontId="2" fillId="0" borderId="1" xfId="0" applyNumberFormat="1" applyFont="1" applyBorder="1"/>
    <xf numFmtId="3" fontId="1" fillId="0" borderId="1" xfId="0" applyNumberFormat="1" applyFont="1" applyBorder="1"/>
    <xf numFmtId="44" fontId="1" fillId="0" borderId="0" xfId="0" applyNumberFormat="1" applyFont="1"/>
    <xf numFmtId="169" fontId="4" fillId="0" borderId="0" xfId="0" applyNumberFormat="1" applyFont="1"/>
    <xf numFmtId="0" fontId="1" fillId="0" borderId="0" xfId="0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70" fontId="1" fillId="0" borderId="0" xfId="0" applyNumberFormat="1" applyFont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/>
    <xf numFmtId="168" fontId="1" fillId="0" borderId="0" xfId="0" applyNumberFormat="1" applyFont="1" applyAlignment="1"/>
    <xf numFmtId="3" fontId="1" fillId="0" borderId="1" xfId="0" applyNumberFormat="1" applyFont="1" applyFill="1" applyBorder="1" applyAlignment="1"/>
    <xf numFmtId="0" fontId="1" fillId="0" borderId="0" xfId="0" applyFont="1" applyFill="1" applyAlignment="1"/>
    <xf numFmtId="164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/>
    <xf numFmtId="170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168" fontId="1" fillId="0" borderId="2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/>
    <xf numFmtId="0" fontId="2" fillId="0" borderId="8" xfId="0" applyFont="1" applyBorder="1" applyProtection="1">
      <protection locked="0"/>
    </xf>
    <xf numFmtId="0" fontId="1" fillId="0" borderId="2" xfId="0" applyFont="1" applyBorder="1"/>
    <xf numFmtId="169" fontId="1" fillId="0" borderId="2" xfId="0" applyNumberFormat="1" applyFont="1" applyBorder="1"/>
    <xf numFmtId="0" fontId="1" fillId="0" borderId="2" xfId="0" applyFont="1" applyFill="1" applyBorder="1"/>
    <xf numFmtId="164" fontId="1" fillId="0" borderId="9" xfId="0" applyNumberFormat="1" applyFont="1" applyBorder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164" fontId="1" fillId="0" borderId="11" xfId="0" applyNumberFormat="1" applyFont="1" applyBorder="1"/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169" fontId="5" fillId="0" borderId="13" xfId="0" applyNumberFormat="1" applyFont="1" applyFill="1" applyBorder="1" applyAlignment="1">
      <alignment horizontal="center"/>
    </xf>
    <xf numFmtId="0" fontId="1" fillId="0" borderId="0" xfId="0" applyFont="1" applyBorder="1"/>
    <xf numFmtId="171" fontId="3" fillId="0" borderId="0" xfId="0" applyNumberFormat="1" applyFont="1" applyFill="1" applyBorder="1"/>
    <xf numFmtId="169" fontId="1" fillId="0" borderId="13" xfId="0" applyNumberFormat="1" applyFont="1" applyBorder="1" applyAlignment="1">
      <alignment horizontal="center"/>
    </xf>
    <xf numFmtId="3" fontId="1" fillId="0" borderId="0" xfId="0" applyNumberFormat="1" applyFont="1" applyFill="1" applyBorder="1"/>
    <xf numFmtId="168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/>
    </xf>
    <xf numFmtId="0" fontId="3" fillId="0" borderId="0" xfId="0" applyFont="1" applyFill="1" applyBorder="1"/>
    <xf numFmtId="169" fontId="1" fillId="0" borderId="2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center" wrapText="1"/>
    </xf>
    <xf numFmtId="171" fontId="1" fillId="0" borderId="0" xfId="0" applyNumberFormat="1" applyFont="1" applyBorder="1"/>
    <xf numFmtId="175" fontId="1" fillId="0" borderId="0" xfId="0" applyNumberFormat="1" applyFont="1" applyFill="1" applyBorder="1"/>
    <xf numFmtId="173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1" xfId="0" applyFont="1" applyBorder="1" applyProtection="1">
      <protection locked="0"/>
    </xf>
    <xf numFmtId="168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/>
    <xf numFmtId="169" fontId="1" fillId="0" borderId="1" xfId="0" applyNumberFormat="1" applyFont="1" applyBorder="1"/>
    <xf numFmtId="164" fontId="1" fillId="0" borderId="7" xfId="0" applyNumberFormat="1" applyFont="1" applyBorder="1"/>
    <xf numFmtId="0" fontId="2" fillId="0" borderId="8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171" fontId="7" fillId="0" borderId="0" xfId="0" applyNumberFormat="1" applyFont="1" applyFill="1" applyBorder="1"/>
    <xf numFmtId="168" fontId="4" fillId="0" borderId="0" xfId="0" applyNumberFormat="1" applyFont="1" applyFill="1" applyBorder="1"/>
    <xf numFmtId="171" fontId="4" fillId="0" borderId="0" xfId="0" applyNumberFormat="1" applyFont="1" applyFill="1" applyBorder="1"/>
    <xf numFmtId="0" fontId="1" fillId="0" borderId="10" xfId="0" applyFont="1" applyFill="1" applyBorder="1"/>
    <xf numFmtId="3" fontId="1" fillId="0" borderId="0" xfId="0" applyNumberFormat="1" applyFont="1" applyFill="1" applyBorder="1" applyProtection="1">
      <protection locked="0"/>
    </xf>
    <xf numFmtId="169" fontId="1" fillId="0" borderId="13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/>
    <xf numFmtId="171" fontId="1" fillId="0" borderId="0" xfId="0" applyNumberFormat="1" applyFont="1" applyFill="1" applyBorder="1"/>
    <xf numFmtId="169" fontId="1" fillId="0" borderId="0" xfId="0" applyNumberFormat="1" applyFont="1" applyBorder="1"/>
    <xf numFmtId="171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164" fontId="1" fillId="0" borderId="11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76" fontId="3" fillId="0" borderId="0" xfId="0" applyNumberFormat="1" applyFont="1" applyBorder="1"/>
    <xf numFmtId="170" fontId="1" fillId="0" borderId="0" xfId="0" applyNumberFormat="1" applyFont="1" applyFill="1"/>
    <xf numFmtId="169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3" fillId="0" borderId="0" xfId="0" applyFont="1" applyBorder="1"/>
    <xf numFmtId="16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10" xfId="0" applyFont="1" applyBorder="1" applyProtection="1">
      <protection locked="0"/>
    </xf>
    <xf numFmtId="168" fontId="1" fillId="0" borderId="0" xfId="0" applyNumberFormat="1" applyFont="1" applyBorder="1"/>
    <xf numFmtId="0" fontId="1" fillId="0" borderId="6" xfId="0" applyFont="1" applyFill="1" applyBorder="1"/>
    <xf numFmtId="164" fontId="1" fillId="0" borderId="7" xfId="0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 applyProtection="1">
      <protection locked="0"/>
    </xf>
    <xf numFmtId="168" fontId="1" fillId="0" borderId="0" xfId="0" applyNumberFormat="1" applyFont="1" applyFill="1" applyBorder="1"/>
    <xf numFmtId="3" fontId="4" fillId="0" borderId="0" xfId="0" applyNumberFormat="1" applyFont="1" applyFill="1" applyBorder="1"/>
    <xf numFmtId="8" fontId="1" fillId="0" borderId="0" xfId="0" applyNumberFormat="1" applyFont="1" applyBorder="1"/>
    <xf numFmtId="0" fontId="1" fillId="0" borderId="10" xfId="0" applyFont="1" applyBorder="1"/>
    <xf numFmtId="176" fontId="4" fillId="0" borderId="0" xfId="0" applyNumberFormat="1" applyFont="1" applyBorder="1"/>
    <xf numFmtId="0" fontId="1" fillId="0" borderId="1" xfId="0" applyFont="1" applyFill="1" applyBorder="1"/>
    <xf numFmtId="169" fontId="1" fillId="0" borderId="1" xfId="0" applyNumberFormat="1" applyFont="1" applyFill="1" applyBorder="1"/>
    <xf numFmtId="169" fontId="1" fillId="0" borderId="0" xfId="0" applyNumberFormat="1" applyFont="1" applyFill="1" applyBorder="1"/>
    <xf numFmtId="169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77" fontId="1" fillId="0" borderId="0" xfId="0" applyNumberFormat="1" applyFont="1" applyFill="1"/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1" fillId="0" borderId="0" xfId="0" applyFont="1"/>
    <xf numFmtId="177" fontId="1" fillId="0" borderId="0" xfId="0" applyNumberFormat="1" applyFont="1" applyBorder="1"/>
    <xf numFmtId="177" fontId="1" fillId="0" borderId="0" xfId="0" applyNumberFormat="1" applyFont="1" applyAlignment="1">
      <alignment horizontal="left"/>
    </xf>
    <xf numFmtId="177" fontId="1" fillId="0" borderId="2" xfId="0" applyNumberFormat="1" applyFont="1" applyBorder="1"/>
    <xf numFmtId="3" fontId="1" fillId="0" borderId="2" xfId="0" applyNumberFormat="1" applyFont="1" applyBorder="1"/>
    <xf numFmtId="171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8" fontId="1" fillId="0" borderId="0" xfId="0" applyNumberFormat="1" applyFont="1" applyFill="1" applyAlignment="1">
      <alignment horizontal="centerContinuous"/>
    </xf>
    <xf numFmtId="0" fontId="1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0" fontId="1" fillId="0" borderId="2" xfId="0" applyFont="1" applyBorder="1" applyProtection="1">
      <protection locked="0"/>
    </xf>
    <xf numFmtId="171" fontId="1" fillId="0" borderId="2" xfId="0" applyNumberFormat="1" applyFont="1" applyBorder="1"/>
    <xf numFmtId="3" fontId="1" fillId="0" borderId="2" xfId="0" applyNumberFormat="1" applyFont="1" applyFill="1" applyBorder="1" applyProtection="1">
      <protection locked="0"/>
    </xf>
    <xf numFmtId="168" fontId="1" fillId="0" borderId="2" xfId="0" applyNumberFormat="1" applyFont="1" applyFill="1" applyBorder="1"/>
    <xf numFmtId="168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0" xfId="0" applyFont="1" applyBorder="1" applyProtection="1">
      <protection locked="0"/>
    </xf>
    <xf numFmtId="165" fontId="1" fillId="0" borderId="0" xfId="0" applyNumberFormat="1" applyFont="1" applyBorder="1" applyAlignment="1">
      <alignment horizontal="left"/>
    </xf>
    <xf numFmtId="169" fontId="1" fillId="0" borderId="14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9" fontId="4" fillId="0" borderId="0" xfId="0" applyNumberFormat="1" applyFont="1" applyFill="1" applyBorder="1"/>
    <xf numFmtId="164" fontId="1" fillId="0" borderId="9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Fill="1" applyBorder="1"/>
    <xf numFmtId="171" fontId="1" fillId="0" borderId="1" xfId="0" applyNumberFormat="1" applyFont="1" applyBorder="1"/>
    <xf numFmtId="168" fontId="1" fillId="0" borderId="1" xfId="0" applyNumberFormat="1" applyFont="1" applyFill="1" applyBorder="1"/>
    <xf numFmtId="168" fontId="1" fillId="0" borderId="1" xfId="0" applyNumberFormat="1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69" fontId="3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8" fontId="3" fillId="0" borderId="0" xfId="0" applyNumberFormat="1" applyFont="1" applyBorder="1"/>
    <xf numFmtId="169" fontId="1" fillId="0" borderId="0" xfId="0" applyNumberFormat="1" applyFont="1" applyFill="1" applyBorder="1" applyProtection="1">
      <protection locked="0"/>
    </xf>
    <xf numFmtId="169" fontId="1" fillId="0" borderId="1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right"/>
    </xf>
    <xf numFmtId="169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71" fontId="1" fillId="0" borderId="1" xfId="0" applyNumberFormat="1" applyFont="1" applyFill="1" applyBorder="1"/>
    <xf numFmtId="169" fontId="1" fillId="0" borderId="1" xfId="0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center"/>
    </xf>
    <xf numFmtId="171" fontId="3" fillId="0" borderId="0" xfId="0" applyNumberFormat="1" applyFont="1" applyBorder="1"/>
    <xf numFmtId="171" fontId="1" fillId="0" borderId="1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Fill="1" applyBorder="1"/>
    <xf numFmtId="164" fontId="1" fillId="0" borderId="0" xfId="0" applyNumberFormat="1" applyFont="1" applyBorder="1"/>
    <xf numFmtId="172" fontId="4" fillId="0" borderId="0" xfId="0" applyNumberFormat="1" applyFont="1" applyFill="1" applyBorder="1"/>
    <xf numFmtId="169" fontId="1" fillId="0" borderId="11" xfId="0" applyNumberFormat="1" applyFont="1" applyBorder="1" applyAlignment="1">
      <alignment horizontal="right"/>
    </xf>
    <xf numFmtId="0" fontId="1" fillId="0" borderId="2" xfId="0" applyFont="1" applyFill="1" applyBorder="1" applyProtection="1">
      <protection locked="0"/>
    </xf>
    <xf numFmtId="171" fontId="1" fillId="0" borderId="2" xfId="0" applyNumberFormat="1" applyFont="1" applyFill="1" applyBorder="1"/>
    <xf numFmtId="168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4" fontId="1" fillId="0" borderId="9" xfId="0" applyNumberFormat="1" applyFont="1" applyFill="1" applyBorder="1"/>
    <xf numFmtId="168" fontId="1" fillId="0" borderId="1" xfId="0" applyNumberFormat="1" applyFont="1" applyBorder="1"/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5" fontId="1" fillId="0" borderId="0" xfId="0" applyNumberFormat="1" applyFont="1" applyAlignment="1">
      <alignment horizontal="right"/>
    </xf>
    <xf numFmtId="168" fontId="1" fillId="0" borderId="0" xfId="0" applyNumberFormat="1" applyFont="1"/>
    <xf numFmtId="3" fontId="5" fillId="0" borderId="0" xfId="0" applyNumberFormat="1" applyFont="1"/>
    <xf numFmtId="5" fontId="5" fillId="0" borderId="0" xfId="0" applyNumberFormat="1" applyFont="1"/>
    <xf numFmtId="5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5" fillId="0" borderId="0" xfId="0" applyNumberFormat="1" applyFont="1" applyFill="1"/>
    <xf numFmtId="41" fontId="5" fillId="0" borderId="0" xfId="0" applyNumberFormat="1" applyFont="1"/>
    <xf numFmtId="5" fontId="1" fillId="0" borderId="2" xfId="0" applyNumberFormat="1" applyFont="1" applyBorder="1"/>
    <xf numFmtId="42" fontId="5" fillId="0" borderId="0" xfId="0" applyNumberFormat="1" applyFont="1"/>
    <xf numFmtId="3" fontId="1" fillId="0" borderId="0" xfId="0" applyNumberFormat="1" applyFont="1" applyFill="1"/>
    <xf numFmtId="171" fontId="1" fillId="0" borderId="0" xfId="0" applyNumberFormat="1" applyFont="1"/>
    <xf numFmtId="168" fontId="1" fillId="0" borderId="0" xfId="0" applyNumberFormat="1" applyFont="1" applyFill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3" fillId="0" borderId="0" xfId="0" applyNumberFormat="1" applyFont="1" applyBorder="1"/>
    <xf numFmtId="44" fontId="3" fillId="0" borderId="0" xfId="0" applyNumberFormat="1" applyFont="1"/>
    <xf numFmtId="42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Border="1"/>
    <xf numFmtId="41" fontId="1" fillId="0" borderId="0" xfId="0" applyNumberFormat="1" applyFont="1" applyFill="1"/>
    <xf numFmtId="44" fontId="1" fillId="0" borderId="13" xfId="0" applyNumberFormat="1" applyFont="1" applyFill="1" applyBorder="1" applyAlignment="1">
      <alignment horizontal="center"/>
    </xf>
    <xf numFmtId="42" fontId="1" fillId="0" borderId="2" xfId="0" applyNumberFormat="1" applyFont="1" applyFill="1" applyBorder="1"/>
    <xf numFmtId="179" fontId="1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179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10" fontId="1" fillId="0" borderId="0" xfId="0" applyNumberFormat="1" applyFont="1" applyFill="1"/>
    <xf numFmtId="0" fontId="13" fillId="0" borderId="0" xfId="0" applyFont="1" applyAlignment="1">
      <alignment horizontal="centerContinuous"/>
    </xf>
    <xf numFmtId="0" fontId="14" fillId="0" borderId="12" xfId="0" applyFont="1" applyBorder="1" applyAlignment="1">
      <alignment horizontal="center"/>
    </xf>
    <xf numFmtId="176" fontId="3" fillId="0" borderId="0" xfId="0" applyNumberFormat="1" applyFont="1" applyFill="1"/>
    <xf numFmtId="179" fontId="1" fillId="0" borderId="0" xfId="1" applyNumberFormat="1" applyFont="1" applyFill="1"/>
    <xf numFmtId="179" fontId="1" fillId="0" borderId="2" xfId="1" applyNumberFormat="1" applyFont="1" applyFill="1" applyBorder="1"/>
    <xf numFmtId="179" fontId="3" fillId="0" borderId="0" xfId="1" applyNumberFormat="1" applyFont="1" applyFill="1"/>
    <xf numFmtId="179" fontId="1" fillId="0" borderId="2" xfId="1" applyNumberFormat="1" applyFont="1" applyBorder="1"/>
    <xf numFmtId="179" fontId="4" fillId="0" borderId="0" xfId="1" applyNumberFormat="1" applyFont="1"/>
    <xf numFmtId="179" fontId="3" fillId="0" borderId="0" xfId="1" applyNumberFormat="1" applyFont="1"/>
    <xf numFmtId="179" fontId="1" fillId="0" borderId="0" xfId="1" applyNumberFormat="1" applyFont="1"/>
    <xf numFmtId="179" fontId="5" fillId="0" borderId="0" xfId="1" applyNumberFormat="1" applyFont="1" applyFill="1"/>
    <xf numFmtId="179" fontId="5" fillId="0" borderId="0" xfId="1" applyNumberFormat="1" applyFont="1"/>
    <xf numFmtId="171" fontId="14" fillId="0" borderId="0" xfId="0" applyNumberFormat="1" applyFont="1" applyFill="1" applyBorder="1"/>
    <xf numFmtId="168" fontId="14" fillId="0" borderId="0" xfId="0" applyNumberFormat="1" applyFont="1" applyFill="1" applyBorder="1"/>
    <xf numFmtId="0" fontId="14" fillId="0" borderId="12" xfId="0" applyFont="1" applyFill="1" applyBorder="1" applyAlignment="1">
      <alignment horizontal="center"/>
    </xf>
    <xf numFmtId="0" fontId="1" fillId="0" borderId="17" xfId="0" applyFont="1" applyBorder="1"/>
    <xf numFmtId="43" fontId="15" fillId="0" borderId="17" xfId="2" applyFont="1" applyBorder="1"/>
    <xf numFmtId="171" fontId="1" fillId="0" borderId="17" xfId="0" applyNumberFormat="1" applyFont="1" applyBorder="1"/>
    <xf numFmtId="43" fontId="15" fillId="0" borderId="18" xfId="2" applyFont="1" applyBorder="1"/>
    <xf numFmtId="0" fontId="1" fillId="0" borderId="20" xfId="0" applyFont="1" applyBorder="1"/>
    <xf numFmtId="43" fontId="15" fillId="0" borderId="20" xfId="2" applyFont="1" applyFill="1" applyBorder="1"/>
    <xf numFmtId="171" fontId="15" fillId="0" borderId="20" xfId="0" applyNumberFormat="1" applyFont="1" applyBorder="1"/>
    <xf numFmtId="0" fontId="14" fillId="0" borderId="16" xfId="0" applyFont="1" applyBorder="1"/>
    <xf numFmtId="0" fontId="14" fillId="0" borderId="19" xfId="0" applyFont="1" applyBorder="1"/>
    <xf numFmtId="5" fontId="15" fillId="0" borderId="21" xfId="2" applyNumberFormat="1" applyFont="1" applyBorder="1"/>
    <xf numFmtId="0" fontId="1" fillId="0" borderId="22" xfId="0" applyFont="1" applyBorder="1"/>
    <xf numFmtId="0" fontId="2" fillId="0" borderId="23" xfId="0" applyFont="1" applyBorder="1"/>
    <xf numFmtId="43" fontId="15" fillId="0" borderId="23" xfId="2" applyFont="1" applyFill="1" applyBorder="1"/>
    <xf numFmtId="0" fontId="1" fillId="0" borderId="23" xfId="0" applyFont="1" applyFill="1" applyBorder="1"/>
    <xf numFmtId="43" fontId="15" fillId="0" borderId="24" xfId="2" applyFont="1" applyFill="1" applyBorder="1"/>
    <xf numFmtId="177" fontId="1" fillId="0" borderId="23" xfId="0" applyNumberFormat="1" applyFont="1" applyBorder="1"/>
    <xf numFmtId="43" fontId="15" fillId="0" borderId="23" xfId="2" applyFont="1" applyBorder="1"/>
    <xf numFmtId="43" fontId="15" fillId="0" borderId="24" xfId="2" applyFont="1" applyBorder="1"/>
    <xf numFmtId="0" fontId="1" fillId="0" borderId="22" xfId="0" applyFont="1" applyFill="1" applyBorder="1"/>
    <xf numFmtId="165" fontId="14" fillId="0" borderId="0" xfId="3" applyNumberFormat="1" applyFont="1" applyFill="1" applyBorder="1"/>
    <xf numFmtId="0" fontId="1" fillId="0" borderId="0" xfId="0" applyFont="1" applyFill="1" applyBorder="1" applyAlignment="1">
      <alignment horizontal="centerContinuous"/>
    </xf>
    <xf numFmtId="169" fontId="5" fillId="0" borderId="13" xfId="0" applyNumberFormat="1" applyFont="1" applyBorder="1" applyAlignment="1">
      <alignment horizontal="center"/>
    </xf>
    <xf numFmtId="44" fontId="1" fillId="0" borderId="12" xfId="0" applyNumberFormat="1" applyFont="1" applyFill="1" applyBorder="1" applyAlignment="1"/>
    <xf numFmtId="165" fontId="4" fillId="0" borderId="15" xfId="0" applyNumberFormat="1" applyFont="1" applyFill="1" applyBorder="1" applyAlignment="1">
      <alignment horizontal="center"/>
    </xf>
    <xf numFmtId="164" fontId="1" fillId="0" borderId="2" xfId="3" applyNumberFormat="1" applyFont="1" applyBorder="1"/>
    <xf numFmtId="166" fontId="1" fillId="0" borderId="2" xfId="2" applyNumberFormat="1" applyFont="1" applyBorder="1"/>
    <xf numFmtId="42" fontId="14" fillId="0" borderId="0" xfId="0" applyNumberFormat="1" applyFont="1" applyFill="1"/>
    <xf numFmtId="10" fontId="14" fillId="0" borderId="0" xfId="0" applyNumberFormat="1" applyFont="1" applyFill="1"/>
    <xf numFmtId="3" fontId="14" fillId="0" borderId="0" xfId="0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43" fontId="3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8" fillId="0" borderId="0" xfId="4" applyFont="1" applyAlignment="1"/>
    <xf numFmtId="170" fontId="18" fillId="0" borderId="0" xfId="4" applyNumberFormat="1" applyFont="1" applyAlignment="1"/>
    <xf numFmtId="0" fontId="18" fillId="0" borderId="0" xfId="4" applyFont="1"/>
    <xf numFmtId="0" fontId="0" fillId="0" borderId="0" xfId="0" applyFont="1"/>
    <xf numFmtId="0" fontId="18" fillId="0" borderId="0" xfId="4" applyFont="1" applyBorder="1" applyAlignment="1"/>
    <xf numFmtId="0" fontId="19" fillId="0" borderId="0" xfId="4" applyFont="1" applyAlignment="1"/>
    <xf numFmtId="170" fontId="19" fillId="0" borderId="0" xfId="4" applyNumberFormat="1" applyFont="1" applyAlignment="1"/>
    <xf numFmtId="0" fontId="19" fillId="0" borderId="0" xfId="4" applyFont="1"/>
    <xf numFmtId="0" fontId="19" fillId="0" borderId="0" xfId="4" applyFont="1" applyBorder="1" applyAlignment="1">
      <alignment horizontal="centerContinuous"/>
    </xf>
    <xf numFmtId="0" fontId="19" fillId="0" borderId="0" xfId="4" applyFont="1" applyAlignment="1">
      <alignment horizontal="centerContinuous"/>
    </xf>
    <xf numFmtId="0" fontId="18" fillId="0" borderId="0" xfId="0" applyFont="1" applyBorder="1" applyAlignment="1">
      <alignment horizontal="center"/>
    </xf>
    <xf numFmtId="169" fontId="19" fillId="0" borderId="0" xfId="4" applyNumberFormat="1" applyFont="1" applyAlignment="1">
      <alignment horizontal="centerContinuous"/>
    </xf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Continuous"/>
    </xf>
    <xf numFmtId="168" fontId="18" fillId="0" borderId="1" xfId="0" applyNumberFormat="1" applyFont="1" applyBorder="1" applyAlignment="1">
      <alignment horizontal="centerContinuous"/>
    </xf>
    <xf numFmtId="168" fontId="18" fillId="0" borderId="0" xfId="0" applyNumberFormat="1" applyFont="1" applyBorder="1" applyAlignment="1"/>
    <xf numFmtId="0" fontId="18" fillId="0" borderId="0" xfId="0" applyFont="1" applyAlignment="1"/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165" fontId="18" fillId="0" borderId="0" xfId="0" applyNumberFormat="1" applyFont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Protection="1">
      <protection locked="0"/>
    </xf>
    <xf numFmtId="0" fontId="18" fillId="0" borderId="0" xfId="0" applyFont="1" applyFill="1" applyBorder="1"/>
    <xf numFmtId="169" fontId="18" fillId="0" borderId="0" xfId="0" applyNumberFormat="1" applyFont="1" applyBorder="1"/>
    <xf numFmtId="169" fontId="18" fillId="0" borderId="0" xfId="0" applyNumberFormat="1" applyFont="1" applyBorder="1" applyAlignment="1"/>
    <xf numFmtId="0" fontId="18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68" fontId="21" fillId="0" borderId="0" xfId="0" applyNumberFormat="1" applyFont="1" applyFill="1" applyBorder="1"/>
    <xf numFmtId="169" fontId="18" fillId="0" borderId="0" xfId="0" applyNumberFormat="1" applyFont="1" applyAlignment="1"/>
    <xf numFmtId="164" fontId="18" fillId="0" borderId="0" xfId="3" applyNumberFormat="1" applyFont="1" applyAlignment="1"/>
    <xf numFmtId="7" fontId="18" fillId="0" borderId="0" xfId="0" applyNumberFormat="1" applyFont="1" applyAlignment="1"/>
    <xf numFmtId="0" fontId="18" fillId="0" borderId="15" xfId="0" applyFont="1" applyBorder="1" applyAlignment="1">
      <alignment horizontal="center"/>
    </xf>
    <xf numFmtId="0" fontId="18" fillId="0" borderId="0" xfId="0" applyFont="1" applyBorder="1"/>
    <xf numFmtId="171" fontId="21" fillId="0" borderId="0" xfId="0" applyNumberFormat="1" applyFont="1" applyFill="1" applyBorder="1"/>
    <xf numFmtId="180" fontId="18" fillId="0" borderId="0" xfId="0" applyNumberFormat="1" applyFont="1" applyAlignment="1"/>
    <xf numFmtId="42" fontId="20" fillId="0" borderId="13" xfId="0" applyNumberFormat="1" applyFont="1" applyBorder="1" applyAlignment="1"/>
    <xf numFmtId="0" fontId="18" fillId="0" borderId="0" xfId="0" applyFont="1" applyBorder="1" applyProtection="1">
      <protection locked="0"/>
    </xf>
    <xf numFmtId="3" fontId="18" fillId="0" borderId="0" xfId="0" applyNumberFormat="1" applyFont="1" applyFill="1" applyBorder="1"/>
    <xf numFmtId="169" fontId="18" fillId="0" borderId="2" xfId="0" applyNumberFormat="1" applyFont="1" applyBorder="1"/>
    <xf numFmtId="0" fontId="18" fillId="0" borderId="14" xfId="0" applyFont="1" applyBorder="1" applyAlignment="1">
      <alignment horizontal="center"/>
    </xf>
    <xf numFmtId="3" fontId="22" fillId="0" borderId="0" xfId="0" applyNumberFormat="1" applyFont="1" applyFill="1" applyBorder="1"/>
    <xf numFmtId="165" fontId="18" fillId="0" borderId="0" xfId="5" applyNumberFormat="1" applyFont="1" applyBorder="1"/>
    <xf numFmtId="169" fontId="18" fillId="0" borderId="13" xfId="0" applyNumberFormat="1" applyFont="1" applyBorder="1"/>
    <xf numFmtId="0" fontId="19" fillId="0" borderId="0" xfId="0" applyFont="1" applyFill="1" applyBorder="1" applyProtection="1">
      <protection locked="0"/>
    </xf>
    <xf numFmtId="0" fontId="18" fillId="0" borderId="0" xfId="0" applyFont="1" applyFill="1"/>
    <xf numFmtId="168" fontId="18" fillId="0" borderId="0" xfId="0" applyNumberFormat="1" applyFont="1" applyFill="1" applyBorder="1"/>
    <xf numFmtId="169" fontId="18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5" fontId="21" fillId="0" borderId="14" xfId="3" applyNumberFormat="1" applyFont="1" applyBorder="1"/>
    <xf numFmtId="171" fontId="18" fillId="0" borderId="0" xfId="0" applyNumberFormat="1" applyFont="1" applyFill="1" applyBorder="1"/>
    <xf numFmtId="169" fontId="18" fillId="0" borderId="1" xfId="0" applyNumberFormat="1" applyFont="1" applyBorder="1" applyAlignment="1"/>
    <xf numFmtId="0" fontId="19" fillId="0" borderId="0" xfId="0" applyFont="1" applyFill="1" applyBorder="1"/>
    <xf numFmtId="3" fontId="18" fillId="0" borderId="0" xfId="0" applyNumberFormat="1" applyFont="1" applyFill="1" applyBorder="1" applyAlignment="1" applyProtection="1">
      <alignment horizontal="left"/>
      <protection locked="0"/>
    </xf>
    <xf numFmtId="174" fontId="18" fillId="0" borderId="0" xfId="0" applyNumberFormat="1" applyFont="1" applyBorder="1" applyAlignment="1">
      <alignment horizontal="right"/>
    </xf>
    <xf numFmtId="0" fontId="23" fillId="0" borderId="0" xfId="0" applyFont="1" applyBorder="1"/>
    <xf numFmtId="0" fontId="19" fillId="0" borderId="0" xfId="6" applyFont="1" applyBorder="1" applyProtection="1">
      <protection locked="0"/>
    </xf>
    <xf numFmtId="0" fontId="18" fillId="0" borderId="0" xfId="6" applyFont="1"/>
    <xf numFmtId="0" fontId="18" fillId="0" borderId="0" xfId="6" applyFont="1" applyBorder="1" applyProtection="1">
      <protection locked="0"/>
    </xf>
    <xf numFmtId="0" fontId="18" fillId="0" borderId="0" xfId="6" applyFont="1" applyFill="1" applyBorder="1"/>
    <xf numFmtId="0" fontId="23" fillId="0" borderId="0" xfId="6" applyFont="1" applyFill="1" applyBorder="1"/>
    <xf numFmtId="169" fontId="18" fillId="0" borderId="0" xfId="6" applyNumberFormat="1" applyFont="1" applyBorder="1"/>
    <xf numFmtId="164" fontId="18" fillId="0" borderId="0" xfId="6" applyNumberFormat="1" applyFont="1" applyBorder="1" applyAlignment="1">
      <alignment horizontal="left"/>
    </xf>
    <xf numFmtId="0" fontId="18" fillId="0" borderId="0" xfId="6" applyFont="1" applyFill="1" applyBorder="1" applyProtection="1">
      <protection locked="0"/>
    </xf>
    <xf numFmtId="3" fontId="20" fillId="0" borderId="0" xfId="6" applyNumberFormat="1" applyFont="1" applyFill="1" applyBorder="1"/>
    <xf numFmtId="169" fontId="18" fillId="0" borderId="0" xfId="6" applyNumberFormat="1" applyFont="1" applyFill="1" applyBorder="1"/>
    <xf numFmtId="0" fontId="18" fillId="0" borderId="0" xfId="6" applyFont="1" applyBorder="1"/>
    <xf numFmtId="171" fontId="21" fillId="0" borderId="0" xfId="6" applyNumberFormat="1" applyFont="1" applyFill="1" applyBorder="1"/>
    <xf numFmtId="3" fontId="18" fillId="0" borderId="0" xfId="6" applyNumberFormat="1" applyFont="1" applyFill="1" applyBorder="1"/>
    <xf numFmtId="3" fontId="23" fillId="0" borderId="0" xfId="6" applyNumberFormat="1" applyFont="1" applyFill="1" applyBorder="1"/>
    <xf numFmtId="169" fontId="18" fillId="0" borderId="2" xfId="6" applyNumberFormat="1" applyFont="1" applyFill="1" applyBorder="1"/>
    <xf numFmtId="0" fontId="19" fillId="0" borderId="0" xfId="6" applyFont="1" applyFill="1" applyBorder="1" applyProtection="1">
      <protection locked="0"/>
    </xf>
    <xf numFmtId="9" fontId="18" fillId="0" borderId="0" xfId="6" applyNumberFormat="1" applyFont="1" applyFill="1" applyBorder="1"/>
    <xf numFmtId="169" fontId="18" fillId="0" borderId="0" xfId="6" applyNumberFormat="1" applyFont="1" applyBorder="1" applyAlignment="1">
      <alignment horizontal="right"/>
    </xf>
    <xf numFmtId="3" fontId="22" fillId="0" borderId="0" xfId="6" applyNumberFormat="1" applyFont="1" applyFill="1" applyBorder="1"/>
    <xf numFmtId="168" fontId="21" fillId="0" borderId="0" xfId="6" applyNumberFormat="1" applyFont="1" applyFill="1" applyBorder="1"/>
    <xf numFmtId="169" fontId="18" fillId="0" borderId="2" xfId="6" applyNumberFormat="1" applyFont="1" applyBorder="1"/>
    <xf numFmtId="168" fontId="18" fillId="0" borderId="0" xfId="6" applyNumberFormat="1" applyFont="1" applyFill="1" applyBorder="1"/>
    <xf numFmtId="3" fontId="12" fillId="0" borderId="2" xfId="6" applyNumberFormat="1" applyFont="1" applyFill="1" applyBorder="1"/>
    <xf numFmtId="3" fontId="21" fillId="0" borderId="0" xfId="6" applyNumberFormat="1" applyFont="1" applyFill="1" applyBorder="1"/>
    <xf numFmtId="3" fontId="0" fillId="0" borderId="0" xfId="0" applyNumberFormat="1" applyFont="1" applyFill="1" applyBorder="1"/>
    <xf numFmtId="176" fontId="21" fillId="0" borderId="0" xfId="0" applyNumberFormat="1" applyFont="1" applyFill="1" applyBorder="1"/>
    <xf numFmtId="169" fontId="18" fillId="0" borderId="2" xfId="6" applyNumberFormat="1" applyFont="1" applyBorder="1" applyAlignment="1">
      <alignment horizontal="right"/>
    </xf>
    <xf numFmtId="0" fontId="18" fillId="0" borderId="0" xfId="6" applyFont="1" applyFill="1"/>
    <xf numFmtId="164" fontId="18" fillId="0" borderId="0" xfId="6" applyNumberFormat="1" applyFont="1" applyFill="1" applyBorder="1" applyAlignment="1">
      <alignment horizontal="left"/>
    </xf>
    <xf numFmtId="171" fontId="18" fillId="0" borderId="0" xfId="6" applyNumberFormat="1" applyFont="1" applyFill="1" applyBorder="1"/>
    <xf numFmtId="3" fontId="18" fillId="0" borderId="2" xfId="6" applyNumberFormat="1" applyFont="1" applyFill="1" applyBorder="1"/>
    <xf numFmtId="168" fontId="18" fillId="0" borderId="0" xfId="6" applyNumberFormat="1" applyFont="1" applyBorder="1" applyAlignment="1">
      <alignment horizontal="right"/>
    </xf>
    <xf numFmtId="165" fontId="18" fillId="0" borderId="0" xfId="6" applyNumberFormat="1" applyFont="1" applyBorder="1" applyAlignment="1">
      <alignment horizontal="left"/>
    </xf>
    <xf numFmtId="169" fontId="20" fillId="0" borderId="0" xfId="6" applyNumberFormat="1" applyFont="1" applyBorder="1"/>
    <xf numFmtId="0" fontId="18" fillId="0" borderId="1" xfId="6" applyFont="1" applyBorder="1"/>
    <xf numFmtId="169" fontId="20" fillId="0" borderId="0" xfId="6" applyNumberFormat="1" applyFont="1" applyBorder="1" applyAlignment="1">
      <alignment horizontal="right"/>
    </xf>
    <xf numFmtId="171" fontId="22" fillId="0" borderId="0" xfId="6" applyNumberFormat="1" applyFont="1" applyFill="1" applyBorder="1"/>
    <xf numFmtId="169" fontId="18" fillId="0" borderId="0" xfId="6" applyNumberFormat="1" applyFont="1" applyFill="1" applyBorder="1" applyAlignment="1">
      <alignment horizontal="right"/>
    </xf>
    <xf numFmtId="166" fontId="18" fillId="0" borderId="0" xfId="2" applyNumberFormat="1" applyFont="1"/>
    <xf numFmtId="169" fontId="18" fillId="0" borderId="2" xfId="6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166" fontId="20" fillId="0" borderId="0" xfId="0" applyNumberFormat="1" applyFont="1" applyFill="1" applyBorder="1"/>
    <xf numFmtId="168" fontId="21" fillId="0" borderId="0" xfId="6" applyNumberFormat="1" applyFont="1" applyBorder="1" applyAlignment="1">
      <alignment horizontal="right"/>
    </xf>
    <xf numFmtId="166" fontId="22" fillId="0" borderId="0" xfId="0" applyNumberFormat="1" applyFont="1" applyFill="1" applyBorder="1"/>
    <xf numFmtId="166" fontId="0" fillId="0" borderId="0" xfId="2" applyNumberFormat="1" applyFont="1"/>
    <xf numFmtId="169" fontId="0" fillId="0" borderId="2" xfId="0" applyNumberFormat="1" applyFont="1" applyBorder="1"/>
    <xf numFmtId="0" fontId="19" fillId="0" borderId="0" xfId="6" applyFont="1" applyFill="1"/>
    <xf numFmtId="169" fontId="20" fillId="0" borderId="0" xfId="0" applyNumberFormat="1" applyFont="1" applyBorder="1"/>
    <xf numFmtId="169" fontId="0" fillId="0" borderId="0" xfId="0" applyNumberFormat="1" applyFont="1"/>
    <xf numFmtId="3" fontId="0" fillId="0" borderId="0" xfId="0" applyNumberFormat="1" applyFont="1" applyBorder="1"/>
    <xf numFmtId="0" fontId="18" fillId="0" borderId="0" xfId="0" applyFont="1" applyAlignment="1">
      <alignment horizontal="left"/>
    </xf>
    <xf numFmtId="169" fontId="0" fillId="0" borderId="0" xfId="0" applyNumberFormat="1" applyFont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64" fontId="18" fillId="0" borderId="1" xfId="3" applyNumberFormat="1" applyFont="1" applyBorder="1" applyAlignment="1"/>
    <xf numFmtId="0" fontId="0" fillId="0" borderId="2" xfId="0" applyFont="1" applyBorder="1"/>
    <xf numFmtId="3" fontId="0" fillId="0" borderId="2" xfId="0" applyNumberFormat="1" applyFont="1" applyBorder="1"/>
    <xf numFmtId="0" fontId="17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2" xfId="0" applyBorder="1"/>
    <xf numFmtId="0" fontId="0" fillId="0" borderId="23" xfId="0" applyFont="1" applyBorder="1"/>
    <xf numFmtId="3" fontId="0" fillId="0" borderId="23" xfId="0" applyNumberFormat="1" applyFont="1" applyBorder="1"/>
    <xf numFmtId="37" fontId="0" fillId="0" borderId="23" xfId="0" applyNumberFormat="1" applyFont="1" applyBorder="1"/>
    <xf numFmtId="37" fontId="0" fillId="0" borderId="24" xfId="0" applyNumberFormat="1" applyFont="1" applyBorder="1"/>
    <xf numFmtId="37" fontId="0" fillId="0" borderId="0" xfId="0" applyNumberFormat="1" applyFont="1" applyBorder="1"/>
    <xf numFmtId="0" fontId="19" fillId="0" borderId="0" xfId="4" applyFont="1" applyFill="1" applyAlignment="1">
      <alignment horizontal="centerContinuous"/>
    </xf>
    <xf numFmtId="0" fontId="18" fillId="0" borderId="1" xfId="0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"/>
    </xf>
    <xf numFmtId="169" fontId="18" fillId="0" borderId="2" xfId="0" applyNumberFormat="1" applyFont="1" applyFill="1" applyBorder="1"/>
    <xf numFmtId="168" fontId="12" fillId="0" borderId="0" xfId="6" applyNumberFormat="1" applyFont="1" applyFill="1" applyBorder="1"/>
    <xf numFmtId="171" fontId="12" fillId="0" borderId="0" xfId="6" applyNumberFormat="1" applyFont="1" applyFill="1" applyBorder="1"/>
    <xf numFmtId="171" fontId="16" fillId="0" borderId="0" xfId="6" applyNumberFormat="1" applyFont="1" applyFill="1" applyBorder="1"/>
    <xf numFmtId="168" fontId="18" fillId="0" borderId="0" xfId="6" applyNumberFormat="1" applyFont="1" applyFill="1" applyBorder="1" applyAlignment="1">
      <alignment horizontal="right"/>
    </xf>
    <xf numFmtId="169" fontId="20" fillId="0" borderId="0" xfId="6" applyNumberFormat="1" applyFont="1" applyFill="1" applyBorder="1"/>
    <xf numFmtId="169" fontId="20" fillId="0" borderId="0" xfId="6" applyNumberFormat="1" applyFont="1" applyFill="1" applyBorder="1" applyAlignment="1">
      <alignment horizontal="right"/>
    </xf>
    <xf numFmtId="169" fontId="0" fillId="0" borderId="2" xfId="0" applyNumberFormat="1" applyFont="1" applyFill="1" applyBorder="1"/>
    <xf numFmtId="169" fontId="20" fillId="0" borderId="0" xfId="0" applyNumberFormat="1" applyFont="1" applyFill="1" applyBorder="1"/>
    <xf numFmtId="169" fontId="0" fillId="0" borderId="0" xfId="0" applyNumberFormat="1" applyFont="1" applyFill="1" applyBorder="1"/>
    <xf numFmtId="0" fontId="18" fillId="0" borderId="2" xfId="0" applyFont="1" applyFill="1" applyBorder="1"/>
    <xf numFmtId="0" fontId="0" fillId="0" borderId="0" xfId="0" applyFont="1" applyFill="1"/>
    <xf numFmtId="37" fontId="0" fillId="0" borderId="23" xfId="0" applyNumberFormat="1" applyFont="1" applyFill="1" applyBorder="1"/>
    <xf numFmtId="37" fontId="0" fillId="0" borderId="0" xfId="0" applyNumberFormat="1" applyFont="1" applyFill="1" applyBorder="1"/>
    <xf numFmtId="168" fontId="1" fillId="0" borderId="4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62">
    <cellStyle name="Calculation 2" xfId="7"/>
    <cellStyle name="Calculation 3" xfId="8"/>
    <cellStyle name="Comma" xfId="2" builtinId="3"/>
    <cellStyle name="Comma 2" xfId="9"/>
    <cellStyle name="Comma0" xfId="10"/>
    <cellStyle name="Comma0 - Style4" xfId="11"/>
    <cellStyle name="Comma1 - Style1" xfId="12"/>
    <cellStyle name="Curren - Style2" xfId="13"/>
    <cellStyle name="Currency" xfId="1" builtinId="4"/>
    <cellStyle name="Currency 2" xfId="14"/>
    <cellStyle name="Currency 3" xfId="15"/>
    <cellStyle name="Currency0" xfId="16"/>
    <cellStyle name="Date" xfId="17"/>
    <cellStyle name="Date 2" xfId="18"/>
    <cellStyle name="Entered" xfId="19"/>
    <cellStyle name="Entered 2" xfId="20"/>
    <cellStyle name="Fixed" xfId="21"/>
    <cellStyle name="Grey" xfId="22"/>
    <cellStyle name="Heading 1 2" xfId="23"/>
    <cellStyle name="Heading 1 3" xfId="24"/>
    <cellStyle name="Heading 2 2" xfId="25"/>
    <cellStyle name="Heading 2 3" xfId="26"/>
    <cellStyle name="Heading1" xfId="27"/>
    <cellStyle name="Heading2" xfId="28"/>
    <cellStyle name="Input [yellow]" xfId="29"/>
    <cellStyle name="modified border" xfId="30"/>
    <cellStyle name="modified border1" xfId="31"/>
    <cellStyle name="Normal" xfId="0" builtinId="0"/>
    <cellStyle name="Normal - Style1" xfId="32"/>
    <cellStyle name="Normal - Style1 2" xfId="33"/>
    <cellStyle name="Normal 2" xfId="4"/>
    <cellStyle name="Normal 2 16 2" xfId="34"/>
    <cellStyle name="Normal 3" xfId="35"/>
    <cellStyle name="Percen - Style2" xfId="36"/>
    <cellStyle name="Percen - Style3" xfId="37"/>
    <cellStyle name="Percent" xfId="3" builtinId="5"/>
    <cellStyle name="Percent [2]" xfId="38"/>
    <cellStyle name="Percent [2] 2" xfId="39"/>
    <cellStyle name="Percent 2" xfId="40"/>
    <cellStyle name="Percent 3" xfId="5"/>
    <cellStyle name="Report" xfId="41"/>
    <cellStyle name="Report - Style5" xfId="42"/>
    <cellStyle name="Report - Style6" xfId="43"/>
    <cellStyle name="Report - Style7" xfId="44"/>
    <cellStyle name="Report - Style8" xfId="45"/>
    <cellStyle name="Report Bar" xfId="46"/>
    <cellStyle name="Report Heading" xfId="47"/>
    <cellStyle name="Report Unit Cost" xfId="48"/>
    <cellStyle name="Report Unit Cost 2" xfId="49"/>
    <cellStyle name="Reports Total" xfId="50"/>
    <cellStyle name="StmtTtl1" xfId="51"/>
    <cellStyle name="StmtTtl2" xfId="52"/>
    <cellStyle name="Style 1" xfId="53"/>
    <cellStyle name="Style 1 2" xfId="54"/>
    <cellStyle name="Test" xfId="6"/>
    <cellStyle name="Title: - Style3" xfId="55"/>
    <cellStyle name="Title: - Style4" xfId="56"/>
    <cellStyle name="Title: Major" xfId="57"/>
    <cellStyle name="Title: Minor" xfId="58"/>
    <cellStyle name="Title: Worksheet" xfId="59"/>
    <cellStyle name="Total 2" xfId="60"/>
    <cellStyle name="Total 3" xfId="61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3-04-05-06-08-GCOS-MODEL-19GRC-06-2019.xlsm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DESIGN-SPEC-CONTRACT-19GRC-06-2019(C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  <sheetName val="Exh. XXX-X Page 1"/>
      <sheetName val="NEW-PSE-WP-JAP04-GAS-NORMALIZED"/>
    </sheetNames>
    <sheetDataSet>
      <sheetData sheetId="0"/>
      <sheetData sheetId="1">
        <row r="12">
          <cell r="Q12">
            <v>7819.5396631578933</v>
          </cell>
        </row>
        <row r="13">
          <cell r="Q13">
            <v>516212984.2704078</v>
          </cell>
        </row>
        <row r="14">
          <cell r="Q14">
            <v>348.6415581600001</v>
          </cell>
        </row>
        <row r="15">
          <cell r="Q15">
            <v>166800125.62280762</v>
          </cell>
        </row>
        <row r="16">
          <cell r="Q16">
            <v>20273.016144500001</v>
          </cell>
        </row>
        <row r="17">
          <cell r="Q17">
            <v>34884521.187725566</v>
          </cell>
        </row>
        <row r="18">
          <cell r="Q18">
            <v>4149017.0405054935</v>
          </cell>
        </row>
        <row r="20">
          <cell r="Q20">
            <v>5909697.0660587074</v>
          </cell>
        </row>
        <row r="21">
          <cell r="Q21">
            <v>6992209.5125737172</v>
          </cell>
        </row>
        <row r="22">
          <cell r="Q22">
            <v>4329209.7851954335</v>
          </cell>
        </row>
        <row r="23">
          <cell r="Q23">
            <v>71202.333135000008</v>
          </cell>
        </row>
        <row r="24">
          <cell r="Q24">
            <v>7263265.2559702359</v>
          </cell>
        </row>
        <row r="25">
          <cell r="Q25">
            <v>3598279.4156455589</v>
          </cell>
        </row>
        <row r="26">
          <cell r="Q26">
            <v>1719215.5127806603</v>
          </cell>
        </row>
        <row r="29">
          <cell r="Q29">
            <v>5310380.6899999985</v>
          </cell>
        </row>
        <row r="34">
          <cell r="Q34">
            <v>5039913.28</v>
          </cell>
        </row>
      </sheetData>
      <sheetData sheetId="2"/>
      <sheetData sheetId="3">
        <row r="12">
          <cell r="D12">
            <v>3054.0466231578944</v>
          </cell>
        </row>
        <row r="13">
          <cell r="D13">
            <v>200452727.95384753</v>
          </cell>
        </row>
        <row r="14">
          <cell r="D14">
            <v>309.99023582000001</v>
          </cell>
        </row>
        <row r="15">
          <cell r="D15">
            <v>74023519.895873189</v>
          </cell>
        </row>
        <row r="16">
          <cell r="D16">
            <v>22.048746999999999</v>
          </cell>
        </row>
        <row r="17">
          <cell r="D17">
            <v>19564303.5988218</v>
          </cell>
        </row>
        <row r="18">
          <cell r="D18">
            <v>14431.910093999999</v>
          </cell>
        </row>
        <row r="19">
          <cell r="D19">
            <v>4356650.7616408002</v>
          </cell>
        </row>
        <row r="20">
          <cell r="D20">
            <v>52382.510747000008</v>
          </cell>
        </row>
        <row r="21">
          <cell r="D21">
            <v>2431877.92950228</v>
          </cell>
        </row>
        <row r="22">
          <cell r="D22">
            <v>245.90170500000005</v>
          </cell>
        </row>
        <row r="23">
          <cell r="D23">
            <v>6188133.3463399597</v>
          </cell>
        </row>
        <row r="24">
          <cell r="D24">
            <v>70159.115411000006</v>
          </cell>
        </row>
      </sheetData>
      <sheetData sheetId="4">
        <row r="10">
          <cell r="H10">
            <v>9344.1039999999994</v>
          </cell>
        </row>
        <row r="11">
          <cell r="H11">
            <v>613662109.14999998</v>
          </cell>
        </row>
        <row r="12">
          <cell r="H12">
            <v>64.477999999999994</v>
          </cell>
        </row>
        <row r="13">
          <cell r="H13">
            <v>232245222.903</v>
          </cell>
        </row>
        <row r="14">
          <cell r="H14">
            <v>31498.21</v>
          </cell>
        </row>
        <row r="15">
          <cell r="H15">
            <v>65497864.558000013</v>
          </cell>
        </row>
        <row r="16">
          <cell r="H16">
            <v>20617014.420000002</v>
          </cell>
        </row>
        <row r="17">
          <cell r="H17">
            <v>15787998.554000001</v>
          </cell>
        </row>
        <row r="18">
          <cell r="H18">
            <v>74832158.210000008</v>
          </cell>
        </row>
        <row r="19">
          <cell r="H19">
            <v>8752636.7929999996</v>
          </cell>
        </row>
        <row r="20">
          <cell r="H20">
            <v>351288.14999999997</v>
          </cell>
        </row>
        <row r="21">
          <cell r="H21">
            <v>22881723.659000002</v>
          </cell>
        </row>
        <row r="22">
          <cell r="H22">
            <v>100227307.72999999</v>
          </cell>
        </row>
        <row r="23">
          <cell r="H23">
            <v>37090866.750000007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  <row r="31">
          <cell r="Q31">
            <v>0.32665</v>
          </cell>
        </row>
        <row r="52">
          <cell r="Q52">
            <v>4.80769</v>
          </cell>
        </row>
        <row r="73">
          <cell r="Q73">
            <v>0.31873000000000001</v>
          </cell>
        </row>
        <row r="165">
          <cell r="Q165">
            <v>0.2271</v>
          </cell>
        </row>
        <row r="169">
          <cell r="Q169">
            <v>1.05</v>
          </cell>
        </row>
        <row r="177">
          <cell r="R177">
            <v>12624827.009</v>
          </cell>
        </row>
        <row r="178">
          <cell r="R178">
            <v>26859159.027000003</v>
          </cell>
        </row>
        <row r="179">
          <cell r="R179">
            <v>16421332.301999999</v>
          </cell>
        </row>
        <row r="223">
          <cell r="R223">
            <v>763026.83</v>
          </cell>
        </row>
        <row r="224">
          <cell r="R224">
            <v>2712904.3100000005</v>
          </cell>
        </row>
        <row r="225">
          <cell r="R225">
            <v>6116615.080000001</v>
          </cell>
        </row>
        <row r="265">
          <cell r="R265">
            <v>870656.54999999993</v>
          </cell>
        </row>
        <row r="266">
          <cell r="R266">
            <v>3128452.6100000003</v>
          </cell>
        </row>
        <row r="267">
          <cell r="R267">
            <v>10128757.759999998</v>
          </cell>
        </row>
        <row r="303">
          <cell r="R303">
            <v>259120.40999999997</v>
          </cell>
        </row>
        <row r="304">
          <cell r="R304">
            <v>1145626.7300000002</v>
          </cell>
        </row>
        <row r="305">
          <cell r="R305">
            <v>5084400.3599999994</v>
          </cell>
        </row>
        <row r="333">
          <cell r="Q333">
            <v>0.2702</v>
          </cell>
        </row>
        <row r="338">
          <cell r="Q338">
            <v>1.05</v>
          </cell>
        </row>
        <row r="346">
          <cell r="R346">
            <v>6486461.1909999996</v>
          </cell>
        </row>
        <row r="347">
          <cell r="R347">
            <v>3613700.0080000004</v>
          </cell>
        </row>
        <row r="348">
          <cell r="R348">
            <v>4118987.5950000002</v>
          </cell>
        </row>
        <row r="367">
          <cell r="R367">
            <v>0</v>
          </cell>
        </row>
        <row r="393">
          <cell r="R393">
            <v>1131160.4820000001</v>
          </cell>
        </row>
        <row r="394">
          <cell r="R394">
            <v>407581.815</v>
          </cell>
        </row>
        <row r="395">
          <cell r="R395">
            <v>30107.46299999996</v>
          </cell>
        </row>
        <row r="414">
          <cell r="R414">
            <v>0</v>
          </cell>
        </row>
        <row r="435">
          <cell r="R435">
            <v>9329606.8099999987</v>
          </cell>
        </row>
        <row r="436">
          <cell r="R436">
            <v>6157724.0800000001</v>
          </cell>
        </row>
        <row r="437">
          <cell r="R437">
            <v>7568131.3200000003</v>
          </cell>
        </row>
        <row r="452">
          <cell r="R452">
            <v>925.57</v>
          </cell>
        </row>
        <row r="472">
          <cell r="R472">
            <v>18793456.870000005</v>
          </cell>
        </row>
        <row r="473">
          <cell r="R473">
            <v>12574548.640000001</v>
          </cell>
        </row>
        <row r="474">
          <cell r="R474">
            <v>20408690.489999998</v>
          </cell>
        </row>
        <row r="489">
          <cell r="R489">
            <v>11359.04</v>
          </cell>
        </row>
        <row r="500">
          <cell r="Q500">
            <v>0.26795999999999998</v>
          </cell>
        </row>
        <row r="505">
          <cell r="Q505">
            <v>1.05</v>
          </cell>
        </row>
        <row r="513">
          <cell r="R513">
            <v>2006887.9390000002</v>
          </cell>
        </row>
        <row r="514">
          <cell r="R514">
            <v>6554291.0250000004</v>
          </cell>
        </row>
        <row r="532">
          <cell r="R532">
            <v>35297.54</v>
          </cell>
        </row>
        <row r="557">
          <cell r="R557">
            <v>47363.328000000001</v>
          </cell>
        </row>
        <row r="558">
          <cell r="R558">
            <v>144094.50099999999</v>
          </cell>
        </row>
        <row r="576">
          <cell r="R576">
            <v>0</v>
          </cell>
        </row>
        <row r="596">
          <cell r="R596">
            <v>23011.74</v>
          </cell>
        </row>
        <row r="597">
          <cell r="R597">
            <v>328276.40999999997</v>
          </cell>
        </row>
        <row r="611">
          <cell r="R611">
            <v>0</v>
          </cell>
        </row>
        <row r="626">
          <cell r="Q626">
            <v>0.27044000000000001</v>
          </cell>
        </row>
        <row r="631">
          <cell r="Q631">
            <v>1.05</v>
          </cell>
        </row>
        <row r="639">
          <cell r="R639">
            <v>1500625.1839999999</v>
          </cell>
        </row>
        <row r="640">
          <cell r="R640">
            <v>1470839.4029999999</v>
          </cell>
        </row>
        <row r="641">
          <cell r="R641">
            <v>2603460.2510000002</v>
          </cell>
        </row>
        <row r="642">
          <cell r="R642">
            <v>3197116.5289999996</v>
          </cell>
        </row>
        <row r="643">
          <cell r="R643">
            <v>3739136.7420000001</v>
          </cell>
        </row>
        <row r="644">
          <cell r="R644">
            <v>10370545.550000001</v>
          </cell>
        </row>
        <row r="666">
          <cell r="R666">
            <v>34827.85</v>
          </cell>
        </row>
        <row r="695">
          <cell r="R695">
            <v>0</v>
          </cell>
        </row>
        <row r="696">
          <cell r="R696">
            <v>0</v>
          </cell>
        </row>
        <row r="697">
          <cell r="R697">
            <v>0</v>
          </cell>
        </row>
        <row r="698">
          <cell r="R698">
            <v>0</v>
          </cell>
        </row>
        <row r="699">
          <cell r="R699">
            <v>0</v>
          </cell>
        </row>
        <row r="700">
          <cell r="R700">
            <v>0</v>
          </cell>
        </row>
        <row r="722">
          <cell r="R722">
            <v>0</v>
          </cell>
        </row>
        <row r="746">
          <cell r="R746">
            <v>900000</v>
          </cell>
        </row>
        <row r="747">
          <cell r="R747">
            <v>900000</v>
          </cell>
        </row>
        <row r="748">
          <cell r="R748">
            <v>1784439.38</v>
          </cell>
        </row>
        <row r="749">
          <cell r="R749">
            <v>3356128.55</v>
          </cell>
        </row>
        <row r="750">
          <cell r="R750">
            <v>4259272.2</v>
          </cell>
        </row>
        <row r="751">
          <cell r="R751">
            <v>7273447.7499999991</v>
          </cell>
        </row>
        <row r="769">
          <cell r="R769">
            <v>0</v>
          </cell>
        </row>
        <row r="792">
          <cell r="R792">
            <v>2100000</v>
          </cell>
        </row>
        <row r="793">
          <cell r="R793">
            <v>2100000</v>
          </cell>
        </row>
        <row r="794">
          <cell r="R794">
            <v>4199316.0999999996</v>
          </cell>
        </row>
        <row r="795">
          <cell r="R795">
            <v>8381384.2999999998</v>
          </cell>
        </row>
        <row r="796">
          <cell r="R796">
            <v>21994334.810000002</v>
          </cell>
        </row>
        <row r="797">
          <cell r="R797">
            <v>42978984.640000001</v>
          </cell>
        </row>
        <row r="815">
          <cell r="R815">
            <v>0</v>
          </cell>
        </row>
        <row r="862">
          <cell r="R862">
            <v>491.79494736842105</v>
          </cell>
        </row>
        <row r="890">
          <cell r="R890">
            <v>9401341.5170350727</v>
          </cell>
        </row>
        <row r="891">
          <cell r="R891">
            <v>1.4854545454545454</v>
          </cell>
        </row>
        <row r="892">
          <cell r="R892">
            <v>692597.12096613029</v>
          </cell>
        </row>
        <row r="893">
          <cell r="R893">
            <v>15978.11692331859</v>
          </cell>
        </row>
        <row r="894">
          <cell r="R894">
            <v>31</v>
          </cell>
        </row>
        <row r="895">
          <cell r="R895">
            <v>329.5178182456545</v>
          </cell>
        </row>
        <row r="896">
          <cell r="R896">
            <v>2661.5565121011946</v>
          </cell>
        </row>
        <row r="897">
          <cell r="R897">
            <v>60.025001175986063</v>
          </cell>
        </row>
        <row r="898">
          <cell r="R898">
            <v>1233.3356387208999</v>
          </cell>
        </row>
        <row r="899">
          <cell r="R899">
            <v>1199.4001036779719</v>
          </cell>
        </row>
        <row r="900">
          <cell r="R900">
            <v>22.033330326537975</v>
          </cell>
        </row>
        <row r="901">
          <cell r="R901">
            <v>118.76667017913593</v>
          </cell>
        </row>
        <row r="938">
          <cell r="R938">
            <v>9344.1039999999994</v>
          </cell>
        </row>
        <row r="939">
          <cell r="R939">
            <v>613662109.14999998</v>
          </cell>
        </row>
        <row r="940">
          <cell r="R940">
            <v>64.477999999999994</v>
          </cell>
        </row>
        <row r="941">
          <cell r="R941">
            <v>232245222.90300003</v>
          </cell>
        </row>
        <row r="943">
          <cell r="R943">
            <v>31498.21</v>
          </cell>
        </row>
        <row r="970">
          <cell r="R970">
            <v>0</v>
          </cell>
        </row>
        <row r="975">
          <cell r="R975">
            <v>4466417.6739999996</v>
          </cell>
        </row>
        <row r="976">
          <cell r="R976">
            <v>86412.906999999992</v>
          </cell>
        </row>
        <row r="977">
          <cell r="R977">
            <v>82401.308999999994</v>
          </cell>
        </row>
        <row r="979">
          <cell r="R979">
            <v>1160980.7009999999</v>
          </cell>
        </row>
        <row r="980">
          <cell r="R980">
            <v>697056</v>
          </cell>
        </row>
        <row r="981">
          <cell r="R981">
            <v>9750</v>
          </cell>
        </row>
        <row r="982">
          <cell r="R982">
            <v>308558</v>
          </cell>
        </row>
      </sheetData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  <row r="13">
          <cell r="H13">
            <v>0.34603</v>
          </cell>
        </row>
        <row r="24">
          <cell r="H24">
            <v>11</v>
          </cell>
        </row>
        <row r="25">
          <cell r="H25">
            <v>0.34603</v>
          </cell>
        </row>
        <row r="37">
          <cell r="H37">
            <v>9.69</v>
          </cell>
        </row>
      </sheetData>
      <sheetData sheetId="24">
        <row r="12">
          <cell r="H12">
            <v>32.159999999999997</v>
          </cell>
        </row>
        <row r="13">
          <cell r="H13">
            <v>0.29475000000000001</v>
          </cell>
        </row>
        <row r="14">
          <cell r="H14">
            <v>8.8199999999999997E-3</v>
          </cell>
        </row>
        <row r="24">
          <cell r="H24">
            <v>353.77</v>
          </cell>
        </row>
        <row r="25">
          <cell r="H25">
            <v>0.29475000000000001</v>
          </cell>
        </row>
        <row r="29">
          <cell r="H29">
            <v>6.9999999999999999E-4</v>
          </cell>
        </row>
        <row r="47">
          <cell r="H47">
            <v>106.43</v>
          </cell>
        </row>
        <row r="48">
          <cell r="H48">
            <v>115.88</v>
          </cell>
        </row>
        <row r="49">
          <cell r="H49">
            <v>1.17</v>
          </cell>
        </row>
        <row r="52">
          <cell r="H52">
            <v>0.12876000000000001</v>
          </cell>
        </row>
        <row r="53">
          <cell r="H53">
            <v>0.12876000000000001</v>
          </cell>
        </row>
        <row r="54">
          <cell r="H54">
            <v>0.10364</v>
          </cell>
        </row>
        <row r="56">
          <cell r="H56">
            <v>6.0899999999999999E-3</v>
          </cell>
        </row>
        <row r="69">
          <cell r="H69">
            <v>410.51</v>
          </cell>
        </row>
        <row r="70">
          <cell r="H70">
            <v>115.88</v>
          </cell>
        </row>
        <row r="71">
          <cell r="H71">
            <v>1.17</v>
          </cell>
        </row>
        <row r="74">
          <cell r="H74">
            <v>0.12876000000000001</v>
          </cell>
        </row>
        <row r="75">
          <cell r="H75">
            <v>0.12876000000000001</v>
          </cell>
        </row>
        <row r="76">
          <cell r="H76">
            <v>0.10364</v>
          </cell>
        </row>
        <row r="81">
          <cell r="H81">
            <v>6.9999999999999999E-4</v>
          </cell>
        </row>
      </sheetData>
      <sheetData sheetId="25">
        <row r="12">
          <cell r="H12">
            <v>548.57000000000005</v>
          </cell>
        </row>
        <row r="13">
          <cell r="H13">
            <v>1.21</v>
          </cell>
        </row>
        <row r="14">
          <cell r="H14">
            <v>7.4700000000000001E-3</v>
          </cell>
        </row>
        <row r="18">
          <cell r="H18">
            <v>9.9360000000000004E-2</v>
          </cell>
        </row>
        <row r="19">
          <cell r="H19">
            <v>4.9169999999999998E-2</v>
          </cell>
        </row>
        <row r="20">
          <cell r="H20">
            <v>4.7039999999999998E-2</v>
          </cell>
        </row>
        <row r="34">
          <cell r="H34">
            <v>877.69</v>
          </cell>
        </row>
        <row r="35">
          <cell r="H35">
            <v>1.21</v>
          </cell>
        </row>
        <row r="40">
          <cell r="H40">
            <v>9.9360000000000004E-2</v>
          </cell>
        </row>
        <row r="41">
          <cell r="H41">
            <v>4.9169999999999998E-2</v>
          </cell>
        </row>
        <row r="42">
          <cell r="H42">
            <v>4.7039999999999998E-2</v>
          </cell>
        </row>
        <row r="45">
          <cell r="H45">
            <v>6.9999999999999999E-4</v>
          </cell>
        </row>
        <row r="73">
          <cell r="H73">
            <v>139.36000000000001</v>
          </cell>
        </row>
        <row r="74">
          <cell r="H74">
            <v>1.22</v>
          </cell>
        </row>
        <row r="75">
          <cell r="H75">
            <v>9.0699999999999999E-3</v>
          </cell>
        </row>
        <row r="79">
          <cell r="H79">
            <v>0.19273999999999999</v>
          </cell>
        </row>
        <row r="80">
          <cell r="H80">
            <v>0.13664000000000001</v>
          </cell>
        </row>
        <row r="93">
          <cell r="H93">
            <v>443.44</v>
          </cell>
        </row>
        <row r="94">
          <cell r="H94">
            <v>1.22</v>
          </cell>
        </row>
        <row r="98">
          <cell r="H98">
            <v>0.19273999999999999</v>
          </cell>
        </row>
        <row r="99">
          <cell r="H99">
            <v>0.13664000000000001</v>
          </cell>
        </row>
        <row r="102">
          <cell r="H102">
            <v>6.9999999999999999E-4</v>
          </cell>
        </row>
        <row r="130">
          <cell r="H130">
            <v>557.39</v>
          </cell>
        </row>
        <row r="131">
          <cell r="H131">
            <v>1.38</v>
          </cell>
        </row>
        <row r="132">
          <cell r="H132">
            <v>5.94E-3</v>
          </cell>
        </row>
        <row r="136">
          <cell r="H136">
            <v>0.1391</v>
          </cell>
        </row>
        <row r="137">
          <cell r="H137">
            <v>8.4059999999999996E-2</v>
          </cell>
        </row>
        <row r="138">
          <cell r="H138">
            <v>5.3490000000000003E-2</v>
          </cell>
        </row>
        <row r="139">
          <cell r="H139">
            <v>3.4299999999999997E-2</v>
          </cell>
        </row>
        <row r="140">
          <cell r="H140">
            <v>2.4680000000000001E-2</v>
          </cell>
        </row>
        <row r="141">
          <cell r="H141">
            <v>1.9029999999999998E-2</v>
          </cell>
        </row>
        <row r="154">
          <cell r="H154">
            <v>891.83</v>
          </cell>
        </row>
        <row r="155">
          <cell r="H155">
            <v>1.38</v>
          </cell>
        </row>
        <row r="159">
          <cell r="H159">
            <v>0.1391</v>
          </cell>
        </row>
        <row r="160">
          <cell r="H160">
            <v>8.4059999999999996E-2</v>
          </cell>
        </row>
        <row r="161">
          <cell r="H161">
            <v>5.3490000000000003E-2</v>
          </cell>
        </row>
        <row r="162">
          <cell r="H162">
            <v>3.4299999999999997E-2</v>
          </cell>
        </row>
        <row r="163">
          <cell r="H163">
            <v>2.4680000000000001E-2</v>
          </cell>
        </row>
        <row r="164">
          <cell r="H164">
            <v>1.9029999999999998E-2</v>
          </cell>
        </row>
        <row r="167">
          <cell r="H167">
            <v>6.9999999999999999E-4</v>
          </cell>
        </row>
      </sheetData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ompare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N36">
            <v>643782.62296793424</v>
          </cell>
        </row>
        <row r="59">
          <cell r="G59">
            <v>1.0656008371912928</v>
          </cell>
          <cell r="H59">
            <v>0.82029567559197769</v>
          </cell>
          <cell r="I59">
            <v>1.2226189233151021</v>
          </cell>
          <cell r="J59">
            <v>1.0845120103296797</v>
          </cell>
          <cell r="K59">
            <v>1.707411033523901</v>
          </cell>
          <cell r="L59">
            <v>0.82593155314009759</v>
          </cell>
          <cell r="M59">
            <v>1.7057502539221219</v>
          </cell>
          <cell r="N59">
            <v>1.371887745989897</v>
          </cell>
        </row>
        <row r="61">
          <cell r="G61">
            <v>1.0423746778192853</v>
          </cell>
          <cell r="H61">
            <v>0.87071995377861777</v>
          </cell>
          <cell r="I61">
            <v>1.0941807453133927</v>
          </cell>
          <cell r="J61">
            <v>1.0608757798480533</v>
          </cell>
          <cell r="K61">
            <v>1.3859050797674022</v>
          </cell>
          <cell r="L61">
            <v>0.87668620697184441</v>
          </cell>
          <cell r="M61">
            <v>1.4156303991768961</v>
          </cell>
          <cell r="N61">
            <v>0.97839538914924085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  <sheetName val="Named Ranges"/>
    </sheetNames>
    <sheetDataSet>
      <sheetData sheetId="0" refreshError="1"/>
      <sheetData sheetId="1">
        <row r="21">
          <cell r="C21">
            <v>86128321</v>
          </cell>
        </row>
        <row r="30">
          <cell r="C30">
            <v>20255354.718354285</v>
          </cell>
        </row>
        <row r="34">
          <cell r="C34">
            <v>-8502667.6204237193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(C) Proposed"/>
      <sheetName val="(C) Commodity"/>
      <sheetName val="(C) 2018 Data"/>
    </sheetNames>
    <sheetDataSet>
      <sheetData sheetId="0"/>
      <sheetData sheetId="1">
        <row r="60">
          <cell r="P60">
            <v>1757818.4509374714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5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Q31" sqref="Q31"/>
    </sheetView>
  </sheetViews>
  <sheetFormatPr defaultColWidth="9.140625" defaultRowHeight="12.75" outlineLevelCol="1" x14ac:dyDescent="0.2"/>
  <cols>
    <col min="1" max="1" width="2.42578125" style="188" customWidth="1"/>
    <col min="2" max="2" width="30.28515625" style="188" customWidth="1"/>
    <col min="3" max="5" width="13.42578125" style="188" bestFit="1" customWidth="1"/>
    <col min="6" max="6" width="14" style="188" bestFit="1" customWidth="1"/>
    <col min="7" max="7" width="9" style="188" bestFit="1" customWidth="1"/>
    <col min="8" max="8" width="7.7109375" style="188" customWidth="1"/>
    <col min="9" max="9" width="14.7109375" style="188" hidden="1" customWidth="1" outlineLevel="1"/>
    <col min="10" max="10" width="8.85546875" style="188" hidden="1" customWidth="1" outlineLevel="1"/>
    <col min="11" max="11" width="14.42578125" style="188" hidden="1" customWidth="1" outlineLevel="1"/>
    <col min="12" max="12" width="12.7109375" style="188" hidden="1" customWidth="1" outlineLevel="1"/>
    <col min="13" max="13" width="8.85546875" style="188" bestFit="1" customWidth="1" collapsed="1"/>
    <col min="14" max="14" width="12.5703125" style="188" bestFit="1" customWidth="1"/>
    <col min="15" max="15" width="13.42578125" style="188" bestFit="1" customWidth="1"/>
    <col min="16" max="16" width="9.7109375" style="188" bestFit="1" customWidth="1"/>
    <col min="17" max="19" width="13.42578125" style="188" bestFit="1" customWidth="1"/>
    <col min="20" max="20" width="12.28515625" style="188" bestFit="1" customWidth="1"/>
    <col min="21" max="21" width="8" style="188" bestFit="1" customWidth="1"/>
    <col min="22" max="22" width="9.28515625" style="188" bestFit="1" customWidth="1"/>
    <col min="23" max="23" width="9.28515625" style="188" customWidth="1"/>
    <col min="24" max="24" width="9.140625" style="188"/>
    <col min="25" max="25" width="9.140625" style="154"/>
    <col min="26" max="16384" width="9.140625" style="188"/>
  </cols>
  <sheetData>
    <row r="1" spans="2:25" x14ac:dyDescent="0.2">
      <c r="B1" s="30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30"/>
      <c r="U1" s="72"/>
      <c r="V1" s="72"/>
      <c r="W1" s="72"/>
    </row>
    <row r="2" spans="2:25" x14ac:dyDescent="0.2">
      <c r="B2" s="30" t="s">
        <v>192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0"/>
      <c r="U2" s="72"/>
      <c r="V2" s="72"/>
      <c r="W2" s="72"/>
    </row>
    <row r="3" spans="2:25" x14ac:dyDescent="0.2">
      <c r="B3" s="30" t="s">
        <v>193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72"/>
      <c r="V3" s="72"/>
      <c r="W3" s="72"/>
    </row>
    <row r="4" spans="2:25" x14ac:dyDescent="0.2">
      <c r="B4" s="30" t="s">
        <v>194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0"/>
      <c r="U4" s="72"/>
      <c r="V4" s="72"/>
      <c r="W4" s="72"/>
    </row>
    <row r="5" spans="2:25" s="81" customFormat="1" x14ac:dyDescent="0.2">
      <c r="Q5" s="1"/>
      <c r="Y5" s="84"/>
    </row>
    <row r="6" spans="2:25" x14ac:dyDescent="0.2">
      <c r="B6" s="72"/>
      <c r="N6" s="154"/>
      <c r="O6" s="154"/>
      <c r="P6" s="154"/>
    </row>
    <row r="7" spans="2:25" x14ac:dyDescent="0.2">
      <c r="B7" s="72"/>
      <c r="G7" s="285" t="s">
        <v>1</v>
      </c>
      <c r="H7" s="285"/>
      <c r="I7" s="285"/>
    </row>
    <row r="8" spans="2:25" x14ac:dyDescent="0.2">
      <c r="C8" s="254" t="s">
        <v>2</v>
      </c>
      <c r="D8" s="254" t="s">
        <v>2</v>
      </c>
      <c r="E8" s="254" t="s">
        <v>2</v>
      </c>
      <c r="G8" s="285" t="s">
        <v>3</v>
      </c>
      <c r="H8" s="285"/>
      <c r="I8" s="285"/>
      <c r="J8" s="285"/>
      <c r="K8" s="286" t="s">
        <v>217</v>
      </c>
      <c r="L8" s="285"/>
      <c r="M8" s="285"/>
      <c r="N8" s="286" t="s">
        <v>4</v>
      </c>
      <c r="O8" s="286"/>
      <c r="P8" s="286"/>
      <c r="Q8" s="2"/>
      <c r="R8" s="254" t="s">
        <v>2</v>
      </c>
      <c r="S8" s="2"/>
      <c r="T8" s="3"/>
      <c r="W8" s="286" t="s">
        <v>5</v>
      </c>
    </row>
    <row r="9" spans="2:25" x14ac:dyDescent="0.2">
      <c r="C9" s="254" t="s">
        <v>6</v>
      </c>
      <c r="D9" s="254" t="s">
        <v>7</v>
      </c>
      <c r="E9" s="254" t="s">
        <v>8</v>
      </c>
      <c r="G9" s="285" t="s">
        <v>8</v>
      </c>
      <c r="H9" s="285"/>
      <c r="I9" s="285"/>
      <c r="J9" s="285" t="s">
        <v>4</v>
      </c>
      <c r="K9" s="285" t="s">
        <v>8</v>
      </c>
      <c r="L9" s="285" t="s">
        <v>215</v>
      </c>
      <c r="M9" s="285" t="s">
        <v>4</v>
      </c>
      <c r="N9" s="285" t="s">
        <v>8</v>
      </c>
      <c r="O9" s="285" t="s">
        <v>17</v>
      </c>
      <c r="P9" s="285" t="s">
        <v>204</v>
      </c>
      <c r="Q9" s="158" t="s">
        <v>10</v>
      </c>
      <c r="R9" s="254" t="s">
        <v>7</v>
      </c>
      <c r="S9" s="158" t="s">
        <v>10</v>
      </c>
      <c r="T9" s="158" t="s">
        <v>10</v>
      </c>
      <c r="U9" s="286" t="s">
        <v>1</v>
      </c>
      <c r="V9" s="286" t="s">
        <v>1</v>
      </c>
      <c r="W9" s="285" t="s">
        <v>11</v>
      </c>
      <c r="Y9" s="285"/>
    </row>
    <row r="10" spans="2:25" x14ac:dyDescent="0.2">
      <c r="C10" s="254" t="s">
        <v>12</v>
      </c>
      <c r="D10" s="254" t="s">
        <v>13</v>
      </c>
      <c r="E10" s="254" t="s">
        <v>13</v>
      </c>
      <c r="F10" s="285" t="s">
        <v>14</v>
      </c>
      <c r="G10" s="285" t="s">
        <v>15</v>
      </c>
      <c r="H10" s="285" t="s">
        <v>204</v>
      </c>
      <c r="I10" s="285" t="s">
        <v>205</v>
      </c>
      <c r="J10" s="285" t="s">
        <v>8</v>
      </c>
      <c r="K10" s="285" t="s">
        <v>16</v>
      </c>
      <c r="L10" s="285" t="s">
        <v>9</v>
      </c>
      <c r="M10" s="285" t="s">
        <v>8</v>
      </c>
      <c r="N10" s="285" t="s">
        <v>16</v>
      </c>
      <c r="O10" s="285" t="s">
        <v>205</v>
      </c>
      <c r="P10" s="285" t="s">
        <v>218</v>
      </c>
      <c r="Q10" s="285" t="s">
        <v>8</v>
      </c>
      <c r="R10" s="254" t="s">
        <v>13</v>
      </c>
      <c r="S10" s="285" t="s">
        <v>17</v>
      </c>
      <c r="T10" s="285" t="s">
        <v>18</v>
      </c>
      <c r="U10" s="285" t="s">
        <v>19</v>
      </c>
      <c r="V10" s="285" t="s">
        <v>20</v>
      </c>
      <c r="W10" s="285" t="s">
        <v>21</v>
      </c>
      <c r="Y10" s="285"/>
    </row>
    <row r="11" spans="2:25" x14ac:dyDescent="0.2">
      <c r="B11" s="37" t="s">
        <v>22</v>
      </c>
      <c r="C11" s="37" t="s">
        <v>23</v>
      </c>
      <c r="D11" s="37" t="s">
        <v>24</v>
      </c>
      <c r="E11" s="37" t="s">
        <v>23</v>
      </c>
      <c r="F11" s="287" t="s">
        <v>25</v>
      </c>
      <c r="G11" s="287" t="s">
        <v>26</v>
      </c>
      <c r="H11" s="287" t="s">
        <v>203</v>
      </c>
      <c r="I11" s="287" t="s">
        <v>27</v>
      </c>
      <c r="J11" s="287" t="s">
        <v>27</v>
      </c>
      <c r="K11" s="287" t="s">
        <v>26</v>
      </c>
      <c r="L11" s="287" t="s">
        <v>216</v>
      </c>
      <c r="M11" s="287" t="s">
        <v>27</v>
      </c>
      <c r="N11" s="287" t="s">
        <v>26</v>
      </c>
      <c r="O11" s="287" t="s">
        <v>8</v>
      </c>
      <c r="P11" s="287" t="s">
        <v>27</v>
      </c>
      <c r="Q11" s="287" t="s">
        <v>28</v>
      </c>
      <c r="R11" s="37" t="s">
        <v>24</v>
      </c>
      <c r="S11" s="287" t="s">
        <v>28</v>
      </c>
      <c r="T11" s="287" t="s">
        <v>8</v>
      </c>
      <c r="U11" s="287" t="s">
        <v>27</v>
      </c>
      <c r="V11" s="287" t="s">
        <v>27</v>
      </c>
      <c r="W11" s="287" t="s">
        <v>29</v>
      </c>
      <c r="Y11" s="285"/>
    </row>
    <row r="12" spans="2:25" x14ac:dyDescent="0.2">
      <c r="B12" s="286" t="s">
        <v>30</v>
      </c>
      <c r="C12" s="285" t="s">
        <v>31</v>
      </c>
      <c r="D12" s="285" t="s">
        <v>32</v>
      </c>
      <c r="E12" s="285" t="s">
        <v>33</v>
      </c>
      <c r="F12" s="285" t="s">
        <v>34</v>
      </c>
      <c r="G12" s="285" t="s">
        <v>35</v>
      </c>
      <c r="H12" s="285" t="s">
        <v>36</v>
      </c>
      <c r="I12" s="285"/>
      <c r="J12" s="285"/>
      <c r="K12" s="285"/>
      <c r="L12" s="285"/>
      <c r="M12" s="285" t="s">
        <v>37</v>
      </c>
      <c r="N12" s="285" t="s">
        <v>38</v>
      </c>
      <c r="O12" s="285" t="s">
        <v>39</v>
      </c>
      <c r="P12" s="285" t="s">
        <v>40</v>
      </c>
      <c r="Q12" s="285" t="s">
        <v>41</v>
      </c>
      <c r="R12" s="285" t="s">
        <v>42</v>
      </c>
      <c r="S12" s="285" t="s">
        <v>43</v>
      </c>
      <c r="T12" s="285" t="s">
        <v>44</v>
      </c>
      <c r="U12" s="285" t="s">
        <v>45</v>
      </c>
      <c r="V12" s="285" t="s">
        <v>302</v>
      </c>
      <c r="W12" s="285" t="s">
        <v>303</v>
      </c>
    </row>
    <row r="13" spans="2:25" x14ac:dyDescent="0.2">
      <c r="B13" s="16" t="s">
        <v>46</v>
      </c>
      <c r="C13" s="312">
        <f ca="1">SUM('[61]Revenue Exhibit'!$Q$12:$Q$14)</f>
        <v>516221152.4516291</v>
      </c>
      <c r="D13" s="312">
        <f ca="1">SUM('[61]Gas Cost Exhibit'!$D$12:$D$14)</f>
        <v>200456091.9907065</v>
      </c>
      <c r="E13" s="310">
        <f ca="1">C13-D13</f>
        <v>315765060.4609226</v>
      </c>
      <c r="F13" s="4">
        <f ca="1">SUM('[61]Volume Exhibit'!$H$10:$H$12)</f>
        <v>613671517.73199999</v>
      </c>
      <c r="G13" s="250">
        <f t="shared" ref="G13:G18" ca="1" si="0">E13/SUM(E$13:E$20)</f>
        <v>0.70152751200731622</v>
      </c>
      <c r="H13" s="352">
        <f ca="1">[62]SUMMARY!$G$59</f>
        <v>1.0656008371912928</v>
      </c>
      <c r="I13" s="5" t="s">
        <v>210</v>
      </c>
      <c r="J13" s="179">
        <f ca="1">N29</f>
        <v>0.21737511806267404</v>
      </c>
      <c r="K13" s="316">
        <f t="shared" ref="K13:K19" ca="1" si="1">E13*J13</f>
        <v>68639467.297760457</v>
      </c>
      <c r="L13" s="316">
        <f ca="1">(K13/SUM($K$13:$K$18))*$K$24</f>
        <v>-3862162.2528592264</v>
      </c>
      <c r="M13" s="179">
        <f t="shared" ref="M13:M18" ca="1" si="2">N13/E13</f>
        <v>0.20514399202478489</v>
      </c>
      <c r="N13" s="316">
        <f ca="1">K13+L13</f>
        <v>64777305.044901229</v>
      </c>
      <c r="O13" s="316">
        <f t="shared" ref="O13:O20" ca="1" si="3">N13+E13</f>
        <v>380542365.50582385</v>
      </c>
      <c r="P13" s="352">
        <f ca="1">[62]SUMMARY!$G$61</f>
        <v>1.0423746778192853</v>
      </c>
      <c r="Q13" s="317">
        <f ca="1">'Rate Design Res'!I47</f>
        <v>380542033.92868042</v>
      </c>
      <c r="R13" s="316">
        <f t="shared" ref="R13:R20" ca="1" si="4">D13</f>
        <v>200456091.9907065</v>
      </c>
      <c r="S13" s="316">
        <f ca="1">SUM(Q13:R13)</f>
        <v>580998125.91938686</v>
      </c>
      <c r="T13" s="310">
        <f ca="1">Q13-E13</f>
        <v>64776973.467757821</v>
      </c>
      <c r="U13" s="6">
        <f t="shared" ref="U13:U21" ca="1" si="5">T13/C13</f>
        <v>0.1254829895290421</v>
      </c>
      <c r="V13" s="6">
        <f t="shared" ref="V13:V21" ca="1" si="6">T13/E13</f>
        <v>0.20514294194931765</v>
      </c>
      <c r="W13" s="291">
        <f t="shared" ref="W13:W18" ca="1" si="7">T13-N13</f>
        <v>-331.5771434083581</v>
      </c>
      <c r="X13" s="7"/>
      <c r="Y13" s="6"/>
    </row>
    <row r="14" spans="2:25" x14ac:dyDescent="0.2">
      <c r="B14" s="8" t="s">
        <v>47</v>
      </c>
      <c r="C14" s="312">
        <f ca="1">SUM('[61]Revenue Exhibit'!$Q$15:$Q$16)</f>
        <v>166820398.63895214</v>
      </c>
      <c r="D14" s="312">
        <f ca="1">SUM('[61]Gas Cost Exhibit'!$D$15:$D$16)</f>
        <v>74023541.944620192</v>
      </c>
      <c r="E14" s="310">
        <f t="shared" ref="E14:E19" ca="1" si="8">C14-D14</f>
        <v>92796856.694331944</v>
      </c>
      <c r="F14" s="4">
        <f ca="1">SUM('[61]Volume Exhibit'!$H$13:$H$14)</f>
        <v>232276721.11300001</v>
      </c>
      <c r="G14" s="250">
        <f t="shared" ca="1" si="0"/>
        <v>0.20616450694021776</v>
      </c>
      <c r="H14" s="352">
        <f ca="1">[62]SUMMARY!$H$59</f>
        <v>0.82029567559197769</v>
      </c>
      <c r="I14" s="5" t="s">
        <v>211</v>
      </c>
      <c r="J14" s="179">
        <f ca="1">N29*1.5</f>
        <v>0.32606267709401104</v>
      </c>
      <c r="K14" s="316">
        <f t="shared" ca="1" si="1"/>
        <v>30257591.519663174</v>
      </c>
      <c r="L14" s="316">
        <f t="shared" ref="L14:L18" ca="1" si="9">(K14/SUM($K$13:$K$18))*$K$24</f>
        <v>-1702515.0752224645</v>
      </c>
      <c r="M14" s="179">
        <f t="shared" ca="1" si="2"/>
        <v>0.30771598803717731</v>
      </c>
      <c r="N14" s="316">
        <f t="shared" ref="N14:N19" ca="1" si="10">K14+L14</f>
        <v>28555076.444440708</v>
      </c>
      <c r="O14" s="316">
        <f t="shared" ca="1" si="3"/>
        <v>121351933.13877265</v>
      </c>
      <c r="P14" s="352">
        <f ca="1">[62]SUMMARY!$H$61</f>
        <v>0.87071995377861777</v>
      </c>
      <c r="Q14" s="317">
        <f ca="1">'Rate Design C&amp;I'!I117</f>
        <v>121353023.89999999</v>
      </c>
      <c r="R14" s="316">
        <f t="shared" ca="1" si="4"/>
        <v>74023541.944620192</v>
      </c>
      <c r="S14" s="316">
        <f ca="1">SUM(Q14:R14)</f>
        <v>195376565.84462017</v>
      </c>
      <c r="T14" s="310">
        <f t="shared" ref="T14:T20" ca="1" si="11">Q14-E14</f>
        <v>28556167.205668047</v>
      </c>
      <c r="U14" s="6">
        <f t="shared" ca="1" si="5"/>
        <v>0.17117910902174438</v>
      </c>
      <c r="V14" s="6">
        <f t="shared" ca="1" si="6"/>
        <v>0.3077277423278526</v>
      </c>
      <c r="W14" s="291">
        <f t="shared" ca="1" si="7"/>
        <v>1090.7612273395061</v>
      </c>
      <c r="X14" s="7"/>
      <c r="Y14" s="6"/>
    </row>
    <row r="15" spans="2:25" x14ac:dyDescent="0.2">
      <c r="B15" s="19" t="s">
        <v>48</v>
      </c>
      <c r="C15" s="312">
        <f ca="1">SUM('[61]Revenue Exhibit'!$Q$17:$Q$18)</f>
        <v>39033538.228231058</v>
      </c>
      <c r="D15" s="312">
        <f ca="1">SUM('[61]Gas Cost Exhibit'!$D$17:$D$18)</f>
        <v>19578735.508915801</v>
      </c>
      <c r="E15" s="310">
        <f t="shared" ca="1" si="8"/>
        <v>19454802.719315257</v>
      </c>
      <c r="F15" s="4">
        <f ca="1">SUM('[61]Volume Exhibit'!$H$15:$H$16)</f>
        <v>86114878.978000015</v>
      </c>
      <c r="G15" s="250">
        <f t="shared" ca="1" si="0"/>
        <v>4.3222259385988705E-2</v>
      </c>
      <c r="H15" s="352">
        <f ca="1">[62]SUMMARY!$I$59</f>
        <v>1.2226189233151021</v>
      </c>
      <c r="I15" s="5" t="s">
        <v>212</v>
      </c>
      <c r="J15" s="179">
        <f ca="1">N29*0.5</f>
        <v>0.10868755903133702</v>
      </c>
      <c r="K15" s="316">
        <f t="shared" ca="1" si="1"/>
        <v>2114495.0189985931</v>
      </c>
      <c r="L15" s="316">
        <f t="shared" ca="1" si="9"/>
        <v>-118977.07205110659</v>
      </c>
      <c r="M15" s="179">
        <f t="shared" ca="1" si="2"/>
        <v>0.10257199601239246</v>
      </c>
      <c r="N15" s="316">
        <f t="shared" ca="1" si="10"/>
        <v>1995517.9469474866</v>
      </c>
      <c r="O15" s="316">
        <f t="shared" ca="1" si="3"/>
        <v>21450320.666262742</v>
      </c>
      <c r="P15" s="352">
        <f ca="1">[62]SUMMARY!$I$61</f>
        <v>1.0941807453133927</v>
      </c>
      <c r="Q15" s="317">
        <f ca="1">'Rate Design C&amp;I'!I118</f>
        <v>21450333.458394401</v>
      </c>
      <c r="R15" s="316">
        <f t="shared" ca="1" si="4"/>
        <v>19578735.508915801</v>
      </c>
      <c r="S15" s="316">
        <f ca="1">SUM(Q15:R15)</f>
        <v>41029068.967310205</v>
      </c>
      <c r="T15" s="310">
        <f t="shared" ca="1" si="11"/>
        <v>1995530.7390791439</v>
      </c>
      <c r="U15" s="6">
        <f t="shared" ca="1" si="5"/>
        <v>5.1123490968489081E-2</v>
      </c>
      <c r="V15" s="6">
        <f t="shared" ca="1" si="6"/>
        <v>0.10257265354317506</v>
      </c>
      <c r="W15" s="291">
        <f t="shared" ca="1" si="7"/>
        <v>12.7921316572465</v>
      </c>
      <c r="X15" s="7"/>
      <c r="Y15" s="6"/>
    </row>
    <row r="16" spans="2:25" x14ac:dyDescent="0.2">
      <c r="B16" s="16" t="s">
        <v>49</v>
      </c>
      <c r="C16" s="312">
        <f ca="1">SUM('[61]Revenue Exhibit'!$Q$20:$Q$21)</f>
        <v>12901906.578632426</v>
      </c>
      <c r="D16" s="312">
        <f ca="1">SUM('[61]Gas Cost Exhibit'!$D$19:$D$20)</f>
        <v>4409033.2723877998</v>
      </c>
      <c r="E16" s="310">
        <f t="shared" ca="1" si="8"/>
        <v>8492873.3062446266</v>
      </c>
      <c r="F16" s="4">
        <f ca="1">SUM('[61]Volume Exhibit'!$H$17:$H$18)</f>
        <v>90620156.764000013</v>
      </c>
      <c r="G16" s="250">
        <f t="shared" ca="1" si="0"/>
        <v>1.8868408910176025E-2</v>
      </c>
      <c r="H16" s="352">
        <f ca="1">[62]SUMMARY!$J$59</f>
        <v>1.0845120103296797</v>
      </c>
      <c r="I16" s="5" t="s">
        <v>210</v>
      </c>
      <c r="J16" s="179">
        <f ca="1">N29</f>
        <v>0.21737511806267404</v>
      </c>
      <c r="K16" s="316">
        <f t="shared" ca="1" si="1"/>
        <v>1846139.3376362585</v>
      </c>
      <c r="L16" s="316">
        <f t="shared" ca="1" si="9"/>
        <v>-103877.4038325022</v>
      </c>
      <c r="M16" s="179">
        <f t="shared" ca="1" si="2"/>
        <v>0.20514399202478489</v>
      </c>
      <c r="N16" s="316">
        <f t="shared" ca="1" si="10"/>
        <v>1742261.9338037563</v>
      </c>
      <c r="O16" s="316">
        <f t="shared" ca="1" si="3"/>
        <v>10235135.240048382</v>
      </c>
      <c r="P16" s="352">
        <f ca="1">[62]SUMMARY!$J$61</f>
        <v>1.0608757798480533</v>
      </c>
      <c r="Q16" s="317">
        <f ca="1">'Rate Design Int &amp; Trans'!I21+'Rate Design Int &amp; Trans'!I42</f>
        <v>10235146.799999999</v>
      </c>
      <c r="R16" s="316">
        <f t="shared" ca="1" si="4"/>
        <v>4409033.2723877998</v>
      </c>
      <c r="S16" s="316">
        <f t="shared" ref="S16:S23" ca="1" si="12">SUM(Q16:R16)</f>
        <v>14644180.0723878</v>
      </c>
      <c r="T16" s="310">
        <f t="shared" ca="1" si="11"/>
        <v>1742273.4937553722</v>
      </c>
      <c r="U16" s="6">
        <f t="shared" ca="1" si="5"/>
        <v>0.13504000227693863</v>
      </c>
      <c r="V16" s="6">
        <f t="shared" ca="1" si="6"/>
        <v>0.20514535316031574</v>
      </c>
      <c r="W16" s="291">
        <f t="shared" ca="1" si="7"/>
        <v>11.559951615985483</v>
      </c>
      <c r="X16" s="7"/>
      <c r="Y16" s="6"/>
    </row>
    <row r="17" spans="2:25" x14ac:dyDescent="0.2">
      <c r="B17" s="19" t="s">
        <v>50</v>
      </c>
      <c r="C17" s="312">
        <f ca="1">SUM('[61]Revenue Exhibit'!$Q$22:$Q$23)</f>
        <v>4400412.118330434</v>
      </c>
      <c r="D17" s="312">
        <f ca="1">SUM('[61]Gas Cost Exhibit'!$D$21:$D$22)</f>
        <v>2432123.83120728</v>
      </c>
      <c r="E17" s="310">
        <f t="shared" ca="1" si="8"/>
        <v>1968288.2871231539</v>
      </c>
      <c r="F17" s="4">
        <f ca="1">SUM('[61]Volume Exhibit'!$H$19:$H$20)</f>
        <v>9103924.943</v>
      </c>
      <c r="G17" s="250">
        <f t="shared" ca="1" si="0"/>
        <v>4.3728979481234588E-3</v>
      </c>
      <c r="H17" s="352">
        <f ca="1">[62]SUMMARY!$K$59</f>
        <v>1.707411033523901</v>
      </c>
      <c r="I17" s="5" t="s">
        <v>219</v>
      </c>
      <c r="J17" s="179">
        <v>0</v>
      </c>
      <c r="K17" s="316">
        <f ca="1">E17*J17</f>
        <v>0</v>
      </c>
      <c r="L17" s="316">
        <f t="shared" ca="1" si="9"/>
        <v>0</v>
      </c>
      <c r="M17" s="179">
        <f t="shared" ca="1" si="2"/>
        <v>0</v>
      </c>
      <c r="N17" s="316">
        <f t="shared" ca="1" si="10"/>
        <v>0</v>
      </c>
      <c r="O17" s="316">
        <f t="shared" ca="1" si="3"/>
        <v>1968288.2871231539</v>
      </c>
      <c r="P17" s="352">
        <f ca="1">[62]SUMMARY!$K$61</f>
        <v>1.3859050797674022</v>
      </c>
      <c r="Q17" s="317">
        <f ca="1">'Rate Design Int &amp; Trans'!I115</f>
        <v>1968309.43</v>
      </c>
      <c r="R17" s="316">
        <f t="shared" ca="1" si="4"/>
        <v>2432123.83120728</v>
      </c>
      <c r="S17" s="316">
        <f ca="1">SUM(Q17:R17)</f>
        <v>4400433.2612072797</v>
      </c>
      <c r="T17" s="310">
        <f t="shared" ca="1" si="11"/>
        <v>21.142876846017316</v>
      </c>
      <c r="U17" s="6">
        <f t="shared" ca="1" si="5"/>
        <v>4.8047492547218881E-6</v>
      </c>
      <c r="V17" s="6">
        <f t="shared" ca="1" si="6"/>
        <v>1.0741758198906778E-5</v>
      </c>
      <c r="W17" s="291">
        <f t="shared" ca="1" si="7"/>
        <v>21.142876846017316</v>
      </c>
      <c r="X17" s="7"/>
      <c r="Y17" s="6"/>
    </row>
    <row r="18" spans="2:25" x14ac:dyDescent="0.2">
      <c r="B18" s="19" t="s">
        <v>51</v>
      </c>
      <c r="C18" s="312">
        <f ca="1">SUM('[61]Revenue Exhibit'!$Q$24:$Q$25)</f>
        <v>10861544.671615794</v>
      </c>
      <c r="D18" s="312">
        <f ca="1">SUM('[61]Gas Cost Exhibit'!$D$23:$D$24)</f>
        <v>6258292.46175096</v>
      </c>
      <c r="E18" s="310">
        <f ca="1">C18-D18</f>
        <v>4603252.2098648343</v>
      </c>
      <c r="F18" s="4">
        <f ca="1">SUM('[61]Volume Exhibit'!$H$21:$H$22)</f>
        <v>123109031.389</v>
      </c>
      <c r="G18" s="250">
        <f t="shared" ca="1" si="0"/>
        <v>1.0226932850692325E-2</v>
      </c>
      <c r="H18" s="352">
        <f ca="1">[62]SUMMARY!$L$59</f>
        <v>0.82593155314009759</v>
      </c>
      <c r="I18" s="5" t="s">
        <v>211</v>
      </c>
      <c r="J18" s="179">
        <f ca="1">1.5*N29</f>
        <v>0.32606267709401104</v>
      </c>
      <c r="K18" s="316">
        <f t="shared" ca="1" si="1"/>
        <v>1500948.7388874502</v>
      </c>
      <c r="L18" s="316">
        <f t="shared" ca="1" si="9"/>
        <v>-84454.436944572692</v>
      </c>
      <c r="M18" s="179">
        <f t="shared" ca="1" si="2"/>
        <v>0.30771598803717731</v>
      </c>
      <c r="N18" s="316">
        <f t="shared" ca="1" si="10"/>
        <v>1416494.3019428775</v>
      </c>
      <c r="O18" s="316">
        <f t="shared" ca="1" si="3"/>
        <v>6019746.5118077118</v>
      </c>
      <c r="P18" s="352">
        <f ca="1">[62]SUMMARY!$L$61</f>
        <v>0.87668620697184441</v>
      </c>
      <c r="Q18" s="317">
        <f ca="1">'Rate Design Int &amp; Trans'!I141+'Rate Design Int &amp; Trans'!I164</f>
        <v>6019690.2999999998</v>
      </c>
      <c r="R18" s="316">
        <f t="shared" ca="1" si="4"/>
        <v>6258292.46175096</v>
      </c>
      <c r="S18" s="316">
        <f t="shared" ca="1" si="12"/>
        <v>12277982.761750959</v>
      </c>
      <c r="T18" s="310">
        <f t="shared" ca="1" si="11"/>
        <v>1416438.0901351655</v>
      </c>
      <c r="U18" s="6">
        <f t="shared" ca="1" si="5"/>
        <v>0.13040853147128401</v>
      </c>
      <c r="V18" s="6">
        <f t="shared" ca="1" si="6"/>
        <v>0.30770377671241189</v>
      </c>
      <c r="W18" s="291">
        <f t="shared" ca="1" si="7"/>
        <v>-56.211807711981237</v>
      </c>
      <c r="X18" s="7"/>
      <c r="Y18" s="6"/>
    </row>
    <row r="19" spans="2:25" s="154" customFormat="1" x14ac:dyDescent="0.2">
      <c r="B19" s="19" t="s">
        <v>26</v>
      </c>
      <c r="C19" s="312">
        <f ca="1">'[61]Revenue Exhibit'!$Q$26</f>
        <v>1719215.5127806603</v>
      </c>
      <c r="D19" s="312">
        <v>0</v>
      </c>
      <c r="E19" s="310">
        <f t="shared" ca="1" si="8"/>
        <v>1719215.5127806603</v>
      </c>
      <c r="F19" s="4">
        <f ca="1">SUM('[61]Volume Exhibit'!$H$23)</f>
        <v>37090866.750000007</v>
      </c>
      <c r="G19" s="250"/>
      <c r="H19" s="352">
        <f ca="1">[62]SUMMARY!$M$59</f>
        <v>1.7057502539221219</v>
      </c>
      <c r="I19" s="5"/>
      <c r="J19" s="9"/>
      <c r="K19" s="316">
        <f t="shared" ca="1" si="1"/>
        <v>0</v>
      </c>
      <c r="L19" s="316">
        <f t="shared" ref="L19" ca="1" si="13">(K19/$K$21)*$K$24</f>
        <v>0</v>
      </c>
      <c r="M19" s="179">
        <f ca="1">V19</f>
        <v>2.2453809816068166E-2</v>
      </c>
      <c r="N19" s="316">
        <f t="shared" ca="1" si="10"/>
        <v>0</v>
      </c>
      <c r="O19" s="316">
        <f ca="1">N19+E19</f>
        <v>1719215.5127806603</v>
      </c>
      <c r="P19" s="352">
        <f ca="1">[62]SUMMARY!$M$61</f>
        <v>1.4156303991768961</v>
      </c>
      <c r="Q19" s="312">
        <f ca="1">'[64](C) Proposed'!$P$60</f>
        <v>1757818.4509374714</v>
      </c>
      <c r="R19" s="316">
        <f t="shared" si="4"/>
        <v>0</v>
      </c>
      <c r="S19" s="310">
        <f t="shared" ca="1" si="12"/>
        <v>1757818.4509374714</v>
      </c>
      <c r="T19" s="310">
        <f t="shared" ca="1" si="11"/>
        <v>38602.938156811055</v>
      </c>
      <c r="U19" s="6">
        <f t="shared" ca="1" si="5"/>
        <v>2.2453809816068166E-2</v>
      </c>
      <c r="V19" s="6">
        <f ca="1">T19/E19</f>
        <v>2.2453809816068166E-2</v>
      </c>
      <c r="W19" s="291"/>
      <c r="X19" s="7"/>
      <c r="Y19" s="6"/>
    </row>
    <row r="20" spans="2:25" x14ac:dyDescent="0.2">
      <c r="B20" s="16" t="s">
        <v>52</v>
      </c>
      <c r="C20" s="312">
        <f ca="1">'[61]Revenue Exhibit'!$Q$29</f>
        <v>5310380.6899999985</v>
      </c>
      <c r="D20" s="312">
        <v>0</v>
      </c>
      <c r="E20" s="316">
        <f ca="1">C20-D20</f>
        <v>5310380.6899999985</v>
      </c>
      <c r="F20" s="4">
        <v>0</v>
      </c>
      <c r="G20" s="250">
        <f ca="1">E20/SUM(E$13:E$20)</f>
        <v>1.1797942900425575E-2</v>
      </c>
      <c r="H20" s="352">
        <f ca="1">[62]SUMMARY!$N$59</f>
        <v>1.371887745989897</v>
      </c>
      <c r="I20" s="5" t="s">
        <v>220</v>
      </c>
      <c r="J20" s="179">
        <v>0</v>
      </c>
      <c r="K20" s="315">
        <f ca="1">-[62]SUMMARY!$N$36</f>
        <v>-643782.62296793424</v>
      </c>
      <c r="L20" s="316">
        <v>0</v>
      </c>
      <c r="M20" s="179">
        <f ca="1">N20/E20</f>
        <v>-0.12123097392626561</v>
      </c>
      <c r="N20" s="316">
        <f ca="1">K20+L20</f>
        <v>-643782.62296793424</v>
      </c>
      <c r="O20" s="316">
        <f t="shared" ca="1" si="3"/>
        <v>4666598.0670320643</v>
      </c>
      <c r="P20" s="352">
        <f ca="1">[62]SUMMARY!$N$61</f>
        <v>0.97839538914924085</v>
      </c>
      <c r="Q20" s="317">
        <f ca="1">E20+'Rate Design Rental'!J29</f>
        <v>4665849.629999999</v>
      </c>
      <c r="R20" s="310">
        <f t="shared" si="4"/>
        <v>0</v>
      </c>
      <c r="S20" s="316">
        <f ca="1">SUM(Q20:R20)</f>
        <v>4665849.629999999</v>
      </c>
      <c r="T20" s="310">
        <f t="shared" ca="1" si="11"/>
        <v>-644531.05999999959</v>
      </c>
      <c r="U20" s="10">
        <f t="shared" ca="1" si="5"/>
        <v>-0.12137191241556729</v>
      </c>
      <c r="V20" s="10">
        <f t="shared" ca="1" si="6"/>
        <v>-0.12137191241556729</v>
      </c>
      <c r="W20" s="291">
        <f ca="1">T20-N20</f>
        <v>-748.43703206535429</v>
      </c>
      <c r="X20" s="7"/>
      <c r="Y20" s="6"/>
    </row>
    <row r="21" spans="2:25" x14ac:dyDescent="0.2">
      <c r="B21" s="188" t="s">
        <v>53</v>
      </c>
      <c r="C21" s="313">
        <f ca="1">SUM(C13:C20)</f>
        <v>757268548.89017177</v>
      </c>
      <c r="D21" s="313">
        <f ca="1">SUM(D13:D20)</f>
        <v>307157819.00958854</v>
      </c>
      <c r="E21" s="313">
        <f ca="1">SUM(E13:E20)</f>
        <v>450110729.88058305</v>
      </c>
      <c r="F21" s="347">
        <f ca="1">SUM(F13:F20)</f>
        <v>1191987097.6690001</v>
      </c>
      <c r="G21" s="346">
        <f ca="1">SUM(G13:G20)</f>
        <v>0.99618046094293999</v>
      </c>
      <c r="H21" s="14"/>
      <c r="I21" s="14"/>
      <c r="J21" s="9"/>
      <c r="K21" s="313">
        <f ca="1">SUM(K13:K20)</f>
        <v>103714859.289978</v>
      </c>
      <c r="L21" s="313">
        <f ca="1">SUM(L13:L20)</f>
        <v>-5871986.2409098726</v>
      </c>
      <c r="M21" s="313"/>
      <c r="N21" s="313">
        <f ca="1">SUM(N13:N20)</f>
        <v>97842873.049068123</v>
      </c>
      <c r="O21" s="313">
        <f ca="1">SUM(O13:O20)</f>
        <v>547953602.92965126</v>
      </c>
      <c r="P21" s="313"/>
      <c r="Q21" s="313">
        <f ca="1">SUM(Q13:Q20)</f>
        <v>547992205.89801228</v>
      </c>
      <c r="R21" s="313">
        <f ca="1">SUM(R13:R20)</f>
        <v>307157819.00958854</v>
      </c>
      <c r="S21" s="313">
        <f ca="1">SUM(S13:S20)</f>
        <v>855150024.90760076</v>
      </c>
      <c r="T21" s="313">
        <f ca="1">SUM(T13:T20)</f>
        <v>97881476.017429218</v>
      </c>
      <c r="U21" s="6">
        <f t="shared" ca="1" si="5"/>
        <v>0.12925596363520067</v>
      </c>
      <c r="V21" s="6">
        <f t="shared" ca="1" si="6"/>
        <v>0.21746088133335043</v>
      </c>
      <c r="W21" s="313">
        <f ca="1">SUM(W13:W20)</f>
        <v>3.0204273061826825E-2</v>
      </c>
      <c r="X21" s="7"/>
      <c r="Y21" s="6"/>
    </row>
    <row r="22" spans="2:25" x14ac:dyDescent="0.2">
      <c r="B22" s="16"/>
      <c r="C22" s="314"/>
      <c r="D22" s="316"/>
      <c r="E22" s="316"/>
      <c r="F22" s="184"/>
      <c r="G22" s="5"/>
      <c r="H22" s="5"/>
      <c r="I22" s="5"/>
      <c r="J22" s="179"/>
      <c r="K22" s="316">
        <f ca="1">N26</f>
        <v>97881475.987224936</v>
      </c>
      <c r="L22" s="179"/>
      <c r="M22" s="179"/>
      <c r="N22" s="316"/>
      <c r="O22" s="316"/>
      <c r="P22" s="316"/>
      <c r="Q22" s="318"/>
      <c r="R22" s="310"/>
      <c r="S22" s="316"/>
      <c r="T22" s="310"/>
      <c r="U22" s="6"/>
      <c r="V22" s="6"/>
      <c r="W22" s="291"/>
    </row>
    <row r="23" spans="2:25" x14ac:dyDescent="0.2">
      <c r="B23" s="16" t="s">
        <v>54</v>
      </c>
      <c r="C23" s="315">
        <f ca="1">'[61]Revenue Exhibit'!$Q$34</f>
        <v>5039913.28</v>
      </c>
      <c r="D23" s="316"/>
      <c r="E23" s="316">
        <f ca="1">C23</f>
        <v>5039913.28</v>
      </c>
      <c r="F23" s="12"/>
      <c r="G23" s="5"/>
      <c r="H23" s="5"/>
      <c r="I23" s="5"/>
      <c r="J23" s="13"/>
      <c r="K23" s="13"/>
      <c r="L23" s="13"/>
      <c r="M23" s="13"/>
      <c r="N23" s="316"/>
      <c r="O23" s="316"/>
      <c r="P23" s="316"/>
      <c r="Q23" s="316">
        <f ca="1">E23</f>
        <v>5039913.28</v>
      </c>
      <c r="R23" s="310"/>
      <c r="S23" s="316">
        <f t="shared" ca="1" si="12"/>
        <v>5039913.28</v>
      </c>
      <c r="T23" s="310"/>
      <c r="U23" s="10">
        <f ca="1">T23/C23</f>
        <v>0</v>
      </c>
      <c r="V23" s="168"/>
      <c r="W23" s="154"/>
    </row>
    <row r="24" spans="2:25" x14ac:dyDescent="0.2">
      <c r="B24" s="16" t="s">
        <v>17</v>
      </c>
      <c r="C24" s="313">
        <f ca="1">SUM(C21:C23)</f>
        <v>762308462.17017174</v>
      </c>
      <c r="D24" s="313">
        <f ca="1">SUM(D21:D23)</f>
        <v>307157819.00958854</v>
      </c>
      <c r="E24" s="313">
        <f ca="1">SUM(E21:E23)</f>
        <v>455150643.16058302</v>
      </c>
      <c r="F24" s="347">
        <f ca="1">SUM(F21:F23)</f>
        <v>1191987097.6690001</v>
      </c>
      <c r="G24" s="14"/>
      <c r="H24" s="14"/>
      <c r="I24" s="14"/>
      <c r="J24" s="179" t="s">
        <v>214</v>
      </c>
      <c r="K24" s="316">
        <f ca="1">K22-K21-T19</f>
        <v>-5871986.2409098726</v>
      </c>
      <c r="L24" s="9"/>
      <c r="M24" s="9"/>
      <c r="N24" s="313">
        <f ca="1">SUM(N21:N23)</f>
        <v>97842873.049068123</v>
      </c>
      <c r="O24" s="313"/>
      <c r="P24" s="313"/>
      <c r="Q24" s="313">
        <f ca="1">SUM(Q21:Q23)</f>
        <v>553032119.17801225</v>
      </c>
      <c r="R24" s="311">
        <f ca="1">SUM(R21:R23)</f>
        <v>307157819.00958854</v>
      </c>
      <c r="S24" s="313">
        <f ca="1">SUM(S21:S23)</f>
        <v>860189938.18760073</v>
      </c>
      <c r="T24" s="311">
        <f ca="1">SUM(T21:T23)</f>
        <v>97881476.017429218</v>
      </c>
      <c r="U24" s="6">
        <f ca="1">T24/C24</f>
        <v>0.12840140294228944</v>
      </c>
      <c r="V24" s="11">
        <f ca="1">T24/E24</f>
        <v>0.21505292256149877</v>
      </c>
      <c r="W24" s="296">
        <f ca="1">SUM(W21:W23)</f>
        <v>3.0204273061826825E-2</v>
      </c>
    </row>
    <row r="25" spans="2:25" x14ac:dyDescent="0.2">
      <c r="N25" s="154"/>
      <c r="O25" s="154"/>
      <c r="P25" s="154"/>
      <c r="Q25" s="291"/>
      <c r="R25" s="154"/>
      <c r="T25" s="17"/>
      <c r="W25" s="187"/>
    </row>
    <row r="26" spans="2:25" x14ac:dyDescent="0.2">
      <c r="B26" s="16" t="s">
        <v>55</v>
      </c>
      <c r="N26" s="351">
        <f ca="1">SUM('[63]COC, Def, ConvF'!$C$21,'[63]COC, Def, ConvF'!$C$30,'[63]COC, Def, ConvF'!$C$34)</f>
        <v>97881475.987224936</v>
      </c>
      <c r="O26" s="350"/>
      <c r="P26" s="350"/>
      <c r="Q26" s="15"/>
      <c r="R26" s="306"/>
      <c r="S26" s="17"/>
      <c r="T26" s="18"/>
      <c r="U26" s="114"/>
      <c r="V26" s="114"/>
      <c r="W26" s="17"/>
    </row>
    <row r="27" spans="2:25" x14ac:dyDescent="0.2">
      <c r="B27" s="16" t="s">
        <v>56</v>
      </c>
      <c r="N27" s="306">
        <f ca="1">$N$26/(SUM(E$13:E$20))</f>
        <v>0.21746088126624633</v>
      </c>
      <c r="O27" s="306"/>
      <c r="P27" s="306"/>
      <c r="Q27" s="306"/>
      <c r="R27" s="291"/>
      <c r="S27" s="291"/>
      <c r="T27" s="87"/>
      <c r="U27" s="114"/>
      <c r="V27" s="114"/>
    </row>
    <row r="28" spans="2:25" x14ac:dyDescent="0.2">
      <c r="B28" s="16" t="s">
        <v>57</v>
      </c>
      <c r="E28" s="17"/>
      <c r="N28" s="306">
        <f ca="1">ROUND($N$26/(SUM(C$13:C$20)),4)</f>
        <v>0.1293</v>
      </c>
      <c r="O28" s="306"/>
      <c r="P28" s="306"/>
      <c r="R28" s="291"/>
      <c r="T28" s="18"/>
      <c r="U28" s="114"/>
      <c r="V28" s="114"/>
      <c r="W28" s="17"/>
    </row>
    <row r="29" spans="2:25" s="154" customFormat="1" x14ac:dyDescent="0.2">
      <c r="B29" s="19" t="s">
        <v>58</v>
      </c>
      <c r="E29" s="291"/>
      <c r="N29" s="306">
        <f ca="1">(N26-T19)/SUM(E13:E20)</f>
        <v>0.21737511806267404</v>
      </c>
      <c r="O29" s="306"/>
      <c r="P29" s="306"/>
      <c r="R29" s="291"/>
      <c r="T29" s="22"/>
      <c r="U29" s="153"/>
      <c r="V29" s="153"/>
      <c r="W29" s="291"/>
    </row>
    <row r="30" spans="2:25" s="154" customFormat="1" x14ac:dyDescent="0.2">
      <c r="B30" s="19"/>
      <c r="E30" s="291"/>
      <c r="F30" s="20"/>
      <c r="G30" s="20"/>
      <c r="H30" s="20"/>
      <c r="I30" s="20"/>
      <c r="N30" s="21"/>
      <c r="O30" s="21"/>
      <c r="P30" s="21"/>
      <c r="R30" s="291"/>
      <c r="S30" s="22"/>
      <c r="T30" s="153"/>
      <c r="U30" s="153"/>
      <c r="V30" s="153"/>
      <c r="W30" s="291"/>
    </row>
    <row r="31" spans="2:25" s="154" customFormat="1" x14ac:dyDescent="0.2">
      <c r="B31" s="19"/>
      <c r="E31" s="291"/>
      <c r="F31" s="20"/>
      <c r="G31" s="20"/>
      <c r="H31" s="20"/>
      <c r="I31" s="20"/>
      <c r="N31" s="23"/>
      <c r="O31" s="23"/>
      <c r="P31" s="23"/>
      <c r="R31" s="291"/>
      <c r="S31" s="22"/>
      <c r="T31" s="22"/>
      <c r="U31" s="153"/>
      <c r="V31" s="153"/>
      <c r="W31" s="291"/>
    </row>
    <row r="32" spans="2:25" s="154" customFormat="1" x14ac:dyDescent="0.2">
      <c r="B32" s="19" t="s">
        <v>59</v>
      </c>
      <c r="E32" s="291"/>
      <c r="F32" s="20"/>
      <c r="G32" s="20"/>
      <c r="H32" s="20"/>
      <c r="I32" s="20"/>
      <c r="N32" s="23"/>
      <c r="O32" s="23"/>
      <c r="P32" s="23"/>
      <c r="R32" s="291"/>
      <c r="S32" s="22"/>
      <c r="T32" s="22">
        <f ca="1">W24</f>
        <v>3.0204273061826825E-2</v>
      </c>
      <c r="U32" s="153"/>
      <c r="V32" s="153"/>
      <c r="W32" s="291"/>
    </row>
    <row r="33" spans="2:22" s="154" customFormat="1" x14ac:dyDescent="0.2">
      <c r="E33" s="291"/>
      <c r="F33" s="24"/>
      <c r="G33" s="20"/>
      <c r="H33" s="20"/>
      <c r="I33" s="20"/>
      <c r="N33" s="291"/>
      <c r="O33" s="291"/>
      <c r="P33" s="291"/>
      <c r="Q33" s="291"/>
      <c r="R33" s="291"/>
      <c r="S33" s="22"/>
      <c r="T33" s="153"/>
      <c r="U33" s="153"/>
      <c r="V33" s="153"/>
    </row>
    <row r="34" spans="2:22" s="154" customFormat="1" x14ac:dyDescent="0.2">
      <c r="B34" s="84" t="s">
        <v>199</v>
      </c>
      <c r="E34" s="291"/>
      <c r="F34" s="24"/>
      <c r="G34" s="20"/>
      <c r="H34" s="20"/>
      <c r="I34" s="20"/>
      <c r="S34" s="22"/>
      <c r="T34" s="153"/>
      <c r="U34" s="153"/>
      <c r="V34" s="153"/>
    </row>
    <row r="35" spans="2:22" s="154" customFormat="1" x14ac:dyDescent="0.2">
      <c r="B35" s="84" t="s">
        <v>304</v>
      </c>
      <c r="F35" s="24"/>
      <c r="G35" s="20"/>
      <c r="H35" s="20"/>
      <c r="I35" s="20"/>
      <c r="N35" s="291"/>
      <c r="O35" s="291"/>
      <c r="P35" s="291"/>
      <c r="Q35" s="291"/>
      <c r="R35" s="291"/>
    </row>
    <row r="36" spans="2:22" s="154" customFormat="1" x14ac:dyDescent="0.2">
      <c r="B36" s="84" t="s">
        <v>305</v>
      </c>
      <c r="F36" s="24"/>
      <c r="G36" s="20"/>
      <c r="H36" s="20"/>
      <c r="I36" s="20"/>
    </row>
    <row r="37" spans="2:22" s="154" customFormat="1" x14ac:dyDescent="0.2">
      <c r="F37" s="24"/>
      <c r="G37" s="20"/>
      <c r="H37" s="20"/>
      <c r="I37" s="20"/>
      <c r="N37" s="291"/>
      <c r="O37" s="291"/>
      <c r="P37" s="291"/>
      <c r="Q37" s="291"/>
      <c r="R37" s="291"/>
      <c r="S37" s="291"/>
    </row>
    <row r="38" spans="2:22" s="154" customFormat="1" x14ac:dyDescent="0.2">
      <c r="F38" s="24"/>
      <c r="G38" s="20"/>
      <c r="H38" s="20"/>
      <c r="I38" s="20"/>
      <c r="N38" s="291"/>
      <c r="O38" s="291"/>
      <c r="P38" s="291"/>
      <c r="Q38" s="291"/>
    </row>
    <row r="39" spans="2:22" s="154" customFormat="1" x14ac:dyDescent="0.2">
      <c r="B39" s="154" t="s">
        <v>213</v>
      </c>
      <c r="F39" s="24"/>
      <c r="G39" s="20"/>
      <c r="H39" s="20"/>
      <c r="I39" s="20"/>
      <c r="N39" s="291"/>
      <c r="O39" s="291"/>
      <c r="P39" s="291"/>
      <c r="T39" s="291"/>
    </row>
    <row r="40" spans="2:22" s="154" customFormat="1" x14ac:dyDescent="0.2">
      <c r="B40" s="154" t="s">
        <v>206</v>
      </c>
      <c r="C40" s="291"/>
      <c r="F40" s="24"/>
      <c r="G40" s="20"/>
      <c r="H40" s="20"/>
      <c r="I40" s="20"/>
      <c r="N40" s="348"/>
      <c r="O40" s="348"/>
      <c r="P40" s="348"/>
      <c r="Q40" s="22"/>
      <c r="R40" s="22"/>
      <c r="S40" s="22"/>
      <c r="T40" s="22"/>
    </row>
    <row r="41" spans="2:22" s="154" customFormat="1" x14ac:dyDescent="0.2">
      <c r="B41" s="154" t="s">
        <v>207</v>
      </c>
    </row>
    <row r="42" spans="2:22" s="154" customFormat="1" x14ac:dyDescent="0.2">
      <c r="B42" s="154" t="s">
        <v>209</v>
      </c>
    </row>
    <row r="43" spans="2:22" s="154" customFormat="1" x14ac:dyDescent="0.2">
      <c r="B43" s="84" t="s">
        <v>208</v>
      </c>
    </row>
    <row r="44" spans="2:22" s="154" customFormat="1" x14ac:dyDescent="0.2">
      <c r="G44" s="25"/>
      <c r="H44" s="25"/>
      <c r="I44" s="25"/>
      <c r="N44" s="349"/>
      <c r="O44" s="349"/>
      <c r="P44" s="349"/>
    </row>
    <row r="45" spans="2:22" s="154" customFormat="1" x14ac:dyDescent="0.2">
      <c r="G45" s="25"/>
      <c r="H45" s="25"/>
      <c r="I45" s="25"/>
    </row>
    <row r="46" spans="2:22" s="154" customFormat="1" x14ac:dyDescent="0.2">
      <c r="B46" s="154" t="s">
        <v>60</v>
      </c>
      <c r="G46" s="25"/>
      <c r="H46" s="25"/>
      <c r="I46" s="25"/>
    </row>
    <row r="47" spans="2:22" s="154" customFormat="1" x14ac:dyDescent="0.2">
      <c r="G47" s="25"/>
      <c r="H47" s="25"/>
      <c r="I47" s="25"/>
    </row>
    <row r="48" spans="2:22" s="154" customFormat="1" x14ac:dyDescent="0.2">
      <c r="G48" s="25"/>
      <c r="H48" s="25"/>
      <c r="I48" s="25"/>
    </row>
    <row r="49" spans="7:9" s="154" customFormat="1" x14ac:dyDescent="0.2">
      <c r="G49" s="25"/>
      <c r="H49" s="25"/>
      <c r="I49" s="25"/>
    </row>
    <row r="50" spans="7:9" s="154" customFormat="1" x14ac:dyDescent="0.2">
      <c r="G50" s="25"/>
      <c r="H50" s="25"/>
      <c r="I50" s="25"/>
    </row>
    <row r="51" spans="7:9" s="154" customFormat="1" x14ac:dyDescent="0.2">
      <c r="G51" s="25"/>
      <c r="H51" s="25"/>
      <c r="I51" s="25"/>
    </row>
    <row r="52" spans="7:9" s="154" customFormat="1" x14ac:dyDescent="0.2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&amp;L&amp;F
&amp;A&amp;RExhibit No. ___(JDT-07)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5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0" customWidth="1"/>
    <col min="3" max="3" width="9.7109375" style="180" customWidth="1"/>
    <col min="4" max="4" width="12.7109375" style="154" customWidth="1"/>
    <col min="5" max="5" width="10.42578125" style="154" customWidth="1"/>
    <col min="6" max="6" width="13.28515625" style="180" customWidth="1"/>
    <col min="7" max="7" width="2.85546875" style="109" customWidth="1"/>
    <col min="8" max="8" width="10.42578125" style="188" bestFit="1" customWidth="1"/>
    <col min="9" max="9" width="13.28515625" style="271" customWidth="1"/>
    <col min="10" max="10" width="2.85546875" style="164" customWidth="1"/>
    <col min="11" max="11" width="13.28515625" style="188" customWidth="1"/>
    <col min="12" max="12" width="10.42578125" style="32" customWidth="1"/>
    <col min="13" max="13" width="2.85546875" style="32" customWidth="1"/>
    <col min="14" max="14" width="1.5703125" style="32" customWidth="1"/>
    <col min="15" max="15" width="14.5703125" style="188" customWidth="1"/>
    <col min="16" max="16" width="2.85546875" style="188" customWidth="1"/>
    <col min="17" max="17" width="8.85546875" style="88" customWidth="1"/>
    <col min="18" max="16384" width="9.140625" style="188"/>
  </cols>
  <sheetData>
    <row r="1" spans="2:26" x14ac:dyDescent="0.2">
      <c r="B1" s="30"/>
      <c r="C1" s="30"/>
      <c r="D1" s="75"/>
      <c r="E1" s="75"/>
      <c r="F1" s="30"/>
      <c r="G1" s="26"/>
      <c r="H1" s="72"/>
      <c r="I1" s="73"/>
      <c r="J1" s="27"/>
      <c r="K1" s="72"/>
      <c r="L1" s="28"/>
      <c r="M1" s="28"/>
      <c r="N1" s="28"/>
      <c r="O1" s="72"/>
      <c r="P1" s="72"/>
      <c r="Q1" s="78"/>
    </row>
    <row r="2" spans="2:26" x14ac:dyDescent="0.2">
      <c r="B2" s="30" t="s">
        <v>0</v>
      </c>
      <c r="C2" s="30"/>
      <c r="D2" s="29"/>
      <c r="E2" s="29"/>
      <c r="F2" s="30"/>
      <c r="G2" s="30"/>
      <c r="H2" s="30"/>
      <c r="I2" s="30"/>
      <c r="J2" s="30"/>
      <c r="K2" s="30"/>
      <c r="L2" s="30"/>
      <c r="M2" s="28"/>
      <c r="N2" s="28"/>
      <c r="O2" s="72"/>
      <c r="P2" s="72"/>
      <c r="Q2" s="78"/>
    </row>
    <row r="3" spans="2:26" x14ac:dyDescent="0.2">
      <c r="B3" s="307" t="str">
        <f>'Rate Spread'!B2</f>
        <v>2019 Gas General Rate Case Filing</v>
      </c>
      <c r="C3" s="30"/>
      <c r="D3" s="29"/>
      <c r="E3" s="29"/>
      <c r="F3" s="30"/>
      <c r="G3" s="30"/>
      <c r="H3" s="30"/>
      <c r="I3" s="30"/>
      <c r="J3" s="30"/>
      <c r="K3" s="30"/>
      <c r="L3" s="30"/>
      <c r="M3" s="28"/>
      <c r="N3" s="28"/>
      <c r="O3" s="72"/>
      <c r="P3" s="72"/>
      <c r="Q3" s="78"/>
    </row>
    <row r="4" spans="2:26" x14ac:dyDescent="0.2">
      <c r="B4" s="30" t="s">
        <v>195</v>
      </c>
      <c r="C4" s="30"/>
      <c r="D4" s="29"/>
      <c r="E4" s="29"/>
      <c r="F4" s="30"/>
      <c r="G4" s="30"/>
      <c r="H4" s="30"/>
      <c r="I4" s="30"/>
      <c r="J4" s="30"/>
      <c r="K4" s="30"/>
      <c r="L4" s="30"/>
      <c r="M4" s="28"/>
      <c r="N4" s="28"/>
      <c r="O4" s="72"/>
      <c r="P4" s="72"/>
      <c r="Q4" s="78"/>
    </row>
    <row r="5" spans="2:26" x14ac:dyDescent="0.2">
      <c r="B5" s="30" t="str">
        <f>'Rate Spread'!B4</f>
        <v>Test Year Ended December 31, 2018</v>
      </c>
      <c r="C5" s="30"/>
      <c r="D5" s="29"/>
      <c r="E5" s="29"/>
      <c r="F5" s="30"/>
      <c r="G5" s="30"/>
      <c r="H5" s="30"/>
      <c r="I5" s="30"/>
      <c r="J5" s="30"/>
      <c r="K5" s="30"/>
      <c r="L5" s="30"/>
      <c r="M5" s="28"/>
      <c r="N5" s="31"/>
      <c r="O5" s="80"/>
      <c r="P5" s="72"/>
      <c r="Q5" s="78"/>
    </row>
    <row r="6" spans="2:26" x14ac:dyDescent="0.2">
      <c r="N6" s="232"/>
      <c r="O6" s="114"/>
    </row>
    <row r="7" spans="2:26" ht="15" customHeight="1" x14ac:dyDescent="0.2">
      <c r="B7" s="89"/>
      <c r="C7" s="90"/>
      <c r="D7" s="91" t="s">
        <v>61</v>
      </c>
      <c r="E7" s="93" t="s">
        <v>62</v>
      </c>
      <c r="F7" s="92"/>
      <c r="G7" s="33"/>
      <c r="H7" s="34" t="s">
        <v>4</v>
      </c>
      <c r="I7" s="92"/>
      <c r="J7" s="94"/>
      <c r="K7" s="92" t="s">
        <v>63</v>
      </c>
      <c r="L7" s="35"/>
      <c r="M7" s="95"/>
      <c r="N7" s="95"/>
      <c r="O7" s="254" t="s">
        <v>21</v>
      </c>
      <c r="Q7" s="36" t="s">
        <v>64</v>
      </c>
    </row>
    <row r="8" spans="2:26" x14ac:dyDescent="0.2">
      <c r="B8" s="96" t="s">
        <v>65</v>
      </c>
      <c r="C8" s="37" t="s">
        <v>66</v>
      </c>
      <c r="D8" s="287" t="s">
        <v>67</v>
      </c>
      <c r="E8" s="287" t="s">
        <v>23</v>
      </c>
      <c r="F8" s="97" t="s">
        <v>68</v>
      </c>
      <c r="G8" s="37"/>
      <c r="H8" s="37" t="s">
        <v>23</v>
      </c>
      <c r="I8" s="97" t="s">
        <v>68</v>
      </c>
      <c r="J8" s="97"/>
      <c r="K8" s="97" t="s">
        <v>69</v>
      </c>
      <c r="L8" s="203" t="s">
        <v>70</v>
      </c>
      <c r="M8" s="99"/>
      <c r="N8" s="99"/>
      <c r="O8" s="37" t="s">
        <v>27</v>
      </c>
      <c r="Q8" s="38" t="s">
        <v>1</v>
      </c>
    </row>
    <row r="9" spans="2:26" x14ac:dyDescent="0.2">
      <c r="B9" s="114"/>
      <c r="C9" s="114"/>
      <c r="D9" s="153"/>
      <c r="E9" s="153"/>
      <c r="F9" s="114"/>
      <c r="H9" s="114"/>
      <c r="I9" s="164"/>
      <c r="K9" s="114"/>
      <c r="L9" s="232"/>
      <c r="M9" s="232"/>
      <c r="N9" s="232"/>
      <c r="O9" s="114"/>
    </row>
    <row r="10" spans="2:26" x14ac:dyDescent="0.2">
      <c r="B10" s="103" t="s">
        <v>71</v>
      </c>
      <c r="C10" s="39"/>
      <c r="D10" s="106"/>
      <c r="E10" s="106"/>
      <c r="F10" s="104"/>
      <c r="G10" s="192"/>
      <c r="H10" s="106"/>
      <c r="I10" s="105"/>
      <c r="J10" s="105"/>
      <c r="K10" s="105"/>
      <c r="L10" s="210"/>
      <c r="M10" s="232"/>
      <c r="N10" s="232"/>
      <c r="O10" s="114"/>
    </row>
    <row r="11" spans="2:26" x14ac:dyDescent="0.2">
      <c r="B11" s="173"/>
      <c r="C11" s="114"/>
      <c r="D11" s="153"/>
      <c r="E11" s="153"/>
      <c r="F11" s="114"/>
      <c r="G11" s="40"/>
      <c r="H11" s="153"/>
      <c r="I11" s="148"/>
      <c r="J11" s="148"/>
      <c r="K11" s="148"/>
      <c r="L11" s="211"/>
      <c r="M11" s="232"/>
      <c r="N11" s="232"/>
      <c r="O11" s="41" t="s">
        <v>72</v>
      </c>
      <c r="P11" s="114"/>
    </row>
    <row r="12" spans="2:26" x14ac:dyDescent="0.2">
      <c r="B12" s="138" t="s">
        <v>73</v>
      </c>
      <c r="C12" s="169" t="s">
        <v>74</v>
      </c>
      <c r="D12" s="111">
        <f ca="1">'[61](C) Norm Rev at 2018TR Rates'!$R$890</f>
        <v>9401341.5170350727</v>
      </c>
      <c r="E12" s="112">
        <f ca="1">'[61]Rate Design Res TR'!$H$12</f>
        <v>11</v>
      </c>
      <c r="F12" s="148">
        <f ca="1">SUM(+D12*E12)</f>
        <v>103414756.6873858</v>
      </c>
      <c r="H12" s="112">
        <f>'Current ERF Rates'!I9</f>
        <v>11.52</v>
      </c>
      <c r="I12" s="148">
        <f ca="1">SUM(+D12*H12)</f>
        <v>108303454.27624403</v>
      </c>
      <c r="J12" s="148"/>
      <c r="K12" s="148">
        <f ca="1">I12-F12</f>
        <v>4888697.5888582319</v>
      </c>
      <c r="L12" s="110">
        <f ca="1">ROUND(K12/F12,5)</f>
        <v>4.727E-2</v>
      </c>
      <c r="M12" s="232"/>
      <c r="N12" s="232"/>
      <c r="O12" s="113">
        <f ca="1">'Rate Spread'!N13*((D13+D24)/(D13+D24+D37))</f>
        <v>64776318.70960997</v>
      </c>
      <c r="P12" s="114"/>
      <c r="Q12" s="87">
        <f ca="1">H12/E12-1</f>
        <v>4.7272727272727133E-2</v>
      </c>
    </row>
    <row r="13" spans="2:26" x14ac:dyDescent="0.2">
      <c r="B13" s="173" t="s">
        <v>75</v>
      </c>
      <c r="C13" s="114" t="s">
        <v>76</v>
      </c>
      <c r="D13" s="150">
        <f ca="1">'[61](C) Norm Rev at 2018TR Rates'!$R$939</f>
        <v>613662109.14999998</v>
      </c>
      <c r="E13" s="115">
        <f ca="1">'[61]Rate Design Res TR'!$H$13</f>
        <v>0.34603</v>
      </c>
      <c r="F13" s="148">
        <f ca="1">ROUND(D13*E13,2)</f>
        <v>212345499.63</v>
      </c>
      <c r="H13" s="147">
        <f ca="1">ROUND(E13*(1+$O$16),5)</f>
        <v>0.44362000000000001</v>
      </c>
      <c r="I13" s="148">
        <f ca="1">ROUND(D13*H13,2)</f>
        <v>272232784.86000001</v>
      </c>
      <c r="J13" s="148"/>
      <c r="K13" s="148">
        <f ca="1">I13-F13</f>
        <v>59887285.230000019</v>
      </c>
      <c r="L13" s="110">
        <f ca="1">ROUND(K13/F13,5)</f>
        <v>0.28203</v>
      </c>
      <c r="M13" s="114"/>
      <c r="N13" s="114"/>
      <c r="O13" s="116" t="s">
        <v>77</v>
      </c>
      <c r="P13" s="114"/>
      <c r="Q13" s="87">
        <f ca="1">H13/E13-1</f>
        <v>0.28202756986388455</v>
      </c>
    </row>
    <row r="14" spans="2:26" x14ac:dyDescent="0.2">
      <c r="B14" s="42"/>
      <c r="C14" s="212"/>
      <c r="D14" s="117"/>
      <c r="E14" s="121"/>
      <c r="F14" s="105">
        <f ca="1">SUM(F12:F13)</f>
        <v>315760256.31738579</v>
      </c>
      <c r="H14" s="153"/>
      <c r="I14" s="105">
        <f ca="1">SUM(I12:I13)</f>
        <v>380536239.13624406</v>
      </c>
      <c r="J14" s="148"/>
      <c r="K14" s="105">
        <f ca="1">SUM(K12:K13)</f>
        <v>64775982.818858251</v>
      </c>
      <c r="L14" s="107">
        <f ca="1">ROUND(K14/F14,5)</f>
        <v>0.20513999999999999</v>
      </c>
      <c r="M14" s="114"/>
      <c r="N14" s="114"/>
      <c r="O14" s="214">
        <f ca="1">(K14+K25)-O12</f>
        <v>-328.82831535488367</v>
      </c>
      <c r="P14" s="114"/>
      <c r="Q14" s="43"/>
    </row>
    <row r="15" spans="2:26" x14ac:dyDescent="0.2">
      <c r="B15" s="42"/>
      <c r="C15" s="44"/>
      <c r="D15" s="153"/>
      <c r="E15" s="115"/>
      <c r="F15" s="45"/>
      <c r="H15" s="153"/>
      <c r="I15" s="148"/>
      <c r="J15" s="148"/>
      <c r="K15" s="148"/>
      <c r="L15" s="211"/>
      <c r="M15" s="87"/>
      <c r="N15" s="87"/>
      <c r="O15" s="46"/>
      <c r="Q15" s="102"/>
    </row>
    <row r="16" spans="2:26" x14ac:dyDescent="0.2">
      <c r="B16" s="173" t="s">
        <v>78</v>
      </c>
      <c r="C16" s="114" t="s">
        <v>76</v>
      </c>
      <c r="D16" s="117">
        <f ca="1">D13</f>
        <v>613662109.14999998</v>
      </c>
      <c r="E16" s="115">
        <f ca="1">'[61](C) Norm Rev at 2018TR Rates'!$Q$31</f>
        <v>0.32665</v>
      </c>
      <c r="F16" s="105">
        <f ca="1">E16*D16</f>
        <v>200452727.9538475</v>
      </c>
      <c r="G16" s="114"/>
      <c r="H16" s="319">
        <f ca="1">E16</f>
        <v>0.32665</v>
      </c>
      <c r="I16" s="105">
        <f ca="1">H16*D16</f>
        <v>200452727.9538475</v>
      </c>
      <c r="J16" s="148"/>
      <c r="K16" s="105">
        <f ca="1">I16-F16</f>
        <v>0</v>
      </c>
      <c r="L16" s="107">
        <f ca="1">ROUND(K16/F16,5)</f>
        <v>0</v>
      </c>
      <c r="M16" s="87"/>
      <c r="N16" s="87"/>
      <c r="O16" s="47">
        <v>0.28204000000000001</v>
      </c>
      <c r="P16" s="254"/>
      <c r="Q16" s="48"/>
      <c r="R16" s="114"/>
      <c r="Z16" s="114"/>
    </row>
    <row r="17" spans="1:26" ht="14.25" customHeight="1" x14ac:dyDescent="0.2">
      <c r="B17" s="173"/>
      <c r="C17" s="114"/>
      <c r="D17" s="153"/>
      <c r="E17" s="153"/>
      <c r="F17" s="148"/>
      <c r="H17" s="128"/>
      <c r="I17" s="148"/>
      <c r="J17" s="148"/>
      <c r="K17" s="148"/>
      <c r="L17" s="211"/>
      <c r="M17" s="114"/>
      <c r="N17" s="114"/>
      <c r="O17" s="254"/>
      <c r="P17" s="254"/>
      <c r="Q17" s="254"/>
      <c r="R17" s="114"/>
      <c r="Z17" s="114"/>
    </row>
    <row r="18" spans="1:26" x14ac:dyDescent="0.2">
      <c r="B18" s="163" t="s">
        <v>79</v>
      </c>
      <c r="C18" s="212"/>
      <c r="D18" s="49"/>
      <c r="E18" s="153"/>
      <c r="F18" s="105">
        <f ca="1">F14+F16</f>
        <v>516212984.27123332</v>
      </c>
      <c r="H18" s="153"/>
      <c r="I18" s="105">
        <f ca="1">I14+I16</f>
        <v>580988967.09009159</v>
      </c>
      <c r="J18" s="148"/>
      <c r="K18" s="105">
        <f ca="1">K14+K16</f>
        <v>64775982.818858251</v>
      </c>
      <c r="L18" s="107">
        <f ca="1">ROUND(K18/F18,5)</f>
        <v>0.12548000000000001</v>
      </c>
      <c r="M18" s="87"/>
      <c r="N18" s="87"/>
      <c r="O18" s="87"/>
      <c r="P18" s="281"/>
      <c r="Q18" s="36"/>
      <c r="R18" s="114"/>
      <c r="Z18" s="114"/>
    </row>
    <row r="19" spans="1:26" s="154" customFormat="1" x14ac:dyDescent="0.2">
      <c r="B19" s="165"/>
      <c r="C19" s="175"/>
      <c r="D19" s="175"/>
      <c r="E19" s="175"/>
      <c r="F19" s="176"/>
      <c r="G19" s="225"/>
      <c r="H19" s="175"/>
      <c r="I19" s="176"/>
      <c r="J19" s="176"/>
      <c r="K19" s="176"/>
      <c r="L19" s="166"/>
      <c r="M19" s="153"/>
      <c r="N19" s="153"/>
      <c r="Q19" s="153"/>
      <c r="R19" s="153"/>
      <c r="Z19" s="153"/>
    </row>
    <row r="20" spans="1:26" s="154" customFormat="1" x14ac:dyDescent="0.2">
      <c r="B20" s="153"/>
      <c r="C20" s="153"/>
      <c r="D20" s="153"/>
      <c r="F20" s="50"/>
      <c r="G20" s="117"/>
      <c r="H20" s="153"/>
      <c r="I20" s="177"/>
      <c r="J20" s="177"/>
      <c r="K20" s="177"/>
      <c r="L20" s="168"/>
      <c r="M20" s="153"/>
      <c r="N20" s="153"/>
      <c r="O20" s="153"/>
      <c r="Q20" s="153"/>
      <c r="R20" s="153"/>
      <c r="Z20" s="153"/>
    </row>
    <row r="21" spans="1:26" x14ac:dyDescent="0.2">
      <c r="A21" s="154"/>
      <c r="B21" s="137" t="s">
        <v>80</v>
      </c>
      <c r="C21" s="51"/>
      <c r="D21" s="106"/>
      <c r="E21" s="52"/>
      <c r="F21" s="53"/>
      <c r="G21" s="192"/>
      <c r="H21" s="106"/>
      <c r="I21" s="105"/>
      <c r="J21" s="105"/>
      <c r="K21" s="105"/>
      <c r="L21" s="107"/>
      <c r="M21" s="114"/>
      <c r="N21" s="114"/>
      <c r="O21" s="114"/>
      <c r="Q21" s="102"/>
      <c r="R21" s="114"/>
      <c r="Z21" s="114"/>
    </row>
    <row r="22" spans="1:26" s="154" customFormat="1" x14ac:dyDescent="0.2">
      <c r="B22" s="142"/>
      <c r="C22" s="153"/>
      <c r="D22" s="153"/>
      <c r="E22" s="153"/>
      <c r="F22" s="177"/>
      <c r="G22" s="143"/>
      <c r="H22" s="153"/>
      <c r="I22" s="177"/>
      <c r="J22" s="177"/>
      <c r="K22" s="177"/>
      <c r="L22" s="239"/>
      <c r="M22" s="237"/>
      <c r="N22" s="237"/>
      <c r="O22" s="254"/>
      <c r="P22" s="153"/>
      <c r="Q22" s="54"/>
      <c r="R22" s="153"/>
      <c r="Z22" s="153"/>
    </row>
    <row r="23" spans="1:26" s="154" customFormat="1" ht="13.5" customHeight="1" x14ac:dyDescent="0.2">
      <c r="B23" s="138" t="s">
        <v>73</v>
      </c>
      <c r="C23" s="169" t="s">
        <v>74</v>
      </c>
      <c r="D23" s="111">
        <f ca="1">'[61](C) Norm Rev at 2018TR Rates'!$R$891</f>
        <v>1.4854545454545454</v>
      </c>
      <c r="E23" s="112">
        <f ca="1">'[61]Rate Design Res TR'!$H$24</f>
        <v>11</v>
      </c>
      <c r="F23" s="177">
        <f ca="1">SUM(+D23*E23)</f>
        <v>16.34</v>
      </c>
      <c r="G23" s="117"/>
      <c r="H23" s="170">
        <f>H12</f>
        <v>11.52</v>
      </c>
      <c r="I23" s="177">
        <f ca="1">SUM(+D23*H23)</f>
        <v>17.112436363636363</v>
      </c>
      <c r="J23" s="177"/>
      <c r="K23" s="177">
        <f ca="1">I23-F23</f>
        <v>0.7724363636363627</v>
      </c>
      <c r="L23" s="239"/>
      <c r="M23" s="237"/>
      <c r="N23" s="237"/>
      <c r="O23" s="55"/>
      <c r="P23" s="153"/>
      <c r="Q23" s="87">
        <f ca="1">H23/E23-1</f>
        <v>4.7272727272727133E-2</v>
      </c>
      <c r="R23" s="153"/>
      <c r="Z23" s="153"/>
    </row>
    <row r="24" spans="1:26" s="154" customFormat="1" ht="13.5" customHeight="1" x14ac:dyDescent="0.2">
      <c r="B24" s="173" t="s">
        <v>75</v>
      </c>
      <c r="C24" s="114" t="s">
        <v>76</v>
      </c>
      <c r="D24" s="111">
        <f ca="1">'[61](C) Norm Rev at 2018TR Rates'!$R$940</f>
        <v>64.477999999999994</v>
      </c>
      <c r="E24" s="115">
        <f ca="1">'[61]Rate Design Res TR'!$H$25</f>
        <v>0.34603</v>
      </c>
      <c r="F24" s="177">
        <f ca="1">ROUND(D24*E24,2)</f>
        <v>22.31</v>
      </c>
      <c r="G24" s="117"/>
      <c r="H24" s="147">
        <f ca="1">H13</f>
        <v>0.44362000000000001</v>
      </c>
      <c r="I24" s="177">
        <f ca="1">ROUND(D24*H24,2)</f>
        <v>28.6</v>
      </c>
      <c r="J24" s="177"/>
      <c r="K24" s="177">
        <f ca="1">I24-F24</f>
        <v>6.2900000000000027</v>
      </c>
      <c r="L24" s="151"/>
      <c r="M24" s="237"/>
      <c r="N24" s="237"/>
      <c r="O24" s="253"/>
      <c r="P24" s="153"/>
      <c r="Q24" s="87">
        <f ca="1">H24/E24-1</f>
        <v>0.28202756986388455</v>
      </c>
      <c r="R24" s="153"/>
      <c r="Z24" s="153"/>
    </row>
    <row r="25" spans="1:26" s="154" customFormat="1" ht="13.5" customHeight="1" x14ac:dyDescent="0.2">
      <c r="B25" s="163" t="s">
        <v>81</v>
      </c>
      <c r="C25" s="169"/>
      <c r="D25" s="117"/>
      <c r="E25" s="153"/>
      <c r="F25" s="105">
        <f ca="1">SUM(F23:F24)</f>
        <v>38.65</v>
      </c>
      <c r="G25" s="117"/>
      <c r="H25" s="153"/>
      <c r="I25" s="105">
        <f ca="1">SUM(I23:I24)</f>
        <v>45.712436363636364</v>
      </c>
      <c r="J25" s="177"/>
      <c r="K25" s="105">
        <f ca="1">SUM(K23:K24)</f>
        <v>7.0624363636363654</v>
      </c>
      <c r="L25" s="107">
        <f ca="1">ROUND(K25/F25,5)</f>
        <v>0.18273</v>
      </c>
      <c r="M25" s="153"/>
      <c r="N25" s="153"/>
      <c r="O25" s="253"/>
      <c r="P25" s="153"/>
      <c r="Q25" s="43"/>
      <c r="R25" s="153"/>
      <c r="Z25" s="153"/>
    </row>
    <row r="26" spans="1:26" s="154" customFormat="1" ht="13.5" customHeight="1" x14ac:dyDescent="0.2">
      <c r="B26" s="56"/>
      <c r="C26" s="57"/>
      <c r="D26" s="153"/>
      <c r="E26" s="153"/>
      <c r="F26" s="58"/>
      <c r="G26" s="117"/>
      <c r="H26" s="153"/>
      <c r="I26" s="177"/>
      <c r="J26" s="177"/>
      <c r="K26" s="177"/>
      <c r="L26" s="239"/>
      <c r="M26" s="153"/>
      <c r="N26" s="153"/>
      <c r="O26" s="285"/>
      <c r="Q26" s="54"/>
      <c r="R26" s="153"/>
      <c r="Z26" s="153"/>
    </row>
    <row r="27" spans="1:26" s="154" customFormat="1" ht="13.5" customHeight="1" x14ac:dyDescent="0.2">
      <c r="B27" s="173" t="s">
        <v>82</v>
      </c>
      <c r="C27" s="114" t="s">
        <v>76</v>
      </c>
      <c r="D27" s="117">
        <f ca="1">D24</f>
        <v>64.477999999999994</v>
      </c>
      <c r="E27" s="115">
        <f ca="1">'[61](C) Norm Rev at 2018TR Rates'!$Q$52</f>
        <v>4.80769</v>
      </c>
      <c r="F27" s="105">
        <f ca="1">E27*D27</f>
        <v>309.99023581999995</v>
      </c>
      <c r="G27" s="153"/>
      <c r="H27" s="147">
        <f ca="1">E27</f>
        <v>4.80769</v>
      </c>
      <c r="I27" s="105">
        <f ca="1">F27</f>
        <v>309.99023581999995</v>
      </c>
      <c r="J27" s="177"/>
      <c r="K27" s="105">
        <f ca="1">I27-F27</f>
        <v>0</v>
      </c>
      <c r="L27" s="107">
        <f ca="1">ROUND(K27/F27,5)</f>
        <v>0</v>
      </c>
      <c r="M27" s="237"/>
      <c r="N27" s="237"/>
      <c r="O27" s="244"/>
      <c r="P27" s="254"/>
      <c r="Q27" s="254"/>
      <c r="R27" s="153"/>
      <c r="Z27" s="153"/>
    </row>
    <row r="28" spans="1:26" s="154" customFormat="1" ht="13.5" customHeight="1" x14ac:dyDescent="0.2">
      <c r="B28" s="142"/>
      <c r="C28" s="153"/>
      <c r="D28" s="153"/>
      <c r="E28" s="141"/>
      <c r="F28" s="177"/>
      <c r="G28" s="117"/>
      <c r="H28" s="128"/>
      <c r="I28" s="177"/>
      <c r="J28" s="177"/>
      <c r="K28" s="177"/>
      <c r="L28" s="151"/>
      <c r="M28" s="152"/>
      <c r="N28" s="152"/>
      <c r="O28" s="285"/>
      <c r="P28" s="254"/>
      <c r="Q28" s="254"/>
      <c r="R28" s="153"/>
      <c r="Z28" s="153"/>
    </row>
    <row r="29" spans="1:26" s="154" customFormat="1" ht="13.5" customHeight="1" x14ac:dyDescent="0.2">
      <c r="B29" s="138" t="s">
        <v>79</v>
      </c>
      <c r="C29" s="169"/>
      <c r="D29" s="153"/>
      <c r="E29" s="153"/>
      <c r="F29" s="105">
        <f ca="1">F25+F27</f>
        <v>348.64023581999993</v>
      </c>
      <c r="G29" s="117"/>
      <c r="H29" s="153"/>
      <c r="I29" s="105">
        <f ca="1">I25+I27</f>
        <v>355.70267218363631</v>
      </c>
      <c r="J29" s="177"/>
      <c r="K29" s="105">
        <f ca="1">K25+K27</f>
        <v>7.0624363636363654</v>
      </c>
      <c r="L29" s="107">
        <f ca="1">ROUND(K29/F29,5)</f>
        <v>2.026E-2</v>
      </c>
      <c r="M29" s="153"/>
      <c r="N29" s="153"/>
      <c r="O29" s="219"/>
      <c r="P29" s="254"/>
      <c r="Q29" s="43"/>
      <c r="R29" s="153"/>
      <c r="Z29" s="153"/>
    </row>
    <row r="30" spans="1:26" s="154" customFormat="1" ht="13.5" customHeight="1" x14ac:dyDescent="0.2">
      <c r="B30" s="165"/>
      <c r="C30" s="175"/>
      <c r="D30" s="175"/>
      <c r="E30" s="175"/>
      <c r="F30" s="176"/>
      <c r="G30" s="175"/>
      <c r="H30" s="175"/>
      <c r="I30" s="176"/>
      <c r="J30" s="176"/>
      <c r="K30" s="176"/>
      <c r="L30" s="166"/>
      <c r="M30" s="153"/>
      <c r="N30" s="153"/>
      <c r="P30" s="254"/>
      <c r="Q30" s="54"/>
      <c r="R30" s="153"/>
      <c r="Z30" s="153"/>
    </row>
    <row r="31" spans="1:26" s="154" customFormat="1" ht="13.5" customHeight="1" x14ac:dyDescent="0.2">
      <c r="B31" s="153"/>
      <c r="C31" s="153"/>
      <c r="D31" s="153"/>
      <c r="E31" s="60"/>
      <c r="F31" s="59"/>
      <c r="G31" s="117"/>
      <c r="H31" s="153"/>
      <c r="I31" s="177"/>
      <c r="J31" s="177"/>
      <c r="K31" s="177"/>
      <c r="L31" s="168"/>
      <c r="M31" s="153"/>
      <c r="N31" s="153"/>
      <c r="P31" s="254"/>
      <c r="Q31" s="54"/>
      <c r="R31" s="153"/>
      <c r="Z31" s="153"/>
    </row>
    <row r="32" spans="1:26" s="154" customFormat="1" ht="13.5" customHeight="1" x14ac:dyDescent="0.2">
      <c r="B32" s="153"/>
      <c r="C32" s="153"/>
      <c r="D32" s="153"/>
      <c r="E32" s="60"/>
      <c r="F32" s="59"/>
      <c r="G32" s="117"/>
      <c r="H32" s="153"/>
      <c r="I32" s="177"/>
      <c r="J32" s="177"/>
      <c r="K32" s="177"/>
      <c r="L32" s="168"/>
      <c r="M32" s="153"/>
      <c r="N32" s="153"/>
      <c r="P32" s="254"/>
      <c r="Q32" s="54"/>
      <c r="R32" s="153"/>
      <c r="Z32" s="153"/>
    </row>
    <row r="33" spans="2:26" ht="13.5" customHeight="1" x14ac:dyDescent="0.2">
      <c r="B33" s="137" t="s">
        <v>83</v>
      </c>
      <c r="C33" s="39"/>
      <c r="D33" s="106"/>
      <c r="E33" s="52"/>
      <c r="F33" s="53"/>
      <c r="G33" s="192"/>
      <c r="H33" s="104"/>
      <c r="I33" s="105"/>
      <c r="J33" s="105"/>
      <c r="K33" s="105"/>
      <c r="L33" s="107"/>
      <c r="M33" s="114"/>
      <c r="N33" s="114"/>
      <c r="P33" s="254"/>
      <c r="Q33" s="102"/>
      <c r="R33" s="114"/>
      <c r="Z33" s="114"/>
    </row>
    <row r="34" spans="2:26" ht="13.5" customHeight="1" x14ac:dyDescent="0.2">
      <c r="B34" s="42"/>
      <c r="C34" s="44"/>
      <c r="D34" s="153"/>
      <c r="E34" s="153"/>
      <c r="F34" s="148"/>
      <c r="G34" s="61"/>
      <c r="H34" s="114"/>
      <c r="I34" s="148"/>
      <c r="J34" s="148"/>
      <c r="K34" s="148"/>
      <c r="L34" s="211"/>
      <c r="M34" s="232"/>
      <c r="N34" s="232"/>
      <c r="O34" s="62" t="s">
        <v>84</v>
      </c>
      <c r="P34" s="254"/>
      <c r="Q34" s="102"/>
      <c r="R34" s="114"/>
      <c r="Z34" s="114"/>
    </row>
    <row r="35" spans="2:26" ht="13.5" customHeight="1" x14ac:dyDescent="0.2">
      <c r="B35" s="142" t="s">
        <v>85</v>
      </c>
      <c r="C35" s="63" t="s">
        <v>86</v>
      </c>
      <c r="D35" s="111">
        <f ca="1">'[61](C) Norm Rev at 2018TR Rates'!$R$862</f>
        <v>491.79494736842105</v>
      </c>
      <c r="E35" s="112">
        <f ca="1">'[61]Rate Design Res TR'!$H$37</f>
        <v>9.69</v>
      </c>
      <c r="F35" s="148">
        <f ca="1">ROUND(D35*E35,2)</f>
        <v>4765.49</v>
      </c>
      <c r="H35" s="170">
        <f ca="1">ROUND(E35*(1+$O$39),2)</f>
        <v>11.69</v>
      </c>
      <c r="I35" s="148">
        <f ca="1">ROUND(D35*H35,2)</f>
        <v>5749.08</v>
      </c>
      <c r="J35" s="148"/>
      <c r="K35" s="148">
        <f ca="1">I35-F35</f>
        <v>983.59000000000015</v>
      </c>
      <c r="L35" s="110">
        <f ca="1">ROUND(K35/F35,5)</f>
        <v>0.2064</v>
      </c>
      <c r="M35" s="64"/>
      <c r="N35" s="64"/>
      <c r="O35" s="113">
        <f ca="1">'Rate Spread'!N13-O12</f>
        <v>986.33529125899076</v>
      </c>
      <c r="P35" s="254"/>
      <c r="Q35" s="87">
        <f ca="1">H35/E35-1</f>
        <v>0.20639834881320951</v>
      </c>
      <c r="R35" s="114"/>
      <c r="Z35" s="114"/>
    </row>
    <row r="36" spans="2:26" ht="13.5" customHeight="1" x14ac:dyDescent="0.2">
      <c r="B36" s="173"/>
      <c r="C36" s="114"/>
      <c r="D36" s="121"/>
      <c r="E36" s="121"/>
      <c r="F36" s="148"/>
      <c r="G36" s="114"/>
      <c r="H36" s="114"/>
      <c r="I36" s="148"/>
      <c r="J36" s="148"/>
      <c r="K36" s="148"/>
      <c r="L36" s="110"/>
      <c r="M36" s="64"/>
      <c r="N36" s="64"/>
      <c r="O36" s="116" t="s">
        <v>77</v>
      </c>
      <c r="P36" s="254"/>
      <c r="Q36" s="87"/>
      <c r="R36" s="114"/>
      <c r="Z36" s="114"/>
    </row>
    <row r="37" spans="2:26" ht="13.5" customHeight="1" x14ac:dyDescent="0.2">
      <c r="B37" s="163" t="s">
        <v>87</v>
      </c>
      <c r="C37" s="212"/>
      <c r="D37" s="111">
        <f ca="1">'[61](C) Norm Rev at 2018TR Rates'!$R$938</f>
        <v>9344.1039999999994</v>
      </c>
      <c r="E37" s="111"/>
      <c r="F37" s="45"/>
      <c r="H37" s="114"/>
      <c r="I37" s="148"/>
      <c r="J37" s="148"/>
      <c r="K37" s="148"/>
      <c r="L37" s="211"/>
      <c r="M37" s="64"/>
      <c r="N37" s="64"/>
      <c r="O37" s="214">
        <f ca="1">K35-O35</f>
        <v>-2.7452912589906191</v>
      </c>
      <c r="P37" s="254"/>
      <c r="Q37" s="87"/>
      <c r="R37" s="114"/>
      <c r="Z37" s="114"/>
    </row>
    <row r="38" spans="2:26" ht="13.5" customHeight="1" x14ac:dyDescent="0.2">
      <c r="B38" s="173"/>
      <c r="C38" s="114"/>
      <c r="D38" s="153"/>
      <c r="E38" s="153"/>
      <c r="F38" s="177"/>
      <c r="G38" s="117"/>
      <c r="H38" s="153"/>
      <c r="I38" s="177"/>
      <c r="J38" s="148"/>
      <c r="K38" s="148"/>
      <c r="L38" s="211"/>
      <c r="M38" s="87"/>
      <c r="N38" s="87"/>
      <c r="P38" s="254"/>
      <c r="Q38" s="87"/>
      <c r="R38" s="114"/>
      <c r="Z38" s="114"/>
    </row>
    <row r="39" spans="2:26" ht="13.5" customHeight="1" x14ac:dyDescent="0.2">
      <c r="B39" s="173" t="s">
        <v>78</v>
      </c>
      <c r="C39" s="212"/>
      <c r="D39" s="117">
        <f ca="1">D35</f>
        <v>491.79494736842105</v>
      </c>
      <c r="E39" s="112">
        <f ca="1">'[61](C) Norm Rev at 2018TR Rates'!$Q$10</f>
        <v>6.21</v>
      </c>
      <c r="F39" s="105">
        <f ca="1">D39*E39</f>
        <v>3054.0466231578948</v>
      </c>
      <c r="G39" s="65"/>
      <c r="H39" s="320">
        <f ca="1">E39</f>
        <v>6.21</v>
      </c>
      <c r="I39" s="105">
        <f ca="1">D39*H39</f>
        <v>3054.0466231578948</v>
      </c>
      <c r="J39" s="148"/>
      <c r="K39" s="105">
        <f ca="1">I39-F39</f>
        <v>0</v>
      </c>
      <c r="L39" s="107">
        <f ca="1">ROUND(K39/F39,5)</f>
        <v>0</v>
      </c>
      <c r="M39" s="114"/>
      <c r="N39" s="114"/>
      <c r="O39" s="47">
        <v>0.20671170154709984</v>
      </c>
      <c r="P39" s="254"/>
      <c r="Q39" s="254"/>
      <c r="R39" s="114"/>
      <c r="Z39" s="114"/>
    </row>
    <row r="40" spans="2:26" ht="13.5" customHeight="1" x14ac:dyDescent="0.2">
      <c r="B40" s="173"/>
      <c r="C40" s="114"/>
      <c r="D40" s="153"/>
      <c r="E40" s="153"/>
      <c r="F40" s="148"/>
      <c r="H40" s="114"/>
      <c r="I40" s="148"/>
      <c r="J40" s="148"/>
      <c r="K40" s="148"/>
      <c r="L40" s="119"/>
      <c r="O40" s="244"/>
      <c r="P40" s="254"/>
      <c r="Q40" s="254"/>
      <c r="R40" s="114"/>
      <c r="Z40" s="114"/>
    </row>
    <row r="41" spans="2:26" ht="13.5" customHeight="1" x14ac:dyDescent="0.2">
      <c r="B41" s="173" t="s">
        <v>79</v>
      </c>
      <c r="C41" s="114"/>
      <c r="D41" s="153"/>
      <c r="E41" s="153"/>
      <c r="F41" s="105">
        <f ca="1">F35+F39</f>
        <v>7819.5366231578946</v>
      </c>
      <c r="H41" s="114"/>
      <c r="I41" s="105">
        <f ca="1">I35+I39</f>
        <v>8803.1266231578957</v>
      </c>
      <c r="J41" s="148"/>
      <c r="K41" s="105">
        <f ca="1">K35+K39</f>
        <v>983.59000000000015</v>
      </c>
      <c r="L41" s="107">
        <f ca="1">ROUND(K41/F41,5)</f>
        <v>0.12579000000000001</v>
      </c>
      <c r="M41" s="232"/>
      <c r="N41" s="232"/>
      <c r="O41" s="254"/>
      <c r="P41" s="254"/>
      <c r="Q41" s="254"/>
      <c r="R41" s="114"/>
      <c r="Z41" s="114"/>
    </row>
    <row r="42" spans="2:26" ht="13.5" customHeight="1" x14ac:dyDescent="0.2">
      <c r="B42" s="66"/>
      <c r="C42" s="67"/>
      <c r="D42" s="175"/>
      <c r="E42" s="175"/>
      <c r="F42" s="68"/>
      <c r="G42" s="69"/>
      <c r="H42" s="224"/>
      <c r="I42" s="265"/>
      <c r="J42" s="265"/>
      <c r="K42" s="224"/>
      <c r="L42" s="247"/>
      <c r="M42" s="253"/>
      <c r="N42" s="253"/>
      <c r="Q42" s="102"/>
      <c r="R42" s="114"/>
      <c r="Z42" s="114"/>
    </row>
    <row r="43" spans="2:26" ht="13.5" customHeight="1" x14ac:dyDescent="0.2">
      <c r="B43" s="188"/>
      <c r="K43" s="114"/>
      <c r="M43" s="87"/>
      <c r="N43" s="87"/>
      <c r="Q43" s="102"/>
      <c r="R43" s="114"/>
      <c r="Z43" s="114"/>
    </row>
    <row r="44" spans="2:26" x14ac:dyDescent="0.2">
      <c r="B44" s="180" t="s">
        <v>88</v>
      </c>
      <c r="K44" s="114"/>
      <c r="M44" s="253"/>
      <c r="N44" s="253"/>
      <c r="Q44" s="102"/>
      <c r="R44" s="114"/>
      <c r="Z44" s="114"/>
    </row>
    <row r="45" spans="2:26" x14ac:dyDescent="0.2">
      <c r="B45" s="188"/>
      <c r="D45" s="201" t="s">
        <v>76</v>
      </c>
      <c r="F45" s="37" t="s">
        <v>62</v>
      </c>
      <c r="I45" s="97" t="s">
        <v>4</v>
      </c>
      <c r="K45" s="97" t="s">
        <v>89</v>
      </c>
      <c r="Q45" s="102"/>
      <c r="R45" s="114"/>
      <c r="Z45" s="114"/>
    </row>
    <row r="46" spans="2:26" x14ac:dyDescent="0.2">
      <c r="B46" s="188" t="s">
        <v>90</v>
      </c>
      <c r="F46" s="178">
        <f ca="1">F16+F27+F39</f>
        <v>200456091.99070647</v>
      </c>
      <c r="I46" s="178">
        <f ca="1">I16+I27+I39</f>
        <v>200456091.99070647</v>
      </c>
      <c r="J46" s="178"/>
      <c r="K46" s="148">
        <f ca="1">I46-F46</f>
        <v>0</v>
      </c>
      <c r="Q46" s="102"/>
      <c r="R46" s="114"/>
      <c r="Z46" s="114"/>
    </row>
    <row r="47" spans="2:26" x14ac:dyDescent="0.2">
      <c r="B47" s="188" t="s">
        <v>91</v>
      </c>
      <c r="F47" s="178">
        <f ca="1">F14+F25+F35</f>
        <v>315765060.45738578</v>
      </c>
      <c r="G47" s="178"/>
      <c r="H47" s="178"/>
      <c r="I47" s="178">
        <f ca="1">I14+I25+I35</f>
        <v>380542033.92868042</v>
      </c>
      <c r="J47" s="178"/>
      <c r="K47" s="148">
        <f ca="1">I47-F47</f>
        <v>64776973.471294641</v>
      </c>
      <c r="L47" s="179">
        <f ca="1">K47/F47</f>
        <v>0.20514294196281621</v>
      </c>
    </row>
    <row r="48" spans="2:26" x14ac:dyDescent="0.2">
      <c r="B48" s="188" t="s">
        <v>92</v>
      </c>
      <c r="D48" s="280">
        <f ca="1">D13+D24+D37</f>
        <v>613671517.73199999</v>
      </c>
      <c r="F48" s="105">
        <f ca="1">F46+F47</f>
        <v>516221152.44809222</v>
      </c>
      <c r="I48" s="105">
        <f ca="1">I46+I47</f>
        <v>580998125.91938686</v>
      </c>
      <c r="K48" s="105">
        <f ca="1">K46+K47</f>
        <v>64776973.471294641</v>
      </c>
      <c r="L48" s="256">
        <f ca="1">K48/F48</f>
        <v>0.12548298953675321</v>
      </c>
    </row>
    <row r="49" spans="2:17" x14ac:dyDescent="0.2">
      <c r="B49" s="188"/>
      <c r="D49" s="280"/>
      <c r="F49" s="148"/>
      <c r="I49" s="148"/>
      <c r="K49" s="148"/>
      <c r="L49" s="179"/>
    </row>
    <row r="50" spans="2:17" x14ac:dyDescent="0.2">
      <c r="B50" s="188" t="s">
        <v>196</v>
      </c>
      <c r="F50" s="70"/>
      <c r="I50" s="148"/>
      <c r="K50" s="148"/>
      <c r="L50" s="179"/>
    </row>
    <row r="51" spans="2:17" ht="13.5" thickBot="1" x14ac:dyDescent="0.25">
      <c r="B51" s="188"/>
      <c r="D51" s="188"/>
      <c r="E51" s="188"/>
      <c r="F51" s="188"/>
      <c r="I51" s="178"/>
      <c r="K51" s="148"/>
    </row>
    <row r="52" spans="2:17" ht="13.5" thickBot="1" x14ac:dyDescent="0.25">
      <c r="B52" s="332" t="s">
        <v>197</v>
      </c>
      <c r="C52" s="333"/>
      <c r="D52" s="334">
        <f ca="1">D48-'Rate Spread'!F13</f>
        <v>0</v>
      </c>
      <c r="E52" s="335"/>
      <c r="F52" s="336">
        <f ca="1">F48-'Rate Spread'!C13</f>
        <v>-3.5368800163269043E-3</v>
      </c>
      <c r="K52" s="114"/>
      <c r="O52" s="71"/>
      <c r="P52" s="178"/>
    </row>
    <row r="53" spans="2:17" x14ac:dyDescent="0.2">
      <c r="B53" s="188"/>
      <c r="F53" s="188"/>
    </row>
    <row r="55" spans="2:17" x14ac:dyDescent="0.2">
      <c r="B55" s="188"/>
      <c r="C55" s="188"/>
      <c r="D55" s="188"/>
      <c r="F55" s="188"/>
      <c r="G55" s="188"/>
      <c r="I55" s="188"/>
      <c r="J55" s="188"/>
      <c r="L55" s="188"/>
      <c r="M55" s="188"/>
      <c r="N55" s="188"/>
      <c r="Q55" s="188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Q149"/>
  <sheetViews>
    <sheetView topLeftCell="A43"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8" customWidth="1"/>
    <col min="3" max="3" width="9.7109375" style="188" customWidth="1"/>
    <col min="4" max="4" width="12.7109375" style="188" customWidth="1"/>
    <col min="5" max="5" width="10.42578125" style="188" customWidth="1"/>
    <col min="6" max="6" width="13.28515625" style="271" customWidth="1"/>
    <col min="7" max="7" width="2.85546875" style="280" customWidth="1"/>
    <col min="8" max="8" width="10.42578125" style="154" customWidth="1"/>
    <col min="9" max="9" width="13.28515625" style="271" customWidth="1"/>
    <col min="10" max="10" width="2.85546875" style="271" customWidth="1"/>
    <col min="11" max="11" width="13.28515625" style="271" customWidth="1"/>
    <col min="12" max="12" width="10.42578125" style="179" customWidth="1"/>
    <col min="13" max="13" width="2.85546875" style="86" customWidth="1"/>
    <col min="14" max="14" width="2" style="187" customWidth="1"/>
    <col min="15" max="15" width="14.5703125" style="188" customWidth="1"/>
    <col min="16" max="16" width="2.85546875" style="188" customWidth="1"/>
    <col min="17" max="17" width="8.85546875" style="88" customWidth="1"/>
    <col min="18" max="16384" width="9.140625" style="188"/>
  </cols>
  <sheetData>
    <row r="2" spans="1:17" x14ac:dyDescent="0.2">
      <c r="B2" s="30" t="s">
        <v>0</v>
      </c>
      <c r="C2" s="72"/>
      <c r="D2" s="72"/>
      <c r="E2" s="72"/>
      <c r="F2" s="73"/>
      <c r="G2" s="74"/>
      <c r="H2" s="75"/>
      <c r="I2" s="73"/>
      <c r="J2" s="73"/>
      <c r="K2" s="73"/>
      <c r="L2" s="76"/>
      <c r="M2" s="77"/>
      <c r="N2" s="77"/>
      <c r="O2" s="72"/>
      <c r="P2" s="72"/>
      <c r="Q2" s="78"/>
    </row>
    <row r="3" spans="1:17" x14ac:dyDescent="0.2">
      <c r="B3" s="307" t="str">
        <f>'Rate Spread'!$B$2</f>
        <v>2019 Gas General Rate Case Filing</v>
      </c>
      <c r="C3" s="72"/>
      <c r="D3" s="72"/>
      <c r="E3" s="72"/>
      <c r="F3" s="72"/>
      <c r="G3" s="75"/>
      <c r="H3" s="75"/>
      <c r="I3" s="72"/>
      <c r="J3" s="72"/>
      <c r="K3" s="72"/>
      <c r="L3" s="76"/>
      <c r="M3" s="72"/>
      <c r="N3" s="77"/>
      <c r="O3" s="72"/>
      <c r="P3" s="72"/>
      <c r="Q3" s="78"/>
    </row>
    <row r="4" spans="1:17" x14ac:dyDescent="0.2">
      <c r="B4" s="30" t="s">
        <v>198</v>
      </c>
      <c r="C4" s="72"/>
      <c r="D4" s="72"/>
      <c r="E4" s="72"/>
      <c r="F4" s="72"/>
      <c r="G4" s="75"/>
      <c r="H4" s="75"/>
      <c r="I4" s="72"/>
      <c r="J4" s="72"/>
      <c r="K4" s="72"/>
      <c r="L4" s="76"/>
      <c r="M4" s="72"/>
      <c r="N4" s="77"/>
      <c r="O4" s="72"/>
      <c r="P4" s="72"/>
      <c r="Q4" s="78"/>
    </row>
    <row r="5" spans="1:17" x14ac:dyDescent="0.2">
      <c r="B5" s="30" t="str">
        <f>'Rate Spread'!B4</f>
        <v>Test Year Ended December 31, 2018</v>
      </c>
      <c r="C5" s="72"/>
      <c r="D5" s="72"/>
      <c r="E5" s="72"/>
      <c r="F5" s="72"/>
      <c r="G5" s="75"/>
      <c r="H5" s="75"/>
      <c r="I5" s="72"/>
      <c r="J5" s="72"/>
      <c r="K5" s="72"/>
      <c r="L5" s="76"/>
      <c r="M5" s="72"/>
      <c r="N5" s="79"/>
      <c r="O5" s="80"/>
      <c r="P5" s="72"/>
      <c r="Q5" s="78"/>
    </row>
    <row r="6" spans="1:17" ht="13.5" customHeight="1" x14ac:dyDescent="0.2">
      <c r="B6" s="81"/>
      <c r="C6" s="81"/>
      <c r="D6" s="81"/>
      <c r="E6" s="81"/>
      <c r="F6" s="82"/>
      <c r="G6" s="83"/>
      <c r="H6" s="84"/>
      <c r="I6" s="82"/>
      <c r="J6" s="82"/>
      <c r="K6" s="82"/>
      <c r="L6" s="85"/>
      <c r="N6" s="87"/>
      <c r="O6" s="114"/>
    </row>
    <row r="7" spans="1:17" ht="12" customHeight="1" x14ac:dyDescent="0.2">
      <c r="B7" s="89"/>
      <c r="C7" s="90"/>
      <c r="D7" s="91" t="s">
        <v>61</v>
      </c>
      <c r="E7" s="34" t="s">
        <v>62</v>
      </c>
      <c r="F7" s="92"/>
      <c r="G7" s="285"/>
      <c r="H7" s="93" t="s">
        <v>4</v>
      </c>
      <c r="I7" s="92"/>
      <c r="J7" s="94"/>
      <c r="K7" s="502" t="s">
        <v>63</v>
      </c>
      <c r="L7" s="503"/>
      <c r="M7" s="95"/>
      <c r="N7" s="79"/>
      <c r="O7" s="254" t="s">
        <v>21</v>
      </c>
      <c r="Q7" s="36" t="s">
        <v>64</v>
      </c>
    </row>
    <row r="8" spans="1:17" x14ac:dyDescent="0.2">
      <c r="B8" s="96" t="s">
        <v>65</v>
      </c>
      <c r="C8" s="37" t="s">
        <v>66</v>
      </c>
      <c r="D8" s="287" t="s">
        <v>67</v>
      </c>
      <c r="E8" s="37" t="s">
        <v>23</v>
      </c>
      <c r="F8" s="97" t="s">
        <v>68</v>
      </c>
      <c r="G8" s="287"/>
      <c r="H8" s="287" t="s">
        <v>23</v>
      </c>
      <c r="I8" s="97" t="s">
        <v>68</v>
      </c>
      <c r="J8" s="97"/>
      <c r="K8" s="97" t="s">
        <v>69</v>
      </c>
      <c r="L8" s="98" t="s">
        <v>70</v>
      </c>
      <c r="M8" s="213"/>
      <c r="N8" s="99"/>
      <c r="O8" s="37" t="s">
        <v>27</v>
      </c>
      <c r="Q8" s="38" t="s">
        <v>1</v>
      </c>
    </row>
    <row r="9" spans="1:17" x14ac:dyDescent="0.2">
      <c r="A9" s="114"/>
      <c r="B9" s="254"/>
      <c r="C9" s="254"/>
      <c r="D9" s="254"/>
      <c r="E9" s="254"/>
      <c r="F9" s="100"/>
      <c r="G9" s="285"/>
      <c r="H9" s="285"/>
      <c r="I9" s="100"/>
      <c r="J9" s="100"/>
      <c r="K9" s="100"/>
      <c r="L9" s="101"/>
      <c r="M9" s="213"/>
      <c r="N9" s="99"/>
      <c r="O9" s="114"/>
      <c r="P9" s="114"/>
      <c r="Q9" s="102"/>
    </row>
    <row r="10" spans="1:17" x14ac:dyDescent="0.2">
      <c r="B10" s="103" t="s">
        <v>93</v>
      </c>
      <c r="C10" s="205"/>
      <c r="D10" s="104"/>
      <c r="E10" s="104"/>
      <c r="F10" s="105"/>
      <c r="G10" s="255"/>
      <c r="H10" s="106"/>
      <c r="I10" s="105"/>
      <c r="J10" s="105"/>
      <c r="K10" s="105"/>
      <c r="L10" s="107"/>
      <c r="M10" s="108"/>
      <c r="N10" s="87"/>
      <c r="O10" s="114"/>
      <c r="P10" s="114"/>
      <c r="Q10" s="102"/>
    </row>
    <row r="11" spans="1:17" x14ac:dyDescent="0.2">
      <c r="B11" s="173"/>
      <c r="C11" s="114"/>
      <c r="D11" s="109"/>
      <c r="E11" s="114"/>
      <c r="F11" s="148"/>
      <c r="G11" s="117"/>
      <c r="H11" s="153"/>
      <c r="I11" s="148"/>
      <c r="J11" s="148"/>
      <c r="K11" s="148"/>
      <c r="L11" s="110"/>
      <c r="M11" s="108"/>
      <c r="N11" s="87"/>
      <c r="O11" s="308" t="s">
        <v>94</v>
      </c>
      <c r="P11" s="114"/>
      <c r="Q11" s="102"/>
    </row>
    <row r="12" spans="1:17" x14ac:dyDescent="0.2">
      <c r="B12" s="138" t="s">
        <v>73</v>
      </c>
      <c r="C12" s="169" t="s">
        <v>74</v>
      </c>
      <c r="D12" s="111">
        <f ca="1">'[61](C) Norm Rev at 2018TR Rates'!$R$892</f>
        <v>692597.12096613029</v>
      </c>
      <c r="E12" s="112">
        <f ca="1">'[61]Rate Design C&amp;I_TR'!$H$12</f>
        <v>32.159999999999997</v>
      </c>
      <c r="F12" s="148">
        <f ca="1">ROUND(D12*E12,2)</f>
        <v>22273923.41</v>
      </c>
      <c r="G12" s="117"/>
      <c r="H12" s="112">
        <f>'Current ERF Rates'!I23</f>
        <v>33.840000000000003</v>
      </c>
      <c r="I12" s="177">
        <f ca="1">ROUND(D12*H12,2)</f>
        <v>23437486.57</v>
      </c>
      <c r="J12" s="148"/>
      <c r="K12" s="148">
        <f ca="1">I12-F12</f>
        <v>1163563.1600000001</v>
      </c>
      <c r="L12" s="110"/>
      <c r="M12" s="108"/>
      <c r="N12" s="87"/>
      <c r="O12" s="113">
        <f ca="1">+'Rate Spread'!N14</f>
        <v>28555076.444440708</v>
      </c>
      <c r="P12" s="114"/>
      <c r="Q12" s="87">
        <f ca="1">H12/E12-1</f>
        <v>5.2238805970149516E-2</v>
      </c>
    </row>
    <row r="13" spans="1:17" x14ac:dyDescent="0.2">
      <c r="B13" s="173" t="s">
        <v>75</v>
      </c>
      <c r="C13" s="114" t="s">
        <v>76</v>
      </c>
      <c r="D13" s="111">
        <f ca="1">'[61](C) Norm Rev at 2018TR Rates'!$R$941</f>
        <v>232245222.90300003</v>
      </c>
      <c r="E13" s="115">
        <f ca="1">'[61]Rate Design C&amp;I_TR'!$H$13</f>
        <v>0.29475000000000001</v>
      </c>
      <c r="F13" s="148">
        <f ca="1">ROUND(D13*E13,2)</f>
        <v>68454279.450000003</v>
      </c>
      <c r="G13" s="117"/>
      <c r="H13" s="147">
        <f ca="1">ROUND(E13*(1+$O$16),5)</f>
        <v>0.40925</v>
      </c>
      <c r="I13" s="177">
        <f ca="1">ROUND(D13*H13,2)</f>
        <v>95046357.469999999</v>
      </c>
      <c r="J13" s="148"/>
      <c r="K13" s="148">
        <f ca="1">I13-F13</f>
        <v>26592078.019999996</v>
      </c>
      <c r="L13" s="110"/>
      <c r="M13" s="108"/>
      <c r="N13" s="87"/>
      <c r="O13" s="116" t="s">
        <v>77</v>
      </c>
      <c r="P13" s="114"/>
      <c r="Q13" s="87">
        <f ca="1">H13/E13-1</f>
        <v>0.38846480067854117</v>
      </c>
    </row>
    <row r="14" spans="1:17" x14ac:dyDescent="0.2">
      <c r="B14" s="173" t="s">
        <v>95</v>
      </c>
      <c r="C14" s="114"/>
      <c r="D14" s="117">
        <f ca="1">D13</f>
        <v>232245222.90300003</v>
      </c>
      <c r="E14" s="115">
        <f ca="1">'[61]Rate Design C&amp;I_TR'!$H$14</f>
        <v>8.8199999999999997E-3</v>
      </c>
      <c r="F14" s="148">
        <f ca="1">ROUND(D14*E14,2)</f>
        <v>2048402.87</v>
      </c>
      <c r="G14" s="117"/>
      <c r="H14" s="147">
        <f ca="1">ROUND(E14*(1+$O$16),5)</f>
        <v>1.225E-2</v>
      </c>
      <c r="I14" s="148">
        <f ca="1">ROUND(D14*H14,2)</f>
        <v>2845003.98</v>
      </c>
      <c r="J14" s="118"/>
      <c r="K14" s="148">
        <f ca="1">I14-F14</f>
        <v>796601.10999999987</v>
      </c>
      <c r="L14" s="119"/>
      <c r="M14" s="213"/>
      <c r="N14" s="213"/>
      <c r="O14" s="120">
        <f ca="1">K15+K27-O12</f>
        <v>1090.7555592879653</v>
      </c>
      <c r="P14" s="114"/>
      <c r="Q14" s="87">
        <f ca="1">H14/E14-1</f>
        <v>0.38888888888888906</v>
      </c>
    </row>
    <row r="15" spans="1:17" x14ac:dyDescent="0.2">
      <c r="B15" s="163" t="s">
        <v>81</v>
      </c>
      <c r="C15" s="212"/>
      <c r="D15" s="117"/>
      <c r="E15" s="121"/>
      <c r="F15" s="105">
        <f ca="1">SUM(F12:F14)</f>
        <v>92776605.730000004</v>
      </c>
      <c r="G15" s="117"/>
      <c r="H15" s="117"/>
      <c r="I15" s="122">
        <f ca="1">SUM(I12:I14)</f>
        <v>121328848.02</v>
      </c>
      <c r="J15" s="148"/>
      <c r="K15" s="105">
        <f ca="1">SUM(K12:K14)</f>
        <v>28552242.289999995</v>
      </c>
      <c r="L15" s="107">
        <f ca="1">ROUND(K15/F15,5)</f>
        <v>0.30775000000000002</v>
      </c>
      <c r="M15" s="108"/>
      <c r="N15" s="87"/>
      <c r="O15" s="123"/>
      <c r="P15" s="124"/>
      <c r="Q15" s="125"/>
    </row>
    <row r="16" spans="1:17" x14ac:dyDescent="0.2">
      <c r="B16" s="173"/>
      <c r="C16" s="114"/>
      <c r="D16" s="153"/>
      <c r="E16" s="121"/>
      <c r="F16" s="148"/>
      <c r="G16" s="117"/>
      <c r="H16" s="117"/>
      <c r="I16" s="177"/>
      <c r="J16" s="148"/>
      <c r="K16" s="148"/>
      <c r="L16" s="110"/>
      <c r="M16" s="108"/>
      <c r="N16" s="87"/>
      <c r="O16" s="47">
        <v>0.38845000000000002</v>
      </c>
      <c r="P16" s="114"/>
      <c r="Q16" s="102"/>
    </row>
    <row r="17" spans="1:17" x14ac:dyDescent="0.2">
      <c r="B17" s="173" t="s">
        <v>78</v>
      </c>
      <c r="C17" s="114" t="s">
        <v>76</v>
      </c>
      <c r="D17" s="117">
        <f ca="1">D13</f>
        <v>232245222.90300003</v>
      </c>
      <c r="E17" s="309">
        <f ca="1">'[61](C) Norm Rev at 2018TR Rates'!$Q$73</f>
        <v>0.31873000000000001</v>
      </c>
      <c r="F17" s="148">
        <f ca="1">E17*D17</f>
        <v>74023519.895873204</v>
      </c>
      <c r="G17" s="153"/>
      <c r="H17" s="319">
        <f ca="1">E17</f>
        <v>0.31873000000000001</v>
      </c>
      <c r="I17" s="177">
        <f ca="1">H17*D17</f>
        <v>74023519.895873204</v>
      </c>
      <c r="J17" s="148"/>
      <c r="K17" s="148">
        <f ca="1">I17-F17</f>
        <v>0</v>
      </c>
      <c r="L17" s="110">
        <f ca="1">ROUND(K17/F17,5)</f>
        <v>0</v>
      </c>
      <c r="M17" s="108"/>
      <c r="N17" s="87"/>
      <c r="O17" s="254"/>
      <c r="P17" s="254"/>
      <c r="Q17" s="254"/>
    </row>
    <row r="18" spans="1:17" x14ac:dyDescent="0.2">
      <c r="B18" s="173"/>
      <c r="C18" s="114"/>
      <c r="D18" s="153"/>
      <c r="E18" s="126"/>
      <c r="F18" s="148"/>
      <c r="G18" s="127"/>
      <c r="H18" s="128"/>
      <c r="I18" s="177"/>
      <c r="J18" s="148"/>
      <c r="K18" s="148"/>
      <c r="L18" s="110"/>
      <c r="M18" s="108"/>
      <c r="N18" s="87"/>
      <c r="O18" s="129"/>
      <c r="P18" s="254"/>
      <c r="Q18" s="254"/>
    </row>
    <row r="19" spans="1:17" x14ac:dyDescent="0.2">
      <c r="B19" s="163" t="s">
        <v>79</v>
      </c>
      <c r="C19" s="114"/>
      <c r="D19" s="153"/>
      <c r="E19" s="114"/>
      <c r="F19" s="105">
        <f ca="1">F17+F15</f>
        <v>166800125.62587321</v>
      </c>
      <c r="G19" s="127"/>
      <c r="H19" s="298"/>
      <c r="I19" s="122">
        <f ca="1">I17+I15</f>
        <v>195352367.9158732</v>
      </c>
      <c r="J19" s="148"/>
      <c r="K19" s="105">
        <f ca="1">K15+K17</f>
        <v>28552242.289999995</v>
      </c>
      <c r="L19" s="107">
        <f ca="1">ROUND(K19/F19,5)</f>
        <v>0.17118</v>
      </c>
      <c r="M19" s="108"/>
      <c r="N19" s="87"/>
      <c r="O19" s="254"/>
      <c r="P19" s="254"/>
      <c r="Q19" s="254"/>
    </row>
    <row r="20" spans="1:17" x14ac:dyDescent="0.2">
      <c r="B20" s="130"/>
      <c r="C20" s="131"/>
      <c r="D20" s="175"/>
      <c r="E20" s="132"/>
      <c r="F20" s="133"/>
      <c r="G20" s="175"/>
      <c r="H20" s="134"/>
      <c r="I20" s="176"/>
      <c r="J20" s="135"/>
      <c r="K20" s="135"/>
      <c r="L20" s="136"/>
      <c r="M20" s="108"/>
      <c r="N20" s="87"/>
      <c r="O20" s="114"/>
    </row>
    <row r="21" spans="1:17" x14ac:dyDescent="0.2">
      <c r="A21" s="114"/>
      <c r="B21" s="114"/>
      <c r="C21" s="114"/>
      <c r="D21" s="153"/>
      <c r="E21" s="114"/>
      <c r="F21" s="232"/>
      <c r="G21" s="127"/>
      <c r="H21" s="298"/>
      <c r="I21" s="232"/>
      <c r="J21" s="232"/>
      <c r="K21" s="148"/>
      <c r="L21" s="256"/>
      <c r="M21" s="108"/>
      <c r="N21" s="87"/>
      <c r="O21" s="114"/>
    </row>
    <row r="22" spans="1:17" x14ac:dyDescent="0.2">
      <c r="A22" s="114"/>
      <c r="B22" s="137" t="s">
        <v>96</v>
      </c>
      <c r="C22" s="205"/>
      <c r="D22" s="104"/>
      <c r="E22" s="104"/>
      <c r="F22" s="105"/>
      <c r="G22" s="255"/>
      <c r="H22" s="106"/>
      <c r="I22" s="105"/>
      <c r="J22" s="105"/>
      <c r="K22" s="105"/>
      <c r="L22" s="107"/>
      <c r="M22" s="108"/>
      <c r="N22" s="87"/>
      <c r="O22" s="114"/>
    </row>
    <row r="23" spans="1:17" x14ac:dyDescent="0.2">
      <c r="A23" s="114"/>
      <c r="B23" s="173"/>
      <c r="C23" s="114"/>
      <c r="D23" s="109"/>
      <c r="E23" s="114"/>
      <c r="F23" s="148"/>
      <c r="G23" s="117"/>
      <c r="H23" s="153"/>
      <c r="I23" s="148"/>
      <c r="J23" s="148"/>
      <c r="K23" s="148"/>
      <c r="L23" s="110"/>
      <c r="M23" s="108"/>
      <c r="N23" s="87"/>
      <c r="O23" s="114"/>
    </row>
    <row r="24" spans="1:17" x14ac:dyDescent="0.2">
      <c r="A24" s="114"/>
      <c r="B24" s="138" t="s">
        <v>73</v>
      </c>
      <c r="C24" s="169" t="s">
        <v>74</v>
      </c>
      <c r="D24" s="111">
        <f ca="1">'[61](C) Norm Rev at 2018TR Rates'!$R$894</f>
        <v>31</v>
      </c>
      <c r="E24" s="112">
        <f ca="1">'[61]Rate Design C&amp;I_TR'!$H$24</f>
        <v>353.77</v>
      </c>
      <c r="F24" s="148">
        <f ca="1">ROUND(D24*E24,2)</f>
        <v>10966.87</v>
      </c>
      <c r="G24" s="117"/>
      <c r="H24" s="112">
        <f>'Current ERF Rates'!I29</f>
        <v>364.04</v>
      </c>
      <c r="I24" s="177">
        <f ca="1">ROUND(D24*H24,2)</f>
        <v>11285.24</v>
      </c>
      <c r="J24" s="148"/>
      <c r="K24" s="148">
        <f ca="1">I24-F24</f>
        <v>318.36999999999898</v>
      </c>
      <c r="L24" s="110"/>
      <c r="M24" s="108"/>
      <c r="N24" s="87"/>
      <c r="O24" s="114"/>
      <c r="Q24" s="87">
        <f ca="1">H24/E24-1</f>
        <v>2.903016083896337E-2</v>
      </c>
    </row>
    <row r="25" spans="1:17" x14ac:dyDescent="0.2">
      <c r="A25" s="114"/>
      <c r="B25" s="173" t="s">
        <v>75</v>
      </c>
      <c r="C25" s="114" t="s">
        <v>76</v>
      </c>
      <c r="D25" s="111">
        <f ca="1">'[61](C) Norm Rev at 2018TR Rates'!$R$943</f>
        <v>31498.21</v>
      </c>
      <c r="E25" s="115">
        <f ca="1">'[61]Rate Design C&amp;I_TR'!$H$25</f>
        <v>0.29475000000000001</v>
      </c>
      <c r="F25" s="148">
        <f ca="1">ROUND(D25*E25,2)</f>
        <v>9284.1</v>
      </c>
      <c r="G25" s="117"/>
      <c r="H25" s="147">
        <f ca="1">H13</f>
        <v>0.40925</v>
      </c>
      <c r="I25" s="177">
        <f ca="1">ROUND(D25*H25,2)</f>
        <v>12890.64</v>
      </c>
      <c r="J25" s="148"/>
      <c r="K25" s="148">
        <f ca="1">I25-F25</f>
        <v>3606.5399999999991</v>
      </c>
      <c r="L25" s="110"/>
      <c r="M25" s="108"/>
      <c r="N25" s="87"/>
      <c r="O25" s="114"/>
      <c r="Q25" s="87">
        <f t="shared" ref="Q25" ca="1" si="0">H25/E25-1</f>
        <v>0.38846480067854117</v>
      </c>
    </row>
    <row r="26" spans="1:17" x14ac:dyDescent="0.2">
      <c r="A26" s="114"/>
      <c r="B26" s="138" t="s">
        <v>95</v>
      </c>
      <c r="C26" s="114"/>
      <c r="D26" s="117">
        <f ca="1">D25</f>
        <v>31498.21</v>
      </c>
      <c r="E26" s="139">
        <v>0</v>
      </c>
      <c r="F26" s="148">
        <f ca="1">ROUND(D26*E26,2)</f>
        <v>0</v>
      </c>
      <c r="G26" s="117"/>
      <c r="H26" s="139">
        <v>0</v>
      </c>
      <c r="I26" s="177">
        <f ca="1">ROUND(D26*H26,2)</f>
        <v>0</v>
      </c>
      <c r="J26" s="148"/>
      <c r="K26" s="148">
        <f ca="1">I26-F26</f>
        <v>0</v>
      </c>
      <c r="L26" s="110"/>
      <c r="M26" s="108"/>
      <c r="N26" s="87"/>
      <c r="O26" s="114"/>
      <c r="Q26" s="87"/>
    </row>
    <row r="27" spans="1:17" x14ac:dyDescent="0.2">
      <c r="A27" s="114"/>
      <c r="B27" s="163" t="s">
        <v>81</v>
      </c>
      <c r="C27" s="212"/>
      <c r="D27" s="117"/>
      <c r="E27" s="121"/>
      <c r="F27" s="105">
        <f ca="1">SUM(F24:F26)</f>
        <v>20250.97</v>
      </c>
      <c r="G27" s="117"/>
      <c r="H27" s="117"/>
      <c r="I27" s="122">
        <f ca="1">SUM(I24:I26)</f>
        <v>24175.879999999997</v>
      </c>
      <c r="J27" s="148"/>
      <c r="K27" s="122">
        <f ca="1">SUM(K24:K26)</f>
        <v>3924.909999999998</v>
      </c>
      <c r="L27" s="107"/>
      <c r="M27" s="108"/>
      <c r="N27" s="87"/>
      <c r="O27" s="114"/>
    </row>
    <row r="28" spans="1:17" x14ac:dyDescent="0.2">
      <c r="A28" s="114"/>
      <c r="B28" s="173"/>
      <c r="C28" s="114"/>
      <c r="D28" s="153"/>
      <c r="E28" s="121"/>
      <c r="F28" s="148"/>
      <c r="G28" s="117"/>
      <c r="H28" s="117"/>
      <c r="I28" s="177"/>
      <c r="J28" s="148"/>
      <c r="K28" s="148"/>
      <c r="L28" s="110"/>
      <c r="M28" s="108"/>
      <c r="N28" s="87"/>
      <c r="O28" s="114"/>
    </row>
    <row r="29" spans="1:17" x14ac:dyDescent="0.2">
      <c r="A29" s="114"/>
      <c r="B29" s="142" t="s">
        <v>97</v>
      </c>
      <c r="C29" s="114" t="s">
        <v>76</v>
      </c>
      <c r="D29" s="117">
        <f ca="1">D25</f>
        <v>31498.21</v>
      </c>
      <c r="E29" s="115">
        <f ca="1">'[61]Rate Design C&amp;I_TR'!$H$29</f>
        <v>6.9999999999999999E-4</v>
      </c>
      <c r="F29" s="148">
        <f ca="1">E29*D29</f>
        <v>22.048746999999999</v>
      </c>
      <c r="G29" s="153"/>
      <c r="H29" s="139">
        <v>1E-3</v>
      </c>
      <c r="I29" s="177">
        <f ca="1">H29*D29</f>
        <v>31.49821</v>
      </c>
      <c r="J29" s="148"/>
      <c r="K29" s="148">
        <f ca="1">I29-F29</f>
        <v>9.4494630000000015</v>
      </c>
      <c r="L29" s="110"/>
      <c r="M29" s="108"/>
      <c r="N29" s="87"/>
      <c r="O29" s="114"/>
    </row>
    <row r="30" spans="1:17" x14ac:dyDescent="0.2">
      <c r="A30" s="114"/>
      <c r="B30" s="163" t="s">
        <v>79</v>
      </c>
      <c r="C30" s="114"/>
      <c r="D30" s="153"/>
      <c r="E30" s="114"/>
      <c r="F30" s="105">
        <f ca="1">F29+F27</f>
        <v>20273.018747000002</v>
      </c>
      <c r="G30" s="127"/>
      <c r="H30" s="298"/>
      <c r="I30" s="122">
        <f ca="1">I29+I27</f>
        <v>24207.378209999999</v>
      </c>
      <c r="J30" s="148"/>
      <c r="K30" s="105">
        <f ca="1">K27+K29</f>
        <v>3934.359462999998</v>
      </c>
      <c r="L30" s="107"/>
      <c r="M30" s="108"/>
      <c r="N30" s="87"/>
      <c r="O30" s="114"/>
    </row>
    <row r="31" spans="1:17" x14ac:dyDescent="0.2">
      <c r="A31" s="114"/>
      <c r="B31" s="130"/>
      <c r="C31" s="131"/>
      <c r="D31" s="175"/>
      <c r="E31" s="132"/>
      <c r="F31" s="133"/>
      <c r="G31" s="175"/>
      <c r="H31" s="134"/>
      <c r="I31" s="176"/>
      <c r="J31" s="135"/>
      <c r="K31" s="135"/>
      <c r="L31" s="136"/>
      <c r="M31" s="108"/>
      <c r="N31" s="87"/>
      <c r="O31" s="114"/>
    </row>
    <row r="32" spans="1:17" x14ac:dyDescent="0.2">
      <c r="A32" s="114"/>
      <c r="B32" s="114"/>
      <c r="C32" s="114"/>
      <c r="D32" s="153"/>
      <c r="E32" s="114"/>
      <c r="F32" s="232"/>
      <c r="G32" s="127"/>
      <c r="H32" s="298"/>
      <c r="I32" s="232"/>
      <c r="J32" s="232"/>
      <c r="K32" s="148"/>
      <c r="L32" s="256"/>
      <c r="M32" s="108"/>
      <c r="N32" s="87"/>
      <c r="O32" s="114"/>
    </row>
    <row r="33" spans="1:17" x14ac:dyDescent="0.2">
      <c r="A33" s="114"/>
      <c r="B33" s="103" t="s">
        <v>98</v>
      </c>
      <c r="C33" s="205"/>
      <c r="D33" s="104"/>
      <c r="E33" s="104"/>
      <c r="F33" s="105"/>
      <c r="G33" s="255"/>
      <c r="H33" s="106"/>
      <c r="I33" s="105"/>
      <c r="J33" s="105"/>
      <c r="K33" s="105"/>
      <c r="L33" s="107"/>
      <c r="M33" s="108"/>
      <c r="N33" s="87"/>
      <c r="O33" s="114"/>
    </row>
    <row r="34" spans="1:17" x14ac:dyDescent="0.2">
      <c r="A34" s="114"/>
      <c r="B34" s="173"/>
      <c r="C34" s="114"/>
      <c r="D34" s="109"/>
      <c r="E34" s="114"/>
      <c r="F34" s="148"/>
      <c r="G34" s="117"/>
      <c r="H34" s="153"/>
      <c r="I34" s="148"/>
      <c r="J34" s="148"/>
      <c r="K34" s="148"/>
      <c r="L34" s="110"/>
      <c r="M34" s="108"/>
      <c r="N34" s="87"/>
      <c r="O34" s="114"/>
    </row>
    <row r="35" spans="1:17" x14ac:dyDescent="0.2">
      <c r="A35" s="114"/>
      <c r="B35" s="138" t="s">
        <v>73</v>
      </c>
      <c r="C35" s="169" t="s">
        <v>74</v>
      </c>
      <c r="D35" s="117">
        <f ca="1">D12+D24</f>
        <v>692628.12096613029</v>
      </c>
      <c r="E35" s="140"/>
      <c r="F35" s="148">
        <f ca="1">F12+F24</f>
        <v>22284890.280000001</v>
      </c>
      <c r="G35" s="117"/>
      <c r="H35" s="140"/>
      <c r="I35" s="148">
        <f ca="1">I12+I24</f>
        <v>23448771.809999999</v>
      </c>
      <c r="J35" s="148"/>
      <c r="K35" s="148">
        <f ca="1">I35-F35</f>
        <v>1163881.5299999975</v>
      </c>
      <c r="L35" s="110"/>
      <c r="M35" s="108"/>
      <c r="N35" s="87"/>
      <c r="O35" s="114"/>
    </row>
    <row r="36" spans="1:17" x14ac:dyDescent="0.2">
      <c r="A36" s="114"/>
      <c r="B36" s="173" t="s">
        <v>75</v>
      </c>
      <c r="C36" s="114" t="s">
        <v>76</v>
      </c>
      <c r="D36" s="117">
        <f ca="1">D13+D25</f>
        <v>232276721.11300004</v>
      </c>
      <c r="E36" s="141"/>
      <c r="F36" s="148">
        <f ca="1">F13+F25</f>
        <v>68463563.549999997</v>
      </c>
      <c r="G36" s="117"/>
      <c r="H36" s="141"/>
      <c r="I36" s="148">
        <f ca="1">I13+I25</f>
        <v>95059248.109999999</v>
      </c>
      <c r="J36" s="148"/>
      <c r="K36" s="148">
        <f ca="1">I36-F36</f>
        <v>26595684.560000002</v>
      </c>
      <c r="L36" s="110"/>
      <c r="M36" s="108"/>
      <c r="N36" s="87"/>
      <c r="O36" s="114"/>
    </row>
    <row r="37" spans="1:17" x14ac:dyDescent="0.2">
      <c r="A37" s="114"/>
      <c r="B37" s="173" t="s">
        <v>95</v>
      </c>
      <c r="C37" s="114" t="s">
        <v>76</v>
      </c>
      <c r="D37" s="117">
        <f ca="1">D14+D26</f>
        <v>232276721.11300004</v>
      </c>
      <c r="E37" s="141"/>
      <c r="F37" s="148">
        <f ca="1">F14+F26</f>
        <v>2048402.87</v>
      </c>
      <c r="G37" s="117"/>
      <c r="H37" s="141"/>
      <c r="I37" s="148">
        <f ca="1">I14+I26</f>
        <v>2845003.98</v>
      </c>
      <c r="J37" s="148"/>
      <c r="K37" s="148">
        <f ca="1">I37-F37</f>
        <v>796601.10999999987</v>
      </c>
      <c r="L37" s="110"/>
      <c r="M37" s="108"/>
      <c r="N37" s="87"/>
      <c r="O37" s="114"/>
    </row>
    <row r="38" spans="1:17" x14ac:dyDescent="0.2">
      <c r="A38" s="114"/>
      <c r="B38" s="163" t="s">
        <v>81</v>
      </c>
      <c r="C38" s="212"/>
      <c r="D38" s="117"/>
      <c r="E38" s="153"/>
      <c r="F38" s="105">
        <f ca="1">SUM(F35:F37)</f>
        <v>92796856.700000003</v>
      </c>
      <c r="G38" s="117"/>
      <c r="H38" s="117"/>
      <c r="I38" s="105">
        <f ca="1">SUM(I35:I37)</f>
        <v>121353023.90000001</v>
      </c>
      <c r="J38" s="148"/>
      <c r="K38" s="105">
        <f ca="1">SUM(K35:K37)</f>
        <v>28556167.199999999</v>
      </c>
      <c r="L38" s="107">
        <f ca="1">ROUND(K38/F38,5)</f>
        <v>0.30773</v>
      </c>
      <c r="M38" s="108"/>
      <c r="N38" s="87"/>
      <c r="O38" s="114"/>
    </row>
    <row r="39" spans="1:17" x14ac:dyDescent="0.2">
      <c r="A39" s="114"/>
      <c r="B39" s="173"/>
      <c r="C39" s="114"/>
      <c r="D39" s="153"/>
      <c r="E39" s="153"/>
      <c r="F39" s="148"/>
      <c r="G39" s="117"/>
      <c r="H39" s="117"/>
      <c r="I39" s="148"/>
      <c r="J39" s="148"/>
      <c r="K39" s="148"/>
      <c r="L39" s="110"/>
      <c r="M39" s="108"/>
      <c r="N39" s="87"/>
      <c r="O39" s="114"/>
    </row>
    <row r="40" spans="1:17" x14ac:dyDescent="0.2">
      <c r="A40" s="114"/>
      <c r="B40" s="173" t="s">
        <v>78</v>
      </c>
      <c r="C40" s="114" t="s">
        <v>76</v>
      </c>
      <c r="D40" s="117">
        <f ca="1">D36</f>
        <v>232276721.11300004</v>
      </c>
      <c r="E40" s="141"/>
      <c r="F40" s="148">
        <f ca="1">F17+F29</f>
        <v>74023541.944620207</v>
      </c>
      <c r="G40" s="153"/>
      <c r="H40" s="147"/>
      <c r="I40" s="148">
        <f ca="1">I17+I29</f>
        <v>74023551.394083202</v>
      </c>
      <c r="J40" s="148"/>
      <c r="K40" s="135">
        <f ca="1">I40-F40</f>
        <v>9.4494629949331284</v>
      </c>
      <c r="L40" s="136">
        <f ca="1">ROUND(K40/F40,5)</f>
        <v>0</v>
      </c>
      <c r="M40" s="108"/>
      <c r="N40" s="87"/>
      <c r="O40" s="114"/>
    </row>
    <row r="41" spans="1:17" x14ac:dyDescent="0.2">
      <c r="A41" s="114"/>
      <c r="B41" s="163" t="s">
        <v>79</v>
      </c>
      <c r="C41" s="114"/>
      <c r="D41" s="153"/>
      <c r="E41" s="114"/>
      <c r="F41" s="105">
        <f ca="1">F40+F38</f>
        <v>166820398.64462021</v>
      </c>
      <c r="G41" s="127"/>
      <c r="H41" s="298"/>
      <c r="I41" s="105">
        <f ca="1">I40+I38</f>
        <v>195376575.29408321</v>
      </c>
      <c r="J41" s="148"/>
      <c r="K41" s="105">
        <f ca="1">K38+K40</f>
        <v>28556176.649462994</v>
      </c>
      <c r="L41" s="107">
        <f ca="1">ROUND(K41/F41,5)</f>
        <v>0.17118</v>
      </c>
      <c r="M41" s="108"/>
      <c r="N41" s="87"/>
      <c r="O41" s="114"/>
    </row>
    <row r="42" spans="1:17" x14ac:dyDescent="0.2">
      <c r="A42" s="114"/>
      <c r="B42" s="130"/>
      <c r="C42" s="131"/>
      <c r="D42" s="175"/>
      <c r="E42" s="132"/>
      <c r="F42" s="133"/>
      <c r="G42" s="175"/>
      <c r="H42" s="134"/>
      <c r="I42" s="176"/>
      <c r="J42" s="135"/>
      <c r="K42" s="135"/>
      <c r="L42" s="136"/>
      <c r="M42" s="108"/>
      <c r="N42" s="87"/>
      <c r="O42" s="114"/>
    </row>
    <row r="43" spans="1:17" x14ac:dyDescent="0.2">
      <c r="A43" s="114"/>
      <c r="B43" s="114"/>
      <c r="C43" s="114"/>
      <c r="D43" s="153"/>
      <c r="E43" s="114"/>
      <c r="F43" s="232"/>
      <c r="G43" s="127"/>
      <c r="H43" s="298"/>
      <c r="I43" s="232"/>
      <c r="J43" s="232"/>
      <c r="K43" s="148"/>
      <c r="L43" s="256"/>
      <c r="M43" s="108"/>
      <c r="N43" s="87"/>
      <c r="O43" s="114"/>
    </row>
    <row r="44" spans="1:17" x14ac:dyDescent="0.2">
      <c r="A44" s="114"/>
      <c r="B44" s="114"/>
      <c r="C44" s="114"/>
      <c r="D44" s="153"/>
      <c r="E44" s="114"/>
      <c r="F44" s="232"/>
      <c r="G44" s="127"/>
      <c r="H44" s="298"/>
      <c r="I44" s="232"/>
      <c r="J44" s="232"/>
      <c r="K44" s="148"/>
      <c r="L44" s="256"/>
      <c r="M44" s="108"/>
      <c r="N44" s="87"/>
    </row>
    <row r="45" spans="1:17" x14ac:dyDescent="0.2">
      <c r="B45" s="137" t="s">
        <v>99</v>
      </c>
      <c r="C45" s="205"/>
      <c r="D45" s="106"/>
      <c r="E45" s="104"/>
      <c r="F45" s="105"/>
      <c r="G45" s="106"/>
      <c r="H45" s="106"/>
      <c r="I45" s="105"/>
      <c r="J45" s="105"/>
      <c r="K45" s="105"/>
      <c r="L45" s="107"/>
      <c r="M45" s="108"/>
      <c r="N45" s="87"/>
    </row>
    <row r="46" spans="1:17" x14ac:dyDescent="0.2">
      <c r="B46" s="142"/>
      <c r="C46" s="114"/>
      <c r="D46" s="153"/>
      <c r="E46" s="153"/>
      <c r="F46" s="148"/>
      <c r="G46" s="143"/>
      <c r="H46" s="153"/>
      <c r="I46" s="148"/>
      <c r="J46" s="148"/>
      <c r="K46" s="148"/>
      <c r="L46" s="110"/>
      <c r="M46" s="108"/>
      <c r="N46" s="87"/>
      <c r="O46" s="321" t="s">
        <v>100</v>
      </c>
    </row>
    <row r="47" spans="1:17" x14ac:dyDescent="0.2">
      <c r="B47" s="138" t="s">
        <v>73</v>
      </c>
      <c r="C47" s="169" t="s">
        <v>74</v>
      </c>
      <c r="D47" s="111">
        <f ca="1">'[61](C) Norm Rev at 2018TR Rates'!$R$893</f>
        <v>15978.11692331859</v>
      </c>
      <c r="E47" s="112">
        <f ca="1">'[61]Rate Design C&amp;I_TR'!$H$47</f>
        <v>106.43</v>
      </c>
      <c r="F47" s="148">
        <f ca="1">ROUND(D47*E47,2)</f>
        <v>1700550.98</v>
      </c>
      <c r="G47" s="117"/>
      <c r="H47" s="112">
        <f>'Current ERF Rates'!I39</f>
        <v>113.4</v>
      </c>
      <c r="I47" s="148">
        <f ca="1">ROUND(D47*H47,2)</f>
        <v>1811918.46</v>
      </c>
      <c r="J47" s="148"/>
      <c r="K47" s="148">
        <f ca="1">I47-F47</f>
        <v>111367.47999999998</v>
      </c>
      <c r="L47" s="110"/>
      <c r="M47" s="108"/>
      <c r="N47" s="87"/>
      <c r="O47" s="113">
        <f ca="1">'Rate Spread'!N15</f>
        <v>1995517.9469474866</v>
      </c>
      <c r="Q47" s="87">
        <f ca="1">H47/E47-1</f>
        <v>6.5489053838203581E-2</v>
      </c>
    </row>
    <row r="48" spans="1:17" x14ac:dyDescent="0.2">
      <c r="B48" s="142" t="s">
        <v>101</v>
      </c>
      <c r="C48" s="169" t="s">
        <v>74</v>
      </c>
      <c r="D48" s="117">
        <f ca="1">D47</f>
        <v>15978.11692331859</v>
      </c>
      <c r="E48" s="112">
        <f ca="1">'[61]Rate Design C&amp;I_TR'!$H$48</f>
        <v>115.88</v>
      </c>
      <c r="F48" s="232">
        <f ca="1">D48*E48</f>
        <v>1851544.1890741582</v>
      </c>
      <c r="G48" s="117"/>
      <c r="H48" s="170">
        <f ca="1">ROUND(+H53*900,2)</f>
        <v>131.30000000000001</v>
      </c>
      <c r="I48" s="232">
        <f ca="1">ROUND(D48*H48,2)</f>
        <v>2097926.75</v>
      </c>
      <c r="J48" s="232"/>
      <c r="K48" s="148">
        <f ca="1">I48-F48</f>
        <v>246382.5609258418</v>
      </c>
      <c r="L48" s="119"/>
      <c r="M48" s="108"/>
      <c r="N48" s="99"/>
      <c r="O48" s="144" t="s">
        <v>77</v>
      </c>
      <c r="Q48" s="87">
        <f t="shared" ref="Q48:Q49" ca="1" si="1">H48/E48-1</f>
        <v>0.13306869175008651</v>
      </c>
    </row>
    <row r="49" spans="1:17" x14ac:dyDescent="0.2">
      <c r="B49" s="142" t="s">
        <v>102</v>
      </c>
      <c r="C49" s="114" t="s">
        <v>103</v>
      </c>
      <c r="D49" s="111">
        <f ca="1">'[61](C) Norm Rev at 2018TR Rates'!$R$975</f>
        <v>4466417.6739999996</v>
      </c>
      <c r="E49" s="112">
        <f ca="1">'[61]Rate Design C&amp;I_TR'!$H$49</f>
        <v>1.17</v>
      </c>
      <c r="F49" s="232">
        <f ca="1">ROUND(D49*E49,2)</f>
        <v>5225708.68</v>
      </c>
      <c r="G49" s="117"/>
      <c r="H49" s="112">
        <f>'Rate Design Targets'!E7</f>
        <v>1.25</v>
      </c>
      <c r="I49" s="232">
        <f ca="1">ROUND(D49*H49,2)</f>
        <v>5583022.0899999999</v>
      </c>
      <c r="J49" s="232"/>
      <c r="K49" s="148">
        <f ca="1">I49-F49</f>
        <v>357313.41000000015</v>
      </c>
      <c r="L49" s="119"/>
      <c r="M49" s="108"/>
      <c r="N49" s="99"/>
      <c r="O49" s="120">
        <f ca="1">K57+K79-O47</f>
        <v>12.790024357847869</v>
      </c>
      <c r="Q49" s="87">
        <f t="shared" ca="1" si="1"/>
        <v>6.8376068376068355E-2</v>
      </c>
    </row>
    <row r="50" spans="1:17" x14ac:dyDescent="0.2">
      <c r="B50" s="142"/>
      <c r="C50" s="114"/>
      <c r="D50" s="117"/>
      <c r="E50" s="112"/>
      <c r="F50" s="118"/>
      <c r="G50" s="117"/>
      <c r="H50" s="170"/>
      <c r="I50" s="232"/>
      <c r="J50" s="232"/>
      <c r="K50" s="253"/>
      <c r="L50" s="119"/>
      <c r="M50" s="108"/>
      <c r="N50" s="99"/>
      <c r="O50" s="145"/>
      <c r="P50" s="154"/>
      <c r="Q50" s="156"/>
    </row>
    <row r="51" spans="1:17" x14ac:dyDescent="0.2">
      <c r="B51" s="142" t="s">
        <v>104</v>
      </c>
      <c r="C51" s="114"/>
      <c r="D51" s="117"/>
      <c r="E51" s="112"/>
      <c r="F51" s="232"/>
      <c r="G51" s="117"/>
      <c r="H51" s="170"/>
      <c r="I51" s="232"/>
      <c r="J51" s="232"/>
      <c r="K51" s="253"/>
      <c r="L51" s="119"/>
      <c r="M51" s="108"/>
      <c r="N51" s="99"/>
      <c r="O51" s="47">
        <v>0.13305</v>
      </c>
      <c r="P51" s="154"/>
      <c r="Q51" s="146"/>
    </row>
    <row r="52" spans="1:17" x14ac:dyDescent="0.2">
      <c r="B52" s="142" t="s">
        <v>105</v>
      </c>
      <c r="C52" s="114" t="s">
        <v>76</v>
      </c>
      <c r="D52" s="111">
        <f ca="1">'[61](C) Norm Rev at 2018TR Rates'!R177+'[61](C) Norm Rev at 2018TR Rates'!R223</f>
        <v>13387853.839</v>
      </c>
      <c r="E52" s="115">
        <f ca="1">'[61]Rate Design C&amp;I_TR'!$H$52</f>
        <v>0.12876000000000001</v>
      </c>
      <c r="F52" s="148" t="s">
        <v>106</v>
      </c>
      <c r="G52" s="117"/>
      <c r="H52" s="147">
        <f ca="1">H53</f>
        <v>0.14588999999999999</v>
      </c>
      <c r="I52" s="148" t="s">
        <v>106</v>
      </c>
      <c r="J52" s="148"/>
      <c r="K52" s="148"/>
      <c r="L52" s="110"/>
      <c r="M52" s="108"/>
      <c r="N52" s="87"/>
      <c r="P52" s="285"/>
      <c r="Q52" s="87">
        <f ca="1">H52/E52-1</f>
        <v>0.13303821062441723</v>
      </c>
    </row>
    <row r="53" spans="1:17" x14ac:dyDescent="0.2">
      <c r="B53" s="142" t="s">
        <v>107</v>
      </c>
      <c r="C53" s="114" t="s">
        <v>76</v>
      </c>
      <c r="D53" s="111">
        <f ca="1">'[61](C) Norm Rev at 2018TR Rates'!R178+'[61](C) Norm Rev at 2018TR Rates'!R224</f>
        <v>29572063.337000005</v>
      </c>
      <c r="E53" s="115">
        <f ca="1">'[61]Rate Design C&amp;I_TR'!$H$53</f>
        <v>0.12876000000000001</v>
      </c>
      <c r="F53" s="148">
        <f ca="1">ROUND(D53*E53,2)</f>
        <v>3807698.88</v>
      </c>
      <c r="G53" s="117"/>
      <c r="H53" s="147">
        <f ca="1">ROUND(E53*(1+$O$51),5)</f>
        <v>0.14588999999999999</v>
      </c>
      <c r="I53" s="148">
        <f ca="1">ROUND(D53*H53,2)</f>
        <v>4314268.32</v>
      </c>
      <c r="J53" s="148"/>
      <c r="K53" s="148">
        <f ca="1">I53-F53</f>
        <v>506569.44000000041</v>
      </c>
      <c r="L53" s="110"/>
      <c r="M53" s="108"/>
      <c r="N53" s="87"/>
      <c r="O53" s="149"/>
      <c r="P53" s="285"/>
      <c r="Q53" s="87">
        <f ca="1">H53/E53-1</f>
        <v>0.13303821062441723</v>
      </c>
    </row>
    <row r="54" spans="1:17" x14ac:dyDescent="0.2">
      <c r="B54" s="142" t="s">
        <v>108</v>
      </c>
      <c r="C54" s="114" t="s">
        <v>76</v>
      </c>
      <c r="D54" s="111">
        <f ca="1">'[61](C) Norm Rev at 2018TR Rates'!R179+'[61](C) Norm Rev at 2018TR Rates'!R225</f>
        <v>22537947.381999999</v>
      </c>
      <c r="E54" s="115">
        <f ca="1">'[61]Rate Design C&amp;I_TR'!$H$54</f>
        <v>0.10364</v>
      </c>
      <c r="F54" s="148">
        <f ca="1">ROUND(D54*E54,2)</f>
        <v>2335832.87</v>
      </c>
      <c r="G54" s="117"/>
      <c r="H54" s="147">
        <f ca="1">ROUND(E54*(1+$O$51),5)</f>
        <v>0.11743000000000001</v>
      </c>
      <c r="I54" s="148">
        <f ca="1">ROUND(D54*H54,2)</f>
        <v>2646631.16</v>
      </c>
      <c r="J54" s="148"/>
      <c r="K54" s="148">
        <f ca="1">I54-F54</f>
        <v>310798.29000000004</v>
      </c>
      <c r="L54" s="110"/>
      <c r="M54" s="108"/>
      <c r="N54" s="87"/>
      <c r="O54" s="177"/>
      <c r="P54" s="285"/>
      <c r="Q54" s="87">
        <f ca="1">H54/E54-1</f>
        <v>0.1330567348514089</v>
      </c>
    </row>
    <row r="55" spans="1:17" s="154" customFormat="1" x14ac:dyDescent="0.2">
      <c r="A55" s="153"/>
      <c r="B55" s="138" t="s">
        <v>109</v>
      </c>
      <c r="C55" s="212"/>
      <c r="D55" s="255">
        <f ca="1">SUM(D52:D54)</f>
        <v>65497864.558000006</v>
      </c>
      <c r="E55" s="150"/>
      <c r="F55" s="232"/>
      <c r="G55" s="117"/>
      <c r="H55" s="117"/>
      <c r="I55" s="153"/>
      <c r="J55" s="153"/>
      <c r="K55" s="153"/>
      <c r="L55" s="151"/>
      <c r="M55" s="223"/>
      <c r="N55" s="152"/>
      <c r="O55" s="153"/>
      <c r="Q55" s="87"/>
    </row>
    <row r="56" spans="1:17" s="154" customFormat="1" x14ac:dyDescent="0.2">
      <c r="A56" s="153"/>
      <c r="B56" s="138" t="s">
        <v>95</v>
      </c>
      <c r="C56" s="114" t="s">
        <v>76</v>
      </c>
      <c r="D56" s="117">
        <f ca="1">D55</f>
        <v>65497864.558000006</v>
      </c>
      <c r="E56" s="155">
        <f ca="1">'[61]Rate Design C&amp;I_TR'!$H$56</f>
        <v>6.0899999999999999E-3</v>
      </c>
      <c r="F56" s="232">
        <f ca="1">D56*E56</f>
        <v>398881.99515822006</v>
      </c>
      <c r="G56" s="117"/>
      <c r="H56" s="147">
        <f ca="1">ROUND(E56*(1+$O$51),5)</f>
        <v>6.8999999999999999E-3</v>
      </c>
      <c r="I56" s="232">
        <f ca="1">D56*H56</f>
        <v>451935.26545020001</v>
      </c>
      <c r="J56" s="232"/>
      <c r="K56" s="148">
        <f ca="1">I56-F56</f>
        <v>53053.270291979949</v>
      </c>
      <c r="L56" s="110"/>
      <c r="M56" s="223"/>
      <c r="N56" s="152"/>
      <c r="O56" s="153"/>
      <c r="Q56" s="87">
        <f ca="1">H56/E56-1</f>
        <v>0.13300492610837433</v>
      </c>
    </row>
    <row r="57" spans="1:17" x14ac:dyDescent="0.2">
      <c r="B57" s="163" t="s">
        <v>81</v>
      </c>
      <c r="C57" s="212"/>
      <c r="D57" s="255"/>
      <c r="E57" s="150"/>
      <c r="F57" s="157">
        <f ca="1">SUM(F47:F56)</f>
        <v>15320217.594232379</v>
      </c>
      <c r="G57" s="117"/>
      <c r="H57" s="117"/>
      <c r="I57" s="157">
        <f ca="1">SUM(I47:I49,I53:I56)</f>
        <v>16905702.045450199</v>
      </c>
      <c r="J57" s="232"/>
      <c r="K57" s="157">
        <f ca="1">SUM(K47:K56)</f>
        <v>1585484.4512178223</v>
      </c>
      <c r="L57" s="107">
        <f ca="1">ROUND(K57/F57,5)</f>
        <v>0.10349</v>
      </c>
      <c r="M57" s="108"/>
      <c r="N57" s="87"/>
      <c r="O57" s="219"/>
      <c r="P57" s="158"/>
      <c r="Q57" s="159"/>
    </row>
    <row r="58" spans="1:17" x14ac:dyDescent="0.2">
      <c r="B58" s="138"/>
      <c r="C58" s="212"/>
      <c r="D58" s="117"/>
      <c r="E58" s="160"/>
      <c r="F58" s="148"/>
      <c r="G58" s="117"/>
      <c r="H58" s="117"/>
      <c r="I58" s="232"/>
      <c r="J58" s="232"/>
      <c r="K58" s="148"/>
      <c r="L58" s="110"/>
      <c r="M58" s="108"/>
      <c r="N58" s="87"/>
      <c r="O58" s="161"/>
      <c r="P58" s="158"/>
      <c r="Q58" s="159"/>
    </row>
    <row r="59" spans="1:17" x14ac:dyDescent="0.2">
      <c r="B59" s="173" t="s">
        <v>78</v>
      </c>
      <c r="C59" s="212"/>
      <c r="D59" s="153"/>
      <c r="E59" s="160"/>
      <c r="F59" s="148"/>
      <c r="G59" s="117"/>
      <c r="H59" s="117"/>
      <c r="I59" s="232"/>
      <c r="J59" s="232"/>
      <c r="K59" s="148"/>
      <c r="L59" s="110"/>
      <c r="M59" s="108"/>
      <c r="N59" s="87"/>
      <c r="O59" s="154"/>
      <c r="P59" s="154"/>
      <c r="Q59" s="146"/>
    </row>
    <row r="60" spans="1:17" x14ac:dyDescent="0.2">
      <c r="B60" s="142" t="s">
        <v>110</v>
      </c>
      <c r="C60" s="114" t="s">
        <v>76</v>
      </c>
      <c r="D60" s="117">
        <f ca="1">D55</f>
        <v>65497864.558000006</v>
      </c>
      <c r="E60" s="115">
        <f ca="1">'[61](C) Norm Rev at 2018TR Rates'!$Q$165</f>
        <v>0.2271</v>
      </c>
      <c r="F60" s="148">
        <f ca="1">E60*D60</f>
        <v>14874565.041121801</v>
      </c>
      <c r="G60" s="153"/>
      <c r="H60" s="319">
        <f ca="1">E60</f>
        <v>0.2271</v>
      </c>
      <c r="I60" s="148">
        <f ca="1">H60*D60</f>
        <v>14874565.041121801</v>
      </c>
      <c r="J60" s="148"/>
      <c r="K60" s="148">
        <f ca="1">I60-F60</f>
        <v>0</v>
      </c>
      <c r="L60" s="110"/>
      <c r="M60" s="108"/>
      <c r="N60" s="114"/>
      <c r="O60" s="154"/>
      <c r="P60" s="162"/>
      <c r="Q60" s="146"/>
    </row>
    <row r="61" spans="1:17" x14ac:dyDescent="0.2">
      <c r="B61" s="142" t="s">
        <v>102</v>
      </c>
      <c r="C61" s="114" t="s">
        <v>103</v>
      </c>
      <c r="D61" s="117">
        <f ca="1">D49</f>
        <v>4466417.6739999996</v>
      </c>
      <c r="E61" s="112">
        <f ca="1">'[61](C) Norm Rev at 2018TR Rates'!$Q$169</f>
        <v>1.05</v>
      </c>
      <c r="F61" s="148">
        <f ca="1">E61*D61</f>
        <v>4689738.5576999998</v>
      </c>
      <c r="G61" s="153"/>
      <c r="H61" s="320">
        <f ca="1">E61</f>
        <v>1.05</v>
      </c>
      <c r="I61" s="148">
        <f ca="1">H61*D61</f>
        <v>4689738.5576999998</v>
      </c>
      <c r="J61" s="148"/>
      <c r="K61" s="148">
        <f ca="1">I61-F61</f>
        <v>0</v>
      </c>
      <c r="L61" s="110"/>
      <c r="M61" s="108"/>
      <c r="N61" s="87"/>
      <c r="O61" s="161"/>
      <c r="P61" s="158"/>
      <c r="Q61" s="146"/>
    </row>
    <row r="62" spans="1:17" x14ac:dyDescent="0.2">
      <c r="B62" s="163" t="s">
        <v>111</v>
      </c>
      <c r="C62" s="212"/>
      <c r="D62" s="153"/>
      <c r="E62" s="164"/>
      <c r="F62" s="157">
        <f ca="1">SUM(F60:F61)</f>
        <v>19564303.5988218</v>
      </c>
      <c r="G62" s="153"/>
      <c r="H62" s="170"/>
      <c r="I62" s="157">
        <f ca="1">SUM(I60:I61)</f>
        <v>19564303.5988218</v>
      </c>
      <c r="J62" s="148"/>
      <c r="K62" s="157">
        <f ca="1">SUM(K60:K61)</f>
        <v>0</v>
      </c>
      <c r="L62" s="107">
        <f ca="1">ROUND(K62/F62,5)</f>
        <v>0</v>
      </c>
      <c r="M62" s="108"/>
      <c r="N62" s="87"/>
      <c r="O62" s="153"/>
      <c r="P62" s="154"/>
      <c r="Q62" s="156"/>
    </row>
    <row r="63" spans="1:17" x14ac:dyDescent="0.2">
      <c r="B63" s="142"/>
      <c r="C63" s="114"/>
      <c r="D63" s="153"/>
      <c r="E63" s="114"/>
      <c r="F63" s="148"/>
      <c r="G63" s="153"/>
      <c r="H63" s="153"/>
      <c r="I63" s="232"/>
      <c r="J63" s="232"/>
      <c r="K63" s="148"/>
      <c r="L63" s="110"/>
      <c r="M63" s="108"/>
      <c r="N63" s="87"/>
      <c r="O63" s="177"/>
      <c r="P63" s="154"/>
      <c r="Q63" s="146"/>
    </row>
    <row r="64" spans="1:17" x14ac:dyDescent="0.2">
      <c r="B64" s="138" t="s">
        <v>79</v>
      </c>
      <c r="C64" s="212"/>
      <c r="D64" s="153"/>
      <c r="E64" s="117"/>
      <c r="F64" s="157">
        <f ca="1">+F62+F57</f>
        <v>34884521.193054177</v>
      </c>
      <c r="G64" s="117"/>
      <c r="H64" s="117"/>
      <c r="I64" s="157">
        <f ca="1">+I62+I57</f>
        <v>36470005.644272</v>
      </c>
      <c r="J64" s="232"/>
      <c r="K64" s="157">
        <f ca="1">K62+K57</f>
        <v>1585484.4512178223</v>
      </c>
      <c r="L64" s="107">
        <f ca="1">ROUND(K64/F64,5)</f>
        <v>4.5449999999999997E-2</v>
      </c>
      <c r="M64" s="108"/>
      <c r="N64" s="87"/>
      <c r="O64" s="153"/>
      <c r="P64" s="154"/>
      <c r="Q64" s="156"/>
    </row>
    <row r="65" spans="1:17" s="154" customFormat="1" x14ac:dyDescent="0.2">
      <c r="B65" s="165"/>
      <c r="C65" s="175"/>
      <c r="D65" s="175"/>
      <c r="E65" s="175"/>
      <c r="F65" s="176"/>
      <c r="G65" s="175"/>
      <c r="H65" s="175"/>
      <c r="I65" s="133"/>
      <c r="J65" s="133"/>
      <c r="K65" s="176"/>
      <c r="L65" s="166"/>
      <c r="M65" s="223"/>
      <c r="N65" s="152"/>
      <c r="O65" s="153"/>
      <c r="Q65" s="156"/>
    </row>
    <row r="66" spans="1:17" s="154" customFormat="1" x14ac:dyDescent="0.2">
      <c r="A66" s="153"/>
      <c r="B66" s="153"/>
      <c r="C66" s="153"/>
      <c r="D66" s="153"/>
      <c r="E66" s="153"/>
      <c r="F66" s="177"/>
      <c r="G66" s="153"/>
      <c r="H66" s="153"/>
      <c r="I66" s="167"/>
      <c r="J66" s="167"/>
      <c r="K66" s="177"/>
      <c r="L66" s="168"/>
      <c r="M66" s="223"/>
      <c r="N66" s="152"/>
      <c r="O66" s="153"/>
      <c r="Q66" s="156"/>
    </row>
    <row r="67" spans="1:17" s="154" customFormat="1" x14ac:dyDescent="0.2">
      <c r="A67" s="153"/>
      <c r="B67" s="137" t="s">
        <v>112</v>
      </c>
      <c r="C67" s="205"/>
      <c r="D67" s="106"/>
      <c r="E67" s="104"/>
      <c r="F67" s="105"/>
      <c r="G67" s="106"/>
      <c r="H67" s="106"/>
      <c r="I67" s="105"/>
      <c r="J67" s="105"/>
      <c r="K67" s="105"/>
      <c r="L67" s="107"/>
      <c r="M67" s="223"/>
      <c r="N67" s="152"/>
      <c r="O67" s="153"/>
      <c r="Q67" s="156"/>
    </row>
    <row r="68" spans="1:17" s="154" customFormat="1" x14ac:dyDescent="0.2">
      <c r="A68" s="153"/>
      <c r="B68" s="142"/>
      <c r="C68" s="114"/>
      <c r="D68" s="153"/>
      <c r="E68" s="153"/>
      <c r="F68" s="148"/>
      <c r="G68" s="143"/>
      <c r="H68" s="153"/>
      <c r="I68" s="148"/>
      <c r="J68" s="148"/>
      <c r="K68" s="148"/>
      <c r="L68" s="110"/>
      <c r="M68" s="223"/>
      <c r="N68" s="152"/>
      <c r="O68" s="153"/>
    </row>
    <row r="69" spans="1:17" s="154" customFormat="1" x14ac:dyDescent="0.2">
      <c r="A69" s="153"/>
      <c r="B69" s="138" t="s">
        <v>73</v>
      </c>
      <c r="C69" s="169" t="s">
        <v>74</v>
      </c>
      <c r="D69" s="111">
        <f ca="1">'[61](C) Norm Rev at 2018TR Rates'!$R$898</f>
        <v>1233.3356387208999</v>
      </c>
      <c r="E69" s="112">
        <f ca="1">'[61]Rate Design C&amp;I_TR'!$H$69</f>
        <v>410.51</v>
      </c>
      <c r="F69" s="148">
        <f ca="1">ROUND(D69*E69,2)</f>
        <v>506296.61</v>
      </c>
      <c r="G69" s="117"/>
      <c r="H69" s="112">
        <f>'Current ERF Rates'!I53</f>
        <v>422.79</v>
      </c>
      <c r="I69" s="148">
        <f ca="1">ROUND(D69*H69,2)</f>
        <v>521441.97</v>
      </c>
      <c r="J69" s="148"/>
      <c r="K69" s="148">
        <f ca="1">I69-F69</f>
        <v>15145.359999999986</v>
      </c>
      <c r="L69" s="110"/>
      <c r="M69" s="223"/>
      <c r="N69" s="152"/>
      <c r="O69" s="169"/>
      <c r="Q69" s="87">
        <f ca="1">H69/E69-1</f>
        <v>2.991400940293798E-2</v>
      </c>
    </row>
    <row r="70" spans="1:17" s="154" customFormat="1" x14ac:dyDescent="0.2">
      <c r="A70" s="153"/>
      <c r="B70" s="142" t="s">
        <v>101</v>
      </c>
      <c r="C70" s="169" t="s">
        <v>74</v>
      </c>
      <c r="D70" s="117">
        <f ca="1">D69</f>
        <v>1233.3356387208999</v>
      </c>
      <c r="E70" s="112">
        <f ca="1">'[61]Rate Design C&amp;I_TR'!$H$70</f>
        <v>115.88</v>
      </c>
      <c r="F70" s="232">
        <f ca="1">D70*E70</f>
        <v>142918.93381497788</v>
      </c>
      <c r="G70" s="117"/>
      <c r="H70" s="170">
        <f ca="1">H48</f>
        <v>131.30000000000001</v>
      </c>
      <c r="I70" s="232">
        <f ca="1">ROUND(D70*H70,2)</f>
        <v>161936.97</v>
      </c>
      <c r="J70" s="232"/>
      <c r="K70" s="148">
        <f ca="1">I70-F70</f>
        <v>19018.036185022123</v>
      </c>
      <c r="L70" s="119"/>
      <c r="M70" s="223"/>
      <c r="N70" s="152"/>
      <c r="O70" s="153"/>
      <c r="Q70" s="87">
        <f t="shared" ref="Q70:Q71" ca="1" si="2">H70/E70-1</f>
        <v>0.13306869175008651</v>
      </c>
    </row>
    <row r="71" spans="1:17" s="154" customFormat="1" x14ac:dyDescent="0.2">
      <c r="A71" s="153"/>
      <c r="B71" s="142" t="s">
        <v>102</v>
      </c>
      <c r="C71" s="114" t="s">
        <v>103</v>
      </c>
      <c r="D71" s="111">
        <f ca="1">'[61](C) Norm Rev at 2018TR Rates'!$R$979</f>
        <v>1160980.7009999999</v>
      </c>
      <c r="E71" s="112">
        <f ca="1">'[61]Rate Design C&amp;I_TR'!$H$71</f>
        <v>1.17</v>
      </c>
      <c r="F71" s="232">
        <f ca="1">ROUND(D71*E71,2)</f>
        <v>1358347.42</v>
      </c>
      <c r="G71" s="117"/>
      <c r="H71" s="170">
        <f>H49</f>
        <v>1.25</v>
      </c>
      <c r="I71" s="232">
        <f ca="1">ROUND(D71*H71,2)</f>
        <v>1451225.88</v>
      </c>
      <c r="J71" s="153"/>
      <c r="K71" s="148">
        <f ca="1">I71-F71</f>
        <v>92878.459999999963</v>
      </c>
      <c r="L71" s="119"/>
      <c r="M71" s="223"/>
      <c r="N71" s="152"/>
      <c r="O71" s="153"/>
      <c r="Q71" s="87">
        <f t="shared" ca="1" si="2"/>
        <v>6.8376068376068355E-2</v>
      </c>
    </row>
    <row r="72" spans="1:17" s="154" customFormat="1" x14ac:dyDescent="0.2">
      <c r="A72" s="153"/>
      <c r="B72" s="142"/>
      <c r="C72" s="114"/>
      <c r="D72" s="117"/>
      <c r="E72" s="112"/>
      <c r="F72" s="232"/>
      <c r="G72" s="117"/>
      <c r="H72" s="170"/>
      <c r="I72" s="232"/>
      <c r="J72" s="232"/>
      <c r="K72" s="253"/>
      <c r="L72" s="119"/>
      <c r="M72" s="223"/>
      <c r="N72" s="152"/>
      <c r="O72" s="153"/>
      <c r="Q72" s="156"/>
    </row>
    <row r="73" spans="1:17" s="154" customFormat="1" x14ac:dyDescent="0.2">
      <c r="A73" s="153"/>
      <c r="B73" s="142" t="s">
        <v>104</v>
      </c>
      <c r="C73" s="114"/>
      <c r="D73" s="117"/>
      <c r="E73" s="112"/>
      <c r="F73" s="148"/>
      <c r="G73" s="117"/>
      <c r="H73" s="170"/>
      <c r="I73" s="232"/>
      <c r="J73" s="232"/>
      <c r="K73" s="253"/>
      <c r="L73" s="119"/>
      <c r="M73" s="223"/>
      <c r="N73" s="152"/>
      <c r="O73" s="153"/>
      <c r="Q73" s="156"/>
    </row>
    <row r="74" spans="1:17" s="154" customFormat="1" x14ac:dyDescent="0.2">
      <c r="A74" s="153"/>
      <c r="B74" s="142" t="s">
        <v>105</v>
      </c>
      <c r="C74" s="114" t="s">
        <v>76</v>
      </c>
      <c r="D74" s="111">
        <f ca="1">'[61](C) Norm Rev at 2018TR Rates'!R265+'[61](C) Norm Rev at 2018TR Rates'!R303</f>
        <v>1129776.96</v>
      </c>
      <c r="E74" s="115">
        <f ca="1">'[61]Rate Design C&amp;I_TR'!$H$74</f>
        <v>0.12876000000000001</v>
      </c>
      <c r="F74" s="148" t="s">
        <v>106</v>
      </c>
      <c r="G74" s="117"/>
      <c r="H74" s="147">
        <f ca="1">H52</f>
        <v>0.14588999999999999</v>
      </c>
      <c r="I74" s="148" t="s">
        <v>106</v>
      </c>
      <c r="J74" s="148"/>
      <c r="K74" s="148"/>
      <c r="L74" s="110"/>
      <c r="M74" s="223"/>
      <c r="N74" s="152"/>
      <c r="O74" s="153"/>
      <c r="Q74" s="87">
        <f ca="1">H74/E74-1</f>
        <v>0.13303821062441723</v>
      </c>
    </row>
    <row r="75" spans="1:17" s="154" customFormat="1" x14ac:dyDescent="0.2">
      <c r="A75" s="153"/>
      <c r="B75" s="142" t="s">
        <v>107</v>
      </c>
      <c r="C75" s="114" t="s">
        <v>76</v>
      </c>
      <c r="D75" s="111">
        <f ca="1">'[61](C) Norm Rev at 2018TR Rates'!R266+'[61](C) Norm Rev at 2018TR Rates'!R304</f>
        <v>4274079.3400000008</v>
      </c>
      <c r="E75" s="115">
        <f ca="1">'[61]Rate Design C&amp;I_TR'!$H$75</f>
        <v>0.12876000000000001</v>
      </c>
      <c r="F75" s="148">
        <f ca="1">D75*E75</f>
        <v>550330.45581840014</v>
      </c>
      <c r="G75" s="117"/>
      <c r="H75" s="147">
        <f ca="1">H53</f>
        <v>0.14588999999999999</v>
      </c>
      <c r="I75" s="148">
        <f ca="1">H75*D75</f>
        <v>623545.43491260009</v>
      </c>
      <c r="J75" s="148"/>
      <c r="K75" s="148">
        <f ca="1">I75-F75</f>
        <v>73214.979094199953</v>
      </c>
      <c r="L75" s="110"/>
      <c r="M75" s="223"/>
      <c r="N75" s="152"/>
      <c r="O75" s="153"/>
      <c r="Q75" s="87">
        <f t="shared" ref="Q75:Q76" ca="1" si="3">H75/E75-1</f>
        <v>0.13303821062441723</v>
      </c>
    </row>
    <row r="76" spans="1:17" s="154" customFormat="1" x14ac:dyDescent="0.2">
      <c r="A76" s="153"/>
      <c r="B76" s="142" t="s">
        <v>108</v>
      </c>
      <c r="C76" s="114" t="s">
        <v>76</v>
      </c>
      <c r="D76" s="111">
        <f ca="1">'[61](C) Norm Rev at 2018TR Rates'!R267+'[61](C) Norm Rev at 2018TR Rates'!R305</f>
        <v>15213158.119999997</v>
      </c>
      <c r="E76" s="115">
        <f ca="1">'[61]Rate Design C&amp;I_TR'!$H$76</f>
        <v>0.10364</v>
      </c>
      <c r="F76" s="148">
        <f ca="1">D76*E76</f>
        <v>1576691.7075567998</v>
      </c>
      <c r="G76" s="117"/>
      <c r="H76" s="147">
        <f ca="1">H54</f>
        <v>0.11743000000000001</v>
      </c>
      <c r="I76" s="148">
        <f ca="1">H76*D76</f>
        <v>1786481.1580315998</v>
      </c>
      <c r="J76" s="148"/>
      <c r="K76" s="148">
        <f ca="1">I76-F76</f>
        <v>209789.45047480008</v>
      </c>
      <c r="L76" s="110"/>
      <c r="M76" s="223"/>
      <c r="N76" s="152"/>
      <c r="O76" s="153"/>
      <c r="Q76" s="87">
        <f t="shared" ca="1" si="3"/>
        <v>0.1330567348514089</v>
      </c>
    </row>
    <row r="77" spans="1:17" s="154" customFormat="1" x14ac:dyDescent="0.2">
      <c r="A77" s="153"/>
      <c r="B77" s="138" t="s">
        <v>109</v>
      </c>
      <c r="C77" s="212"/>
      <c r="D77" s="255">
        <f ca="1">SUM(D74:D76)</f>
        <v>20617014.419999998</v>
      </c>
      <c r="E77" s="150"/>
      <c r="F77" s="232"/>
      <c r="G77" s="117"/>
      <c r="H77" s="117"/>
      <c r="I77" s="153"/>
      <c r="J77" s="153"/>
      <c r="K77" s="153"/>
      <c r="L77" s="151"/>
      <c r="M77" s="223"/>
      <c r="N77" s="152"/>
      <c r="O77" s="153"/>
      <c r="Q77" s="87"/>
    </row>
    <row r="78" spans="1:17" s="154" customFormat="1" x14ac:dyDescent="0.2">
      <c r="A78" s="153"/>
      <c r="B78" s="138" t="s">
        <v>95</v>
      </c>
      <c r="C78" s="114" t="s">
        <v>76</v>
      </c>
      <c r="D78" s="117">
        <f ca="1">D77</f>
        <v>20617014.419999998</v>
      </c>
      <c r="E78" s="139">
        <v>0</v>
      </c>
      <c r="F78" s="232">
        <f ca="1">D78*E78</f>
        <v>0</v>
      </c>
      <c r="G78" s="117"/>
      <c r="H78" s="139">
        <v>0</v>
      </c>
      <c r="I78" s="232">
        <f ca="1">D78*H78</f>
        <v>0</v>
      </c>
      <c r="J78" s="232"/>
      <c r="K78" s="148">
        <f ca="1">I78-F78</f>
        <v>0</v>
      </c>
      <c r="L78" s="110"/>
      <c r="M78" s="223"/>
      <c r="N78" s="152"/>
      <c r="O78" s="153"/>
      <c r="Q78" s="156"/>
    </row>
    <row r="79" spans="1:17" s="154" customFormat="1" x14ac:dyDescent="0.2">
      <c r="A79" s="153"/>
      <c r="B79" s="163" t="s">
        <v>81</v>
      </c>
      <c r="C79" s="212"/>
      <c r="D79" s="117"/>
      <c r="E79" s="150"/>
      <c r="F79" s="157">
        <f ca="1">SUM(F69:F78)</f>
        <v>4134585.1271901773</v>
      </c>
      <c r="G79" s="117"/>
      <c r="H79" s="117"/>
      <c r="I79" s="157">
        <f ca="1">SUM(I69:I78)</f>
        <v>4544631.4129441995</v>
      </c>
      <c r="J79" s="232"/>
      <c r="K79" s="157">
        <f ca="1">SUM(K69:K78)</f>
        <v>410046.28575402207</v>
      </c>
      <c r="L79" s="107">
        <f ca="1">ROUND(K79/F79,5)</f>
        <v>9.9169999999999994E-2</v>
      </c>
      <c r="M79" s="223"/>
      <c r="N79" s="152"/>
      <c r="O79" s="153"/>
      <c r="Q79" s="156"/>
    </row>
    <row r="80" spans="1:17" s="154" customFormat="1" x14ac:dyDescent="0.2">
      <c r="A80" s="153"/>
      <c r="B80" s="138"/>
      <c r="C80" s="212"/>
      <c r="D80" s="117"/>
      <c r="E80" s="150"/>
      <c r="F80" s="232"/>
      <c r="G80" s="117"/>
      <c r="H80" s="117"/>
      <c r="I80" s="232"/>
      <c r="J80" s="232"/>
      <c r="K80" s="148"/>
      <c r="L80" s="110"/>
      <c r="M80" s="223"/>
      <c r="N80" s="152"/>
      <c r="O80" s="172"/>
      <c r="P80" s="114"/>
      <c r="Q80" s="87"/>
    </row>
    <row r="81" spans="1:17" s="154" customFormat="1" x14ac:dyDescent="0.2">
      <c r="A81" s="153"/>
      <c r="B81" s="142" t="s">
        <v>97</v>
      </c>
      <c r="C81" s="114" t="s">
        <v>76</v>
      </c>
      <c r="D81" s="117">
        <f ca="1">D77</f>
        <v>20617014.419999998</v>
      </c>
      <c r="E81" s="115">
        <f ca="1">'[61]Rate Design C&amp;I_TR'!$H$81</f>
        <v>6.9999999999999999E-4</v>
      </c>
      <c r="F81" s="148">
        <f ca="1">E81*D81</f>
        <v>14431.910093999999</v>
      </c>
      <c r="G81" s="153"/>
      <c r="H81" s="139">
        <v>1E-3</v>
      </c>
      <c r="I81" s="148">
        <f ca="1">H81*D81</f>
        <v>20617.01442</v>
      </c>
      <c r="J81" s="148"/>
      <c r="K81" s="148">
        <f ca="1">I81-F81</f>
        <v>6185.1043260000006</v>
      </c>
      <c r="L81" s="110"/>
      <c r="M81" s="223"/>
      <c r="N81" s="152"/>
      <c r="O81" s="148"/>
      <c r="P81" s="114"/>
      <c r="Q81" s="171"/>
    </row>
    <row r="82" spans="1:17" s="154" customFormat="1" x14ac:dyDescent="0.2">
      <c r="A82" s="153"/>
      <c r="B82" s="142" t="s">
        <v>79</v>
      </c>
      <c r="C82" s="114"/>
      <c r="D82" s="117"/>
      <c r="E82" s="147"/>
      <c r="F82" s="157">
        <f ca="1">F79+F81</f>
        <v>4149017.0372841773</v>
      </c>
      <c r="G82" s="153"/>
      <c r="H82" s="170"/>
      <c r="I82" s="157">
        <f ca="1">I79+SUM(I81:I81)</f>
        <v>4565248.4273641994</v>
      </c>
      <c r="J82" s="148"/>
      <c r="K82" s="157">
        <f ca="1">K79+SUM(K81:K81)</f>
        <v>416231.39008002204</v>
      </c>
      <c r="L82" s="107">
        <f ca="1">ROUND(K82/F82,5)</f>
        <v>0.10032000000000001</v>
      </c>
      <c r="M82" s="223"/>
      <c r="N82" s="152"/>
      <c r="O82" s="177"/>
      <c r="P82" s="114"/>
      <c r="Q82" s="171"/>
    </row>
    <row r="83" spans="1:17" s="154" customFormat="1" x14ac:dyDescent="0.2">
      <c r="A83" s="153"/>
      <c r="B83" s="165"/>
      <c r="C83" s="175"/>
      <c r="D83" s="175"/>
      <c r="E83" s="175"/>
      <c r="F83" s="176"/>
      <c r="G83" s="175"/>
      <c r="H83" s="175"/>
      <c r="I83" s="133"/>
      <c r="J83" s="133"/>
      <c r="K83" s="176"/>
      <c r="L83" s="166"/>
      <c r="M83" s="223"/>
      <c r="N83" s="152"/>
      <c r="O83" s="172"/>
      <c r="P83" s="114"/>
      <c r="Q83" s="171"/>
    </row>
    <row r="84" spans="1:17" s="154" customFormat="1" x14ac:dyDescent="0.2">
      <c r="A84" s="153"/>
      <c r="B84" s="153"/>
      <c r="C84" s="153"/>
      <c r="D84" s="153"/>
      <c r="E84" s="153"/>
      <c r="F84" s="177"/>
      <c r="G84" s="153"/>
      <c r="H84" s="153"/>
      <c r="I84" s="167"/>
      <c r="J84" s="167"/>
      <c r="K84" s="177"/>
      <c r="L84" s="168"/>
      <c r="M84" s="223"/>
      <c r="N84" s="152"/>
      <c r="O84" s="172"/>
      <c r="P84" s="114"/>
      <c r="Q84" s="171"/>
    </row>
    <row r="85" spans="1:17" s="154" customFormat="1" x14ac:dyDescent="0.2">
      <c r="A85" s="153"/>
      <c r="B85" s="137" t="s">
        <v>113</v>
      </c>
      <c r="C85" s="205"/>
      <c r="D85" s="106"/>
      <c r="E85" s="104"/>
      <c r="F85" s="105"/>
      <c r="G85" s="106"/>
      <c r="H85" s="106"/>
      <c r="I85" s="105"/>
      <c r="J85" s="105"/>
      <c r="K85" s="105"/>
      <c r="L85" s="107"/>
      <c r="M85" s="223"/>
      <c r="N85" s="152"/>
      <c r="O85" s="172"/>
      <c r="P85" s="114"/>
      <c r="Q85" s="171"/>
    </row>
    <row r="86" spans="1:17" s="154" customFormat="1" x14ac:dyDescent="0.2">
      <c r="A86" s="153"/>
      <c r="B86" s="173"/>
      <c r="C86" s="114"/>
      <c r="D86" s="153"/>
      <c r="E86" s="153"/>
      <c r="F86" s="148"/>
      <c r="G86" s="143"/>
      <c r="H86" s="153"/>
      <c r="I86" s="148"/>
      <c r="J86" s="148"/>
      <c r="K86" s="148"/>
      <c r="L86" s="110"/>
      <c r="M86" s="223"/>
      <c r="N86" s="152"/>
      <c r="O86" s="172"/>
      <c r="P86" s="114"/>
      <c r="Q86" s="171"/>
    </row>
    <row r="87" spans="1:17" s="154" customFormat="1" x14ac:dyDescent="0.2">
      <c r="A87" s="153"/>
      <c r="B87" s="138" t="s">
        <v>73</v>
      </c>
      <c r="C87" s="169" t="s">
        <v>74</v>
      </c>
      <c r="D87" s="117">
        <f ca="1">D69+D47</f>
        <v>17211.452562039489</v>
      </c>
      <c r="E87" s="140"/>
      <c r="F87" s="148">
        <f ca="1">F69+F47</f>
        <v>2206847.59</v>
      </c>
      <c r="G87" s="117"/>
      <c r="H87" s="140"/>
      <c r="I87" s="148">
        <f ca="1">I69+I47</f>
        <v>2333360.4299999997</v>
      </c>
      <c r="J87" s="148"/>
      <c r="K87" s="148">
        <f ca="1">K69+K47</f>
        <v>126512.83999999997</v>
      </c>
      <c r="L87" s="110"/>
      <c r="M87" s="223"/>
      <c r="N87" s="152"/>
      <c r="O87" s="172"/>
      <c r="P87" s="114"/>
      <c r="Q87" s="171"/>
    </row>
    <row r="88" spans="1:17" s="154" customFormat="1" x14ac:dyDescent="0.2">
      <c r="A88" s="153"/>
      <c r="B88" s="142" t="s">
        <v>101</v>
      </c>
      <c r="C88" s="169" t="s">
        <v>74</v>
      </c>
      <c r="D88" s="117">
        <f ca="1">D87</f>
        <v>17211.452562039489</v>
      </c>
      <c r="E88" s="140"/>
      <c r="F88" s="148">
        <f ca="1">F70+F48</f>
        <v>1994463.122889136</v>
      </c>
      <c r="G88" s="117"/>
      <c r="H88" s="170"/>
      <c r="I88" s="148">
        <f ca="1">I70+I48</f>
        <v>2259863.7200000002</v>
      </c>
      <c r="J88" s="232"/>
      <c r="K88" s="148">
        <f ca="1">K70+K48</f>
        <v>265400.59711086389</v>
      </c>
      <c r="L88" s="119"/>
      <c r="M88" s="223"/>
      <c r="N88" s="152"/>
      <c r="O88" s="172"/>
      <c r="P88" s="114"/>
      <c r="Q88" s="171"/>
    </row>
    <row r="89" spans="1:17" s="154" customFormat="1" x14ac:dyDescent="0.2">
      <c r="A89" s="153"/>
      <c r="B89" s="173" t="s">
        <v>102</v>
      </c>
      <c r="C89" s="114" t="s">
        <v>103</v>
      </c>
      <c r="D89" s="117">
        <f ca="1">D71+D49</f>
        <v>5627398.375</v>
      </c>
      <c r="E89" s="140"/>
      <c r="F89" s="148">
        <f ca="1">F71+F49</f>
        <v>6584056.0999999996</v>
      </c>
      <c r="G89" s="117"/>
      <c r="H89" s="140"/>
      <c r="I89" s="148">
        <f ca="1">I71+I49</f>
        <v>7034247.9699999997</v>
      </c>
      <c r="J89" s="232"/>
      <c r="K89" s="148">
        <f ca="1">K71+K49</f>
        <v>450191.87000000011</v>
      </c>
      <c r="L89" s="119"/>
      <c r="M89" s="223"/>
      <c r="N89" s="152"/>
      <c r="O89" s="172"/>
      <c r="P89" s="114"/>
      <c r="Q89" s="171"/>
    </row>
    <row r="90" spans="1:17" s="154" customFormat="1" x14ac:dyDescent="0.2">
      <c r="A90" s="153"/>
      <c r="B90" s="173"/>
      <c r="C90" s="114"/>
      <c r="D90" s="117"/>
      <c r="E90" s="170"/>
      <c r="F90" s="232"/>
      <c r="G90" s="117"/>
      <c r="H90" s="170"/>
      <c r="I90" s="232"/>
      <c r="J90" s="232"/>
      <c r="K90" s="253"/>
      <c r="L90" s="119"/>
      <c r="M90" s="223"/>
      <c r="N90" s="152"/>
      <c r="O90" s="172"/>
      <c r="P90" s="114"/>
      <c r="Q90" s="171"/>
    </row>
    <row r="91" spans="1:17" s="154" customFormat="1" x14ac:dyDescent="0.2">
      <c r="A91" s="153"/>
      <c r="B91" s="173" t="s">
        <v>104</v>
      </c>
      <c r="C91" s="114"/>
      <c r="D91" s="117"/>
      <c r="E91" s="170"/>
      <c r="F91" s="148"/>
      <c r="G91" s="117"/>
      <c r="H91" s="170"/>
      <c r="I91" s="232"/>
      <c r="J91" s="232"/>
      <c r="K91" s="253"/>
      <c r="L91" s="119"/>
      <c r="M91" s="223"/>
      <c r="N91" s="152"/>
      <c r="O91" s="172"/>
      <c r="P91" s="114"/>
      <c r="Q91" s="171"/>
    </row>
    <row r="92" spans="1:17" s="154" customFormat="1" x14ac:dyDescent="0.2">
      <c r="A92" s="153"/>
      <c r="B92" s="142" t="s">
        <v>105</v>
      </c>
      <c r="C92" s="114" t="s">
        <v>76</v>
      </c>
      <c r="D92" s="117">
        <f ca="1">D74+D52</f>
        <v>14517630.798999999</v>
      </c>
      <c r="E92" s="141"/>
      <c r="F92" s="148" t="s">
        <v>106</v>
      </c>
      <c r="G92" s="117"/>
      <c r="H92" s="147"/>
      <c r="I92" s="148" t="s">
        <v>106</v>
      </c>
      <c r="J92" s="148"/>
      <c r="K92" s="148"/>
      <c r="L92" s="110"/>
      <c r="M92" s="223"/>
      <c r="N92" s="152"/>
      <c r="O92" s="172"/>
      <c r="P92" s="114"/>
      <c r="Q92" s="171"/>
    </row>
    <row r="93" spans="1:17" s="154" customFormat="1" x14ac:dyDescent="0.2">
      <c r="A93" s="153"/>
      <c r="B93" s="142" t="s">
        <v>107</v>
      </c>
      <c r="C93" s="114" t="s">
        <v>76</v>
      </c>
      <c r="D93" s="117">
        <f ca="1">D75+D53</f>
        <v>33846142.677000009</v>
      </c>
      <c r="E93" s="141"/>
      <c r="F93" s="148">
        <f ca="1">F75+F53</f>
        <v>4358029.3358183997</v>
      </c>
      <c r="G93" s="117"/>
      <c r="H93" s="147"/>
      <c r="I93" s="148">
        <f ca="1">I75+I53</f>
        <v>4937813.7549125999</v>
      </c>
      <c r="J93" s="148"/>
      <c r="K93" s="148">
        <f ca="1">K75+K53</f>
        <v>579784.41909420036</v>
      </c>
      <c r="L93" s="110"/>
      <c r="M93" s="223"/>
      <c r="N93" s="152"/>
      <c r="O93" s="172"/>
      <c r="P93" s="114"/>
      <c r="Q93" s="171"/>
    </row>
    <row r="94" spans="1:17" s="154" customFormat="1" x14ac:dyDescent="0.2">
      <c r="A94" s="153"/>
      <c r="B94" s="142" t="s">
        <v>108</v>
      </c>
      <c r="C94" s="114" t="s">
        <v>76</v>
      </c>
      <c r="D94" s="225">
        <f ca="1">D76+D54</f>
        <v>37751105.501999997</v>
      </c>
      <c r="E94" s="141"/>
      <c r="F94" s="148">
        <f ca="1">F76+F54</f>
        <v>3912524.5775568001</v>
      </c>
      <c r="G94" s="117"/>
      <c r="H94" s="147"/>
      <c r="I94" s="148">
        <f ca="1">I76+I54</f>
        <v>4433112.3180315997</v>
      </c>
      <c r="J94" s="148"/>
      <c r="K94" s="148">
        <f ca="1">K76+K54</f>
        <v>520587.74047480011</v>
      </c>
      <c r="L94" s="110"/>
      <c r="M94" s="223"/>
      <c r="N94" s="152"/>
      <c r="O94" s="172"/>
      <c r="P94" s="114"/>
      <c r="Q94" s="171"/>
    </row>
    <row r="95" spans="1:17" s="154" customFormat="1" x14ac:dyDescent="0.2">
      <c r="A95" s="153"/>
      <c r="B95" s="163" t="s">
        <v>109</v>
      </c>
      <c r="C95" s="212"/>
      <c r="D95" s="255">
        <f ca="1">SUM(D92:D94)</f>
        <v>86114878.978000015</v>
      </c>
      <c r="E95" s="109"/>
      <c r="F95" s="232"/>
      <c r="G95" s="117"/>
      <c r="H95" s="117"/>
      <c r="I95" s="153"/>
      <c r="J95" s="153"/>
      <c r="K95" s="153"/>
      <c r="L95" s="151"/>
      <c r="M95" s="223"/>
      <c r="N95" s="152"/>
      <c r="O95" s="172"/>
      <c r="P95" s="114"/>
      <c r="Q95" s="171"/>
    </row>
    <row r="96" spans="1:17" s="154" customFormat="1" x14ac:dyDescent="0.2">
      <c r="A96" s="153"/>
      <c r="B96" s="138" t="s">
        <v>95</v>
      </c>
      <c r="C96" s="114" t="s">
        <v>76</v>
      </c>
      <c r="D96" s="117">
        <f ca="1">D78+D56</f>
        <v>86114878.978</v>
      </c>
      <c r="E96" s="174"/>
      <c r="F96" s="232">
        <f ca="1">F56+F78</f>
        <v>398881.99515822006</v>
      </c>
      <c r="G96" s="117"/>
      <c r="H96" s="117"/>
      <c r="I96" s="232">
        <f ca="1">I78+I56</f>
        <v>451935.26545020001</v>
      </c>
      <c r="J96" s="232"/>
      <c r="K96" s="232">
        <f ca="1">K78</f>
        <v>0</v>
      </c>
      <c r="L96" s="110"/>
      <c r="M96" s="223"/>
      <c r="N96" s="152"/>
      <c r="O96" s="172"/>
      <c r="P96" s="114"/>
      <c r="Q96" s="171"/>
    </row>
    <row r="97" spans="1:17" s="154" customFormat="1" x14ac:dyDescent="0.2">
      <c r="A97" s="153"/>
      <c r="B97" s="163" t="s">
        <v>81</v>
      </c>
      <c r="C97" s="212"/>
      <c r="D97" s="117"/>
      <c r="E97" s="109"/>
      <c r="F97" s="157">
        <f ca="1">SUM(F87:F96)</f>
        <v>19454802.721422557</v>
      </c>
      <c r="G97" s="117"/>
      <c r="H97" s="117"/>
      <c r="I97" s="157">
        <f ca="1">SUM(I87:I89,I93:I96)</f>
        <v>21450333.458394397</v>
      </c>
      <c r="J97" s="232"/>
      <c r="K97" s="157">
        <f ca="1">SUM(K87:K96)</f>
        <v>1942477.4666798646</v>
      </c>
      <c r="L97" s="107">
        <f ca="1">ROUND(K97/F97,5)</f>
        <v>9.9849999999999994E-2</v>
      </c>
      <c r="M97" s="223"/>
      <c r="N97" s="152"/>
      <c r="O97" s="172"/>
      <c r="P97" s="114"/>
      <c r="Q97" s="171"/>
    </row>
    <row r="98" spans="1:17" s="154" customFormat="1" x14ac:dyDescent="0.2">
      <c r="A98" s="153"/>
      <c r="B98" s="163"/>
      <c r="C98" s="212"/>
      <c r="D98" s="117"/>
      <c r="E98" s="109"/>
      <c r="F98" s="232"/>
      <c r="G98" s="117"/>
      <c r="H98" s="117"/>
      <c r="I98" s="232"/>
      <c r="J98" s="232"/>
      <c r="K98" s="148"/>
      <c r="L98" s="110"/>
      <c r="M98" s="223"/>
      <c r="N98" s="152"/>
      <c r="O98" s="172"/>
      <c r="P98" s="114"/>
      <c r="Q98" s="171"/>
    </row>
    <row r="99" spans="1:17" s="154" customFormat="1" x14ac:dyDescent="0.2">
      <c r="A99" s="153"/>
      <c r="B99" s="173" t="s">
        <v>78</v>
      </c>
      <c r="C99" s="212"/>
      <c r="D99" s="117"/>
      <c r="E99" s="109"/>
      <c r="F99" s="232"/>
      <c r="G99" s="117"/>
      <c r="H99" s="117"/>
      <c r="I99" s="232"/>
      <c r="J99" s="232"/>
      <c r="K99" s="148"/>
      <c r="L99" s="110"/>
      <c r="M99" s="223"/>
      <c r="N99" s="152"/>
      <c r="O99" s="172"/>
      <c r="P99" s="114"/>
      <c r="Q99" s="171"/>
    </row>
    <row r="100" spans="1:17" s="154" customFormat="1" x14ac:dyDescent="0.2">
      <c r="A100" s="153"/>
      <c r="B100" s="142" t="s">
        <v>110</v>
      </c>
      <c r="C100" s="212"/>
      <c r="D100" s="117"/>
      <c r="E100" s="109"/>
      <c r="F100" s="232">
        <f ca="1">F60</f>
        <v>14874565.041121801</v>
      </c>
      <c r="G100" s="117"/>
      <c r="H100" s="117"/>
      <c r="I100" s="232">
        <f ca="1">I60</f>
        <v>14874565.041121801</v>
      </c>
      <c r="J100" s="232"/>
      <c r="K100" s="232">
        <f ca="1">K60</f>
        <v>0</v>
      </c>
      <c r="L100" s="110"/>
      <c r="M100" s="223"/>
      <c r="N100" s="152"/>
      <c r="O100" s="172"/>
      <c r="P100" s="114"/>
      <c r="Q100" s="171"/>
    </row>
    <row r="101" spans="1:17" s="154" customFormat="1" x14ac:dyDescent="0.2">
      <c r="A101" s="153"/>
      <c r="B101" s="142" t="s">
        <v>102</v>
      </c>
      <c r="C101" s="212"/>
      <c r="D101" s="117"/>
      <c r="E101" s="109"/>
      <c r="F101" s="232">
        <f ca="1">F61</f>
        <v>4689738.5576999998</v>
      </c>
      <c r="G101" s="117"/>
      <c r="H101" s="117"/>
      <c r="I101" s="232">
        <f ca="1">I61</f>
        <v>4689738.5576999998</v>
      </c>
      <c r="J101" s="232"/>
      <c r="K101" s="232">
        <f ca="1">K61</f>
        <v>0</v>
      </c>
      <c r="L101" s="110"/>
      <c r="M101" s="223"/>
      <c r="N101" s="152"/>
      <c r="O101" s="172"/>
      <c r="P101" s="114"/>
      <c r="Q101" s="171"/>
    </row>
    <row r="102" spans="1:17" s="154" customFormat="1" x14ac:dyDescent="0.2">
      <c r="A102" s="153"/>
      <c r="B102" s="142" t="s">
        <v>97</v>
      </c>
      <c r="C102" s="212"/>
      <c r="D102" s="117"/>
      <c r="E102" s="109"/>
      <c r="F102" s="232">
        <f ca="1">F81</f>
        <v>14431.910093999999</v>
      </c>
      <c r="G102" s="117"/>
      <c r="H102" s="117"/>
      <c r="I102" s="232">
        <f ca="1">I81</f>
        <v>20617.01442</v>
      </c>
      <c r="J102" s="232"/>
      <c r="K102" s="232">
        <f ca="1">K81</f>
        <v>6185.1043260000006</v>
      </c>
      <c r="L102" s="110"/>
      <c r="M102" s="223"/>
      <c r="N102" s="152"/>
      <c r="O102" s="172"/>
      <c r="P102" s="114"/>
      <c r="Q102" s="171"/>
    </row>
    <row r="103" spans="1:17" s="154" customFormat="1" x14ac:dyDescent="0.2">
      <c r="A103" s="153"/>
      <c r="B103" s="163" t="s">
        <v>111</v>
      </c>
      <c r="C103" s="212"/>
      <c r="D103" s="117"/>
      <c r="E103" s="109"/>
      <c r="F103" s="157">
        <f ca="1">SUM(F100:F102)</f>
        <v>19578735.508915801</v>
      </c>
      <c r="G103" s="117"/>
      <c r="H103" s="117"/>
      <c r="I103" s="157">
        <f ca="1">SUM(I100:I102)</f>
        <v>19584920.613241799</v>
      </c>
      <c r="J103" s="232"/>
      <c r="K103" s="157">
        <f ca="1">SUM(K100:K102)</f>
        <v>6185.1043260000006</v>
      </c>
      <c r="L103" s="107">
        <f ca="1">ROUND(K103/F103,5)</f>
        <v>3.2000000000000003E-4</v>
      </c>
      <c r="M103" s="223"/>
      <c r="N103" s="152"/>
      <c r="O103" s="172"/>
      <c r="P103" s="114"/>
      <c r="Q103" s="171"/>
    </row>
    <row r="104" spans="1:17" s="154" customFormat="1" x14ac:dyDescent="0.2">
      <c r="A104" s="153"/>
      <c r="B104" s="173"/>
      <c r="C104" s="212"/>
      <c r="D104" s="153"/>
      <c r="E104" s="114"/>
      <c r="F104" s="148"/>
      <c r="G104" s="117"/>
      <c r="H104" s="117"/>
      <c r="I104" s="232"/>
      <c r="J104" s="232"/>
      <c r="K104" s="148"/>
      <c r="L104" s="110"/>
      <c r="M104" s="223"/>
      <c r="N104" s="152"/>
      <c r="O104" s="148"/>
      <c r="P104" s="114"/>
      <c r="Q104" s="171"/>
    </row>
    <row r="105" spans="1:17" s="154" customFormat="1" x14ac:dyDescent="0.2">
      <c r="A105" s="153"/>
      <c r="B105" s="173" t="s">
        <v>79</v>
      </c>
      <c r="C105" s="114"/>
      <c r="D105" s="117"/>
      <c r="E105" s="147"/>
      <c r="F105" s="157">
        <f ca="1">F97+F103</f>
        <v>39033538.230338357</v>
      </c>
      <c r="G105" s="153"/>
      <c r="H105" s="170"/>
      <c r="I105" s="157">
        <f ca="1">I97+I103</f>
        <v>41035254.0716362</v>
      </c>
      <c r="J105" s="148"/>
      <c r="K105" s="157">
        <f ca="1">K97+K103</f>
        <v>1948662.5710058645</v>
      </c>
      <c r="L105" s="107">
        <f ca="1">ROUND(K105/F105,5)</f>
        <v>4.9919999999999999E-2</v>
      </c>
      <c r="M105" s="223"/>
      <c r="N105" s="152"/>
      <c r="O105" s="114"/>
      <c r="P105" s="114"/>
      <c r="Q105" s="117"/>
    </row>
    <row r="106" spans="1:17" s="154" customFormat="1" x14ac:dyDescent="0.2">
      <c r="A106" s="153"/>
      <c r="B106" s="165"/>
      <c r="C106" s="175"/>
      <c r="D106" s="175"/>
      <c r="E106" s="175"/>
      <c r="F106" s="176"/>
      <c r="G106" s="175"/>
      <c r="H106" s="175"/>
      <c r="I106" s="133"/>
      <c r="J106" s="133"/>
      <c r="K106" s="176"/>
      <c r="L106" s="166"/>
      <c r="M106" s="223"/>
      <c r="N106" s="152"/>
      <c r="O106" s="114"/>
      <c r="P106" s="114"/>
      <c r="Q106" s="117"/>
    </row>
    <row r="107" spans="1:17" s="153" customFormat="1" x14ac:dyDescent="0.2">
      <c r="F107" s="177"/>
      <c r="I107" s="167"/>
      <c r="J107" s="167"/>
      <c r="K107" s="177"/>
      <c r="L107" s="168"/>
      <c r="M107" s="223"/>
      <c r="N107" s="152"/>
      <c r="O107" s="254"/>
      <c r="P107" s="254"/>
      <c r="Q107" s="254"/>
    </row>
    <row r="108" spans="1:17" x14ac:dyDescent="0.2">
      <c r="B108" s="114"/>
      <c r="F108" s="178"/>
      <c r="I108" s="178"/>
      <c r="J108" s="178"/>
      <c r="K108" s="178"/>
      <c r="M108" s="108"/>
      <c r="N108" s="87"/>
      <c r="O108" s="254"/>
      <c r="P108" s="254"/>
      <c r="Q108" s="254"/>
    </row>
    <row r="109" spans="1:17" x14ac:dyDescent="0.2">
      <c r="B109" s="180" t="s">
        <v>114</v>
      </c>
      <c r="F109" s="178"/>
      <c r="I109" s="178"/>
      <c r="J109" s="178"/>
      <c r="K109" s="178"/>
      <c r="M109" s="108"/>
      <c r="N109" s="87"/>
      <c r="O109" s="181"/>
      <c r="P109" s="286"/>
      <c r="Q109" s="182"/>
    </row>
    <row r="110" spans="1:17" x14ac:dyDescent="0.2">
      <c r="D110" s="201" t="s">
        <v>76</v>
      </c>
      <c r="F110" s="183" t="s">
        <v>62</v>
      </c>
      <c r="I110" s="183" t="s">
        <v>4</v>
      </c>
      <c r="J110" s="178"/>
      <c r="K110" s="183" t="s">
        <v>89</v>
      </c>
      <c r="M110" s="108"/>
      <c r="N110" s="87"/>
    </row>
    <row r="111" spans="1:17" x14ac:dyDescent="0.2">
      <c r="B111" s="180" t="s">
        <v>115</v>
      </c>
      <c r="C111" s="146"/>
      <c r="D111" s="184"/>
      <c r="E111" s="146"/>
      <c r="F111" s="146"/>
      <c r="G111" s="185"/>
      <c r="H111" s="185"/>
      <c r="I111" s="146"/>
      <c r="J111" s="146"/>
      <c r="K111" s="146"/>
      <c r="M111" s="186"/>
    </row>
    <row r="112" spans="1:17" x14ac:dyDescent="0.2">
      <c r="B112" s="188" t="s">
        <v>116</v>
      </c>
      <c r="C112" s="146"/>
      <c r="D112" s="184"/>
      <c r="E112" s="146"/>
      <c r="F112" s="146">
        <f ca="1">F17+F29</f>
        <v>74023541.944620207</v>
      </c>
      <c r="G112" s="185"/>
      <c r="H112" s="185"/>
      <c r="I112" s="146">
        <f ca="1">I17+I29</f>
        <v>74023551.394083202</v>
      </c>
      <c r="J112" s="146"/>
      <c r="K112" s="189">
        <f ca="1">I112-F112</f>
        <v>9.4494629949331284</v>
      </c>
      <c r="M112" s="186"/>
    </row>
    <row r="113" spans="2:13" x14ac:dyDescent="0.2">
      <c r="B113" s="188" t="s">
        <v>117</v>
      </c>
      <c r="C113" s="146"/>
      <c r="D113" s="184"/>
      <c r="E113" s="146"/>
      <c r="F113" s="146">
        <f ca="1">F62+F81</f>
        <v>19578735.508915801</v>
      </c>
      <c r="G113" s="185"/>
      <c r="H113" s="185"/>
      <c r="I113" s="146">
        <f ca="1">I62+I81</f>
        <v>19584920.613241799</v>
      </c>
      <c r="J113" s="146"/>
      <c r="K113" s="189">
        <f ca="1">I113-F113</f>
        <v>6185.1043259985745</v>
      </c>
      <c r="M113" s="190"/>
    </row>
    <row r="114" spans="2:13" x14ac:dyDescent="0.2">
      <c r="B114" s="188" t="s">
        <v>17</v>
      </c>
      <c r="C114" s="146"/>
      <c r="D114" s="184"/>
      <c r="E114" s="146"/>
      <c r="F114" s="191">
        <f ca="1">SUM(F112:F113)</f>
        <v>93602277.453536004</v>
      </c>
      <c r="G114" s="185"/>
      <c r="H114" s="185"/>
      <c r="I114" s="191">
        <f ca="1">SUM(I112:I113)</f>
        <v>93608472.007324994</v>
      </c>
      <c r="J114" s="146"/>
      <c r="K114" s="191">
        <f ca="1">SUM(K112:K113)</f>
        <v>6194.5537889935076</v>
      </c>
      <c r="M114" s="190"/>
    </row>
    <row r="115" spans="2:13" x14ac:dyDescent="0.2">
      <c r="C115" s="146"/>
      <c r="D115" s="184"/>
      <c r="E115" s="146"/>
      <c r="F115" s="146"/>
      <c r="G115" s="185"/>
      <c r="H115" s="185"/>
      <c r="I115" s="146"/>
      <c r="J115" s="146"/>
      <c r="K115" s="189"/>
      <c r="M115" s="190"/>
    </row>
    <row r="116" spans="2:13" x14ac:dyDescent="0.2">
      <c r="B116" s="180" t="s">
        <v>118</v>
      </c>
      <c r="C116" s="146"/>
      <c r="D116" s="184"/>
      <c r="E116" s="146"/>
      <c r="F116" s="146"/>
      <c r="G116" s="185"/>
      <c r="H116" s="185"/>
      <c r="I116" s="146"/>
      <c r="J116" s="146"/>
      <c r="K116" s="189"/>
      <c r="M116" s="190"/>
    </row>
    <row r="117" spans="2:13" x14ac:dyDescent="0.2">
      <c r="B117" s="188" t="s">
        <v>119</v>
      </c>
      <c r="C117" s="146"/>
      <c r="D117" s="184"/>
      <c r="E117" s="146"/>
      <c r="F117" s="146">
        <f ca="1">F15+F27</f>
        <v>92796856.700000003</v>
      </c>
      <c r="G117" s="146"/>
      <c r="H117" s="185"/>
      <c r="I117" s="146">
        <f ca="1">I15+I27</f>
        <v>121353023.89999999</v>
      </c>
      <c r="J117" s="146"/>
      <c r="K117" s="189">
        <f ca="1">I117-F117</f>
        <v>28556167.199999988</v>
      </c>
      <c r="L117" s="179">
        <f ca="1">K117/F117</f>
        <v>0.30772774224797622</v>
      </c>
      <c r="M117" s="190"/>
    </row>
    <row r="118" spans="2:13" x14ac:dyDescent="0.2">
      <c r="B118" s="188" t="s">
        <v>117</v>
      </c>
      <c r="C118" s="146"/>
      <c r="D118" s="184"/>
      <c r="E118" s="146"/>
      <c r="F118" s="146">
        <f ca="1">F57+F79</f>
        <v>19454802.721422557</v>
      </c>
      <c r="G118" s="146"/>
      <c r="H118" s="185"/>
      <c r="I118" s="146">
        <f ca="1">I57+I79</f>
        <v>21450333.458394401</v>
      </c>
      <c r="J118" s="146"/>
      <c r="K118" s="189">
        <f ca="1">I118-F118</f>
        <v>1995530.736971844</v>
      </c>
      <c r="L118" s="179">
        <f ca="1">K118/F118</f>
        <v>0.1025726534237469</v>
      </c>
      <c r="M118" s="190"/>
    </row>
    <row r="119" spans="2:13" x14ac:dyDescent="0.2">
      <c r="B119" s="188" t="s">
        <v>17</v>
      </c>
      <c r="C119" s="146"/>
      <c r="D119" s="184"/>
      <c r="E119" s="146"/>
      <c r="F119" s="191">
        <f ca="1">SUM(F117:F118)</f>
        <v>112251659.42142256</v>
      </c>
      <c r="G119" s="146"/>
      <c r="H119" s="185"/>
      <c r="I119" s="191">
        <f ca="1">SUM(I117:I118)</f>
        <v>142803357.35839438</v>
      </c>
      <c r="J119" s="146"/>
      <c r="K119" s="191">
        <f ca="1">SUM(K117:K118)</f>
        <v>30551697.936971832</v>
      </c>
      <c r="L119" s="179">
        <f ca="1">K119/F119</f>
        <v>0.27217145915208824</v>
      </c>
      <c r="M119" s="190"/>
    </row>
    <row r="120" spans="2:13" x14ac:dyDescent="0.2">
      <c r="C120" s="146"/>
      <c r="D120" s="184"/>
      <c r="E120" s="146"/>
      <c r="F120" s="146"/>
      <c r="G120" s="146"/>
      <c r="H120" s="185"/>
      <c r="I120" s="146"/>
      <c r="J120" s="146"/>
      <c r="K120" s="189"/>
      <c r="M120" s="190"/>
    </row>
    <row r="121" spans="2:13" x14ac:dyDescent="0.2">
      <c r="B121" s="180" t="s">
        <v>120</v>
      </c>
      <c r="C121" s="146"/>
      <c r="D121" s="184"/>
      <c r="E121" s="146"/>
      <c r="F121" s="146"/>
      <c r="G121" s="146"/>
      <c r="H121" s="185"/>
      <c r="I121" s="146"/>
      <c r="J121" s="146"/>
      <c r="K121" s="189"/>
      <c r="M121" s="190"/>
    </row>
    <row r="122" spans="2:13" x14ac:dyDescent="0.2">
      <c r="B122" s="188" t="s">
        <v>119</v>
      </c>
      <c r="C122" s="146"/>
      <c r="D122" s="184">
        <f ca="1">D36</f>
        <v>232276721.11300004</v>
      </c>
      <c r="E122" s="146"/>
      <c r="F122" s="146">
        <f ca="1">F112+F117</f>
        <v>166820398.64462021</v>
      </c>
      <c r="G122" s="185"/>
      <c r="H122" s="185"/>
      <c r="I122" s="146">
        <f ca="1">I112+I117</f>
        <v>195376575.29408318</v>
      </c>
      <c r="J122" s="146"/>
      <c r="K122" s="189">
        <f ca="1">I122-F122</f>
        <v>28556176.649462968</v>
      </c>
      <c r="L122" s="179">
        <f ca="1">K122/F122</f>
        <v>0.17117916562648064</v>
      </c>
      <c r="M122" s="190"/>
    </row>
    <row r="123" spans="2:13" x14ac:dyDescent="0.2">
      <c r="B123" s="188" t="s">
        <v>117</v>
      </c>
      <c r="C123" s="146"/>
      <c r="D123" s="184">
        <f ca="1">D95</f>
        <v>86114878.978000015</v>
      </c>
      <c r="E123" s="146"/>
      <c r="F123" s="146">
        <f ca="1">F113+F118</f>
        <v>39033538.230338357</v>
      </c>
      <c r="G123" s="185"/>
      <c r="H123" s="185"/>
      <c r="I123" s="146">
        <f ca="1">I113+I118</f>
        <v>41035254.0716362</v>
      </c>
      <c r="J123" s="146"/>
      <c r="K123" s="189">
        <f ca="1">I123-F123</f>
        <v>2001715.8412978426</v>
      </c>
      <c r="L123" s="179">
        <f ca="1">K123/F123</f>
        <v>5.1281947065255601E-2</v>
      </c>
      <c r="M123" s="190"/>
    </row>
    <row r="124" spans="2:13" x14ac:dyDescent="0.2">
      <c r="B124" s="188" t="s">
        <v>17</v>
      </c>
      <c r="C124" s="146"/>
      <c r="D124" s="192">
        <f ca="1">SUM(D122:D123)</f>
        <v>318391600.09100008</v>
      </c>
      <c r="E124" s="146"/>
      <c r="F124" s="191">
        <f ca="1">SUM(F122:F123)</f>
        <v>205853936.87495857</v>
      </c>
      <c r="G124" s="185"/>
      <c r="H124" s="185"/>
      <c r="I124" s="191">
        <f ca="1">SUM(I122:I123)</f>
        <v>236411829.36571938</v>
      </c>
      <c r="J124" s="146"/>
      <c r="K124" s="191">
        <f ca="1">SUM(K122:K123)</f>
        <v>30557892.490760811</v>
      </c>
      <c r="L124" s="179">
        <f ca="1">K124/F124</f>
        <v>0.14844453768849963</v>
      </c>
      <c r="M124" s="190"/>
    </row>
    <row r="125" spans="2:13" x14ac:dyDescent="0.2">
      <c r="C125" s="146"/>
      <c r="D125" s="109"/>
      <c r="E125" s="146"/>
      <c r="F125" s="189"/>
      <c r="G125" s="185"/>
      <c r="H125" s="185"/>
      <c r="I125" s="189"/>
      <c r="J125" s="146"/>
      <c r="K125" s="189"/>
      <c r="M125" s="190"/>
    </row>
    <row r="126" spans="2:13" x14ac:dyDescent="0.2">
      <c r="B126" s="188" t="s">
        <v>196</v>
      </c>
      <c r="F126" s="188"/>
      <c r="G126" s="185"/>
      <c r="H126" s="185"/>
      <c r="I126" s="189"/>
      <c r="J126" s="146"/>
      <c r="K126" s="189"/>
      <c r="M126" s="190"/>
    </row>
    <row r="127" spans="2:13" ht="13.5" thickBot="1" x14ac:dyDescent="0.25">
      <c r="C127" s="146"/>
      <c r="D127" s="184"/>
      <c r="E127" s="146"/>
      <c r="F127" s="146"/>
      <c r="G127" s="185"/>
      <c r="H127" s="185"/>
      <c r="I127" s="146"/>
      <c r="J127" s="146"/>
      <c r="K127" s="146"/>
      <c r="M127" s="190"/>
    </row>
    <row r="128" spans="2:13" ht="13.5" thickBot="1" x14ac:dyDescent="0.25">
      <c r="B128" s="332" t="s">
        <v>197</v>
      </c>
      <c r="C128" s="337"/>
      <c r="D128" s="338">
        <f ca="1">D124-SUM('Rate Spread'!F14:F15)</f>
        <v>0</v>
      </c>
      <c r="E128" s="338"/>
      <c r="F128" s="339">
        <f ca="1">F124-SUM('Rate Spread'!C14:C15)</f>
        <v>7.7753663063049316E-3</v>
      </c>
      <c r="G128" s="185"/>
      <c r="H128" s="185"/>
      <c r="I128" s="146"/>
      <c r="J128" s="146"/>
      <c r="K128" s="146"/>
      <c r="M128" s="190"/>
    </row>
    <row r="129" spans="3:13" x14ac:dyDescent="0.2">
      <c r="C129" s="146"/>
      <c r="D129" s="146"/>
      <c r="E129" s="146"/>
      <c r="F129" s="146"/>
      <c r="G129" s="185"/>
      <c r="H129" s="185"/>
      <c r="I129" s="146"/>
      <c r="J129" s="146"/>
      <c r="K129" s="146"/>
      <c r="M129" s="190"/>
    </row>
    <row r="130" spans="3:13" x14ac:dyDescent="0.2">
      <c r="F130" s="188"/>
      <c r="G130" s="185"/>
      <c r="H130" s="185"/>
      <c r="I130" s="146"/>
      <c r="J130" s="146"/>
      <c r="K130" s="146"/>
      <c r="M130" s="190"/>
    </row>
    <row r="131" spans="3:13" x14ac:dyDescent="0.2">
      <c r="C131" s="146"/>
      <c r="D131" s="146"/>
      <c r="E131" s="146"/>
      <c r="F131" s="146"/>
      <c r="G131" s="185"/>
      <c r="H131" s="185"/>
      <c r="I131" s="146"/>
      <c r="J131" s="146"/>
      <c r="K131" s="146"/>
      <c r="M131" s="190"/>
    </row>
    <row r="132" spans="3:13" x14ac:dyDescent="0.2">
      <c r="C132" s="146"/>
      <c r="D132" s="146"/>
      <c r="E132" s="146"/>
      <c r="F132" s="146"/>
      <c r="G132" s="185"/>
      <c r="H132" s="185"/>
      <c r="I132" s="146"/>
      <c r="J132" s="146"/>
      <c r="K132" s="146"/>
      <c r="M132" s="190"/>
    </row>
    <row r="133" spans="3:13" x14ac:dyDescent="0.2">
      <c r="C133" s="146"/>
      <c r="D133" s="146"/>
      <c r="E133" s="146"/>
      <c r="F133" s="146"/>
      <c r="G133" s="185"/>
      <c r="H133" s="185"/>
      <c r="I133" s="146"/>
      <c r="J133" s="146"/>
      <c r="K133" s="146"/>
      <c r="M133" s="190"/>
    </row>
    <row r="134" spans="3:13" x14ac:dyDescent="0.2">
      <c r="C134" s="146"/>
      <c r="D134" s="146"/>
      <c r="E134" s="146"/>
      <c r="F134" s="146"/>
      <c r="G134" s="185"/>
      <c r="H134" s="185"/>
      <c r="I134" s="146"/>
      <c r="J134" s="146"/>
      <c r="K134" s="146"/>
      <c r="M134" s="190"/>
    </row>
    <row r="135" spans="3:13" x14ac:dyDescent="0.2">
      <c r="C135" s="146"/>
      <c r="D135" s="146"/>
      <c r="E135" s="146"/>
      <c r="F135" s="146"/>
      <c r="G135" s="185"/>
      <c r="H135" s="185"/>
      <c r="I135" s="146"/>
      <c r="J135" s="146"/>
      <c r="K135" s="146"/>
      <c r="M135" s="190"/>
    </row>
    <row r="136" spans="3:13" x14ac:dyDescent="0.2">
      <c r="C136" s="146"/>
      <c r="D136" s="146"/>
      <c r="E136" s="146"/>
      <c r="F136" s="146"/>
      <c r="G136" s="185"/>
      <c r="H136" s="185"/>
      <c r="I136" s="146"/>
      <c r="J136" s="146"/>
      <c r="K136" s="146"/>
      <c r="M136" s="190"/>
    </row>
    <row r="137" spans="3:13" x14ac:dyDescent="0.2">
      <c r="C137" s="146"/>
      <c r="D137" s="146"/>
      <c r="E137" s="146"/>
      <c r="F137" s="146"/>
      <c r="G137" s="185"/>
      <c r="H137" s="185"/>
      <c r="I137" s="146"/>
      <c r="J137" s="146"/>
      <c r="K137" s="146"/>
      <c r="M137" s="190"/>
    </row>
    <row r="138" spans="3:13" x14ac:dyDescent="0.2">
      <c r="C138" s="146"/>
      <c r="D138" s="146"/>
      <c r="E138" s="146"/>
      <c r="F138" s="146"/>
      <c r="G138" s="185"/>
      <c r="H138" s="185"/>
      <c r="I138" s="146"/>
      <c r="J138" s="146"/>
      <c r="K138" s="146"/>
      <c r="M138" s="190"/>
    </row>
    <row r="139" spans="3:13" x14ac:dyDescent="0.2">
      <c r="C139" s="146"/>
      <c r="D139" s="146"/>
      <c r="E139" s="146"/>
      <c r="F139" s="146"/>
      <c r="G139" s="185"/>
      <c r="H139" s="185"/>
      <c r="I139" s="146"/>
      <c r="J139" s="146"/>
      <c r="K139" s="146"/>
      <c r="M139" s="190"/>
    </row>
    <row r="140" spans="3:13" x14ac:dyDescent="0.2">
      <c r="C140" s="146"/>
      <c r="D140" s="146"/>
      <c r="E140" s="146"/>
      <c r="F140" s="146"/>
      <c r="G140" s="185"/>
      <c r="H140" s="185"/>
      <c r="I140" s="146"/>
      <c r="J140" s="146"/>
      <c r="K140" s="146"/>
      <c r="M140" s="190"/>
    </row>
    <row r="141" spans="3:13" x14ac:dyDescent="0.2">
      <c r="C141" s="146"/>
      <c r="D141" s="146"/>
      <c r="E141" s="146"/>
      <c r="F141" s="146"/>
      <c r="G141" s="185"/>
      <c r="H141" s="185"/>
      <c r="I141" s="146"/>
      <c r="J141" s="146"/>
      <c r="K141" s="146"/>
      <c r="M141" s="190"/>
    </row>
    <row r="142" spans="3:13" x14ac:dyDescent="0.2">
      <c r="C142" s="146"/>
      <c r="D142" s="146"/>
      <c r="E142" s="146"/>
      <c r="F142" s="146"/>
      <c r="G142" s="185"/>
      <c r="H142" s="185"/>
      <c r="I142" s="146"/>
      <c r="J142" s="146"/>
      <c r="K142" s="146"/>
      <c r="M142" s="190"/>
    </row>
    <row r="143" spans="3:13" x14ac:dyDescent="0.2">
      <c r="C143" s="146"/>
      <c r="D143" s="146"/>
      <c r="E143" s="146"/>
      <c r="F143" s="146"/>
      <c r="G143" s="185"/>
      <c r="H143" s="185"/>
      <c r="I143" s="146"/>
      <c r="J143" s="146"/>
      <c r="K143" s="146"/>
      <c r="M143" s="190"/>
    </row>
    <row r="144" spans="3:13" x14ac:dyDescent="0.2">
      <c r="C144" s="146"/>
      <c r="D144" s="146"/>
      <c r="E144" s="146"/>
      <c r="F144" s="146"/>
      <c r="G144" s="185"/>
      <c r="H144" s="185"/>
      <c r="I144" s="146"/>
      <c r="J144" s="146"/>
      <c r="K144" s="146"/>
      <c r="M144" s="190"/>
    </row>
    <row r="145" spans="3:13" x14ac:dyDescent="0.2">
      <c r="C145" s="146"/>
      <c r="D145" s="146"/>
      <c r="E145" s="146"/>
      <c r="F145" s="146"/>
      <c r="G145" s="185"/>
      <c r="H145" s="185"/>
      <c r="I145" s="146"/>
      <c r="J145" s="146"/>
      <c r="K145" s="146"/>
      <c r="M145" s="190"/>
    </row>
    <row r="146" spans="3:13" x14ac:dyDescent="0.2">
      <c r="C146" s="146"/>
      <c r="D146" s="146"/>
      <c r="E146" s="146"/>
      <c r="F146" s="146"/>
      <c r="G146" s="185"/>
      <c r="H146" s="185"/>
      <c r="I146" s="146"/>
      <c r="J146" s="146"/>
      <c r="K146" s="146"/>
      <c r="M146" s="190"/>
    </row>
    <row r="147" spans="3:13" x14ac:dyDescent="0.2">
      <c r="C147" s="146"/>
      <c r="D147" s="146"/>
      <c r="E147" s="146"/>
      <c r="F147" s="146"/>
      <c r="G147" s="185"/>
      <c r="H147" s="185"/>
      <c r="I147" s="146"/>
      <c r="J147" s="146"/>
      <c r="K147" s="146"/>
      <c r="M147" s="190"/>
    </row>
    <row r="148" spans="3:13" x14ac:dyDescent="0.2">
      <c r="M148" s="190"/>
    </row>
    <row r="149" spans="3:13" x14ac:dyDescent="0.2">
      <c r="M149" s="190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26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8" customWidth="1"/>
    <col min="3" max="3" width="9.7109375" style="188" customWidth="1"/>
    <col min="4" max="4" width="12.7109375" style="280" bestFit="1" customWidth="1"/>
    <col min="5" max="5" width="10.42578125" style="281" customWidth="1"/>
    <col min="6" max="6" width="13.28515625" style="271" customWidth="1"/>
    <col min="7" max="7" width="3" style="117" customWidth="1"/>
    <col min="8" max="8" width="10.42578125" style="282" customWidth="1"/>
    <col min="9" max="9" width="13.28515625" style="271" customWidth="1"/>
    <col min="10" max="10" width="2.85546875" style="271" customWidth="1"/>
    <col min="11" max="11" width="13.140625" style="271" customWidth="1"/>
    <col min="12" max="12" width="10.42578125" style="270" customWidth="1"/>
    <col min="13" max="13" width="2.85546875" style="86" customWidth="1"/>
    <col min="14" max="14" width="2.140625" style="197" customWidth="1"/>
    <col min="15" max="15" width="14.5703125" style="188" bestFit="1" customWidth="1"/>
    <col min="16" max="16" width="2.85546875" style="188" customWidth="1"/>
    <col min="17" max="17" width="8.85546875" style="188" customWidth="1"/>
    <col min="18" max="16384" width="9.140625" style="188"/>
  </cols>
  <sheetData>
    <row r="1" spans="1:17" x14ac:dyDescent="0.2">
      <c r="B1" s="72"/>
      <c r="C1" s="72"/>
      <c r="D1" s="74"/>
      <c r="E1" s="193"/>
      <c r="F1" s="73"/>
      <c r="G1" s="194"/>
      <c r="H1" s="195"/>
      <c r="I1" s="73"/>
      <c r="J1" s="73"/>
      <c r="K1" s="73"/>
      <c r="L1" s="77"/>
      <c r="M1" s="77"/>
      <c r="N1" s="79"/>
      <c r="O1" s="72"/>
      <c r="P1" s="72"/>
      <c r="Q1" s="72"/>
    </row>
    <row r="2" spans="1:17" x14ac:dyDescent="0.2">
      <c r="B2" s="30" t="s">
        <v>0</v>
      </c>
      <c r="C2" s="30"/>
      <c r="D2" s="195"/>
      <c r="E2" s="73"/>
      <c r="F2" s="73"/>
      <c r="G2" s="195"/>
      <c r="H2" s="195"/>
      <c r="I2" s="73"/>
      <c r="J2" s="73"/>
      <c r="K2" s="73"/>
      <c r="L2" s="73"/>
      <c r="M2" s="77"/>
      <c r="N2" s="79"/>
      <c r="O2" s="72"/>
      <c r="P2" s="72"/>
      <c r="Q2" s="72"/>
    </row>
    <row r="3" spans="1:17" x14ac:dyDescent="0.2">
      <c r="B3" s="307" t="str">
        <f>'Rate Spread'!$B$2</f>
        <v>2019 Gas General Rate Case Filing</v>
      </c>
      <c r="C3" s="30"/>
      <c r="D3" s="195"/>
      <c r="E3" s="73"/>
      <c r="F3" s="73"/>
      <c r="G3" s="195"/>
      <c r="H3" s="195"/>
      <c r="I3" s="73"/>
      <c r="J3" s="73"/>
      <c r="K3" s="73"/>
      <c r="L3" s="73"/>
      <c r="M3" s="77"/>
      <c r="N3" s="79"/>
      <c r="O3" s="72"/>
      <c r="P3" s="72"/>
      <c r="Q3" s="72"/>
    </row>
    <row r="4" spans="1:17" x14ac:dyDescent="0.2">
      <c r="B4" s="30" t="s">
        <v>200</v>
      </c>
      <c r="C4" s="30"/>
      <c r="D4" s="195"/>
      <c r="E4" s="73"/>
      <c r="F4" s="73"/>
      <c r="G4" s="195"/>
      <c r="H4" s="195"/>
      <c r="I4" s="73"/>
      <c r="J4" s="73"/>
      <c r="K4" s="73"/>
      <c r="L4" s="73"/>
      <c r="M4" s="77"/>
      <c r="N4" s="79"/>
      <c r="O4" s="72"/>
      <c r="P4" s="72"/>
      <c r="Q4" s="72"/>
    </row>
    <row r="5" spans="1:17" x14ac:dyDescent="0.2">
      <c r="B5" s="30" t="str">
        <f>'Rate Spread'!B4</f>
        <v>Test Year Ended December 31, 2018</v>
      </c>
      <c r="C5" s="30"/>
      <c r="D5" s="74"/>
      <c r="E5" s="193"/>
      <c r="F5" s="73"/>
      <c r="G5" s="194"/>
      <c r="H5" s="195"/>
      <c r="I5" s="73"/>
      <c r="J5" s="73"/>
      <c r="K5" s="73"/>
      <c r="L5" s="77"/>
      <c r="M5" s="77"/>
      <c r="N5" s="79"/>
      <c r="O5" s="80"/>
      <c r="P5" s="72"/>
      <c r="Q5" s="72"/>
    </row>
    <row r="6" spans="1:17" s="114" customFormat="1" x14ac:dyDescent="0.2">
      <c r="B6" s="196"/>
      <c r="C6" s="80"/>
      <c r="D6" s="117"/>
      <c r="E6" s="126"/>
      <c r="F6" s="164"/>
      <c r="G6" s="117"/>
      <c r="H6" s="170"/>
      <c r="I6" s="164"/>
      <c r="J6" s="164"/>
      <c r="K6" s="164"/>
      <c r="L6" s="197"/>
      <c r="M6" s="213"/>
      <c r="N6" s="213"/>
    </row>
    <row r="7" spans="1:17" x14ac:dyDescent="0.2">
      <c r="B7" s="89"/>
      <c r="C7" s="90"/>
      <c r="D7" s="198" t="s">
        <v>61</v>
      </c>
      <c r="E7" s="34" t="s">
        <v>62</v>
      </c>
      <c r="F7" s="92"/>
      <c r="G7" s="198"/>
      <c r="H7" s="199" t="s">
        <v>4</v>
      </c>
      <c r="I7" s="92"/>
      <c r="J7" s="94"/>
      <c r="K7" s="502" t="s">
        <v>63</v>
      </c>
      <c r="L7" s="503"/>
      <c r="M7" s="213"/>
      <c r="N7" s="79"/>
      <c r="O7" s="254" t="s">
        <v>21</v>
      </c>
      <c r="Q7" s="36" t="s">
        <v>64</v>
      </c>
    </row>
    <row r="8" spans="1:17" x14ac:dyDescent="0.2">
      <c r="B8" s="96" t="s">
        <v>65</v>
      </c>
      <c r="C8" s="200" t="s">
        <v>66</v>
      </c>
      <c r="D8" s="201" t="s">
        <v>67</v>
      </c>
      <c r="E8" s="202" t="s">
        <v>23</v>
      </c>
      <c r="F8" s="97" t="s">
        <v>68</v>
      </c>
      <c r="G8" s="201"/>
      <c r="H8" s="132" t="s">
        <v>23</v>
      </c>
      <c r="I8" s="97" t="s">
        <v>68</v>
      </c>
      <c r="J8" s="97"/>
      <c r="K8" s="97" t="s">
        <v>69</v>
      </c>
      <c r="L8" s="203" t="s">
        <v>70</v>
      </c>
      <c r="M8" s="213"/>
      <c r="N8" s="99"/>
      <c r="O8" s="37" t="s">
        <v>27</v>
      </c>
      <c r="Q8" s="38" t="s">
        <v>1</v>
      </c>
    </row>
    <row r="9" spans="1:17" x14ac:dyDescent="0.2">
      <c r="A9" s="114"/>
      <c r="B9" s="163"/>
      <c r="C9" s="212"/>
      <c r="D9" s="117"/>
      <c r="E9" s="126"/>
      <c r="F9" s="164"/>
      <c r="G9" s="143"/>
      <c r="H9" s="170"/>
      <c r="I9" s="118"/>
      <c r="J9" s="118"/>
      <c r="K9" s="164"/>
      <c r="L9" s="204"/>
      <c r="M9" s="213"/>
      <c r="O9" s="114"/>
    </row>
    <row r="10" spans="1:17" x14ac:dyDescent="0.2">
      <c r="B10" s="103" t="s">
        <v>121</v>
      </c>
      <c r="C10" s="205"/>
      <c r="D10" s="255"/>
      <c r="E10" s="206"/>
      <c r="F10" s="105"/>
      <c r="G10" s="207"/>
      <c r="H10" s="208"/>
      <c r="I10" s="209"/>
      <c r="J10" s="209"/>
      <c r="K10" s="105"/>
      <c r="L10" s="210"/>
      <c r="M10" s="213"/>
      <c r="N10" s="213"/>
    </row>
    <row r="11" spans="1:17" x14ac:dyDescent="0.2">
      <c r="B11" s="173"/>
      <c r="C11" s="114"/>
      <c r="D11" s="117"/>
      <c r="E11" s="126"/>
      <c r="F11" s="148"/>
      <c r="G11" s="143"/>
      <c r="H11" s="170"/>
      <c r="I11" s="232"/>
      <c r="J11" s="118"/>
      <c r="K11" s="148"/>
      <c r="L11" s="211"/>
      <c r="M11" s="213"/>
      <c r="N11" s="213"/>
      <c r="O11" s="308" t="s">
        <v>122</v>
      </c>
    </row>
    <row r="12" spans="1:17" x14ac:dyDescent="0.2">
      <c r="B12" s="163" t="s">
        <v>73</v>
      </c>
      <c r="C12" s="212" t="s">
        <v>74</v>
      </c>
      <c r="D12" s="111">
        <f ca="1">'[61](C) Norm Rev at 2018TR Rates'!$R$895</f>
        <v>329.5178182456545</v>
      </c>
      <c r="E12" s="112">
        <f ca="1">'[61]Rate Design Int &amp; Trans_TR'!$H$12</f>
        <v>548.57000000000005</v>
      </c>
      <c r="F12" s="148">
        <f ca="1">ROUND(D12*E12,2)</f>
        <v>180763.59</v>
      </c>
      <c r="H12" s="112">
        <f>'Current ERF Rates'!I66</f>
        <v>595.08000000000004</v>
      </c>
      <c r="I12" s="232">
        <f ca="1">ROUND(D12*H12,2)</f>
        <v>196089.46</v>
      </c>
      <c r="J12" s="118"/>
      <c r="K12" s="148">
        <f ca="1">I12-F12</f>
        <v>15325.869999999995</v>
      </c>
      <c r="L12" s="211"/>
      <c r="M12" s="213"/>
      <c r="N12" s="213"/>
      <c r="O12" s="113">
        <f ca="1">'Rate Spread'!N16</f>
        <v>1742261.9338037563</v>
      </c>
      <c r="Q12" s="87">
        <f ca="1">H12/E12-1</f>
        <v>8.4784074958528466E-2</v>
      </c>
    </row>
    <row r="13" spans="1:17" x14ac:dyDescent="0.2">
      <c r="B13" s="173" t="s">
        <v>102</v>
      </c>
      <c r="C13" s="114" t="s">
        <v>103</v>
      </c>
      <c r="D13" s="111">
        <f ca="1">'[61](C) Norm Rev at 2018TR Rates'!$R$976</f>
        <v>86412.906999999992</v>
      </c>
      <c r="E13" s="112">
        <f ca="1">'[61]Rate Design Int &amp; Trans_TR'!$H$13</f>
        <v>1.21</v>
      </c>
      <c r="F13" s="148">
        <f ca="1">ROUND(D13*E13,2)</f>
        <v>104559.62</v>
      </c>
      <c r="H13" s="112">
        <f>'Rate Design Targets'!E8</f>
        <v>1.3</v>
      </c>
      <c r="I13" s="232">
        <f ca="1">ROUND(D13*H13,2)</f>
        <v>112336.78</v>
      </c>
      <c r="J13" s="118"/>
      <c r="K13" s="148">
        <f ca="1">I13-F13</f>
        <v>7777.1600000000035</v>
      </c>
      <c r="L13" s="211"/>
      <c r="M13" s="213"/>
      <c r="N13" s="213"/>
      <c r="O13" s="116" t="s">
        <v>77</v>
      </c>
      <c r="Q13" s="87">
        <f ca="1">H13/E13-1</f>
        <v>7.4380165289256173E-2</v>
      </c>
    </row>
    <row r="14" spans="1:17" x14ac:dyDescent="0.2">
      <c r="B14" s="173" t="s">
        <v>95</v>
      </c>
      <c r="C14" s="114" t="s">
        <v>76</v>
      </c>
      <c r="D14" s="117">
        <f ca="1">D21</f>
        <v>15787998.554</v>
      </c>
      <c r="E14" s="115">
        <f ca="1">'[61]Rate Design Int &amp; Trans_TR'!$H$14</f>
        <v>7.4700000000000001E-3</v>
      </c>
      <c r="F14" s="148">
        <f ca="1">E14*D14</f>
        <v>117936.34919838</v>
      </c>
      <c r="H14" s="147">
        <f ca="1">ROUND(E14*(1+$O$16),5)</f>
        <v>9.4000000000000004E-3</v>
      </c>
      <c r="I14" s="232">
        <f ca="1">ROUND(D14*H14,2)</f>
        <v>148407.19</v>
      </c>
      <c r="J14" s="164"/>
      <c r="K14" s="148">
        <f ca="1">I14-F14</f>
        <v>30470.840801619997</v>
      </c>
      <c r="L14" s="211"/>
      <c r="M14" s="213"/>
      <c r="N14" s="213"/>
      <c r="O14" s="214">
        <f ca="1">K21+K42-O12</f>
        <v>11.546997863799334</v>
      </c>
      <c r="Q14" s="87">
        <f ca="1">H14/E14-1</f>
        <v>0.25836680053547534</v>
      </c>
    </row>
    <row r="15" spans="1:17" x14ac:dyDescent="0.2">
      <c r="B15" s="173" t="s">
        <v>123</v>
      </c>
      <c r="C15" s="114"/>
      <c r="D15" s="117"/>
      <c r="E15" s="141"/>
      <c r="F15" s="215">
        <f ca="1">'[61](C) Norm Rev at 2018TR Rates'!$R$367+'[61](C) Norm Rev at 2018TR Rates'!$R$414</f>
        <v>0</v>
      </c>
      <c r="H15" s="147"/>
      <c r="I15" s="148">
        <f ca="1">F15</f>
        <v>0</v>
      </c>
      <c r="J15" s="164"/>
      <c r="K15" s="148">
        <f ca="1">I15-F15</f>
        <v>0</v>
      </c>
      <c r="L15" s="211"/>
      <c r="M15" s="213"/>
      <c r="N15" s="213"/>
      <c r="O15" s="123"/>
    </row>
    <row r="16" spans="1:17" x14ac:dyDescent="0.2">
      <c r="B16" s="173"/>
      <c r="C16" s="114"/>
      <c r="D16" s="117"/>
      <c r="E16" s="141"/>
      <c r="F16" s="148"/>
      <c r="H16" s="147"/>
      <c r="I16" s="232"/>
      <c r="J16" s="118"/>
      <c r="K16" s="148"/>
      <c r="L16" s="211"/>
      <c r="M16" s="213"/>
      <c r="N16" s="213"/>
      <c r="O16" s="47">
        <v>0.25814999999999999</v>
      </c>
    </row>
    <row r="17" spans="2:17" x14ac:dyDescent="0.2">
      <c r="B17" s="173" t="s">
        <v>104</v>
      </c>
      <c r="C17" s="114"/>
      <c r="D17" s="117"/>
      <c r="E17" s="141"/>
      <c r="F17" s="148"/>
      <c r="H17" s="147"/>
      <c r="I17" s="232"/>
      <c r="J17" s="118"/>
      <c r="K17" s="148"/>
      <c r="L17" s="211"/>
      <c r="M17" s="213"/>
      <c r="N17" s="213"/>
      <c r="O17" s="216"/>
    </row>
    <row r="18" spans="2:17" x14ac:dyDescent="0.2">
      <c r="B18" s="173" t="s">
        <v>124</v>
      </c>
      <c r="C18" s="114" t="s">
        <v>76</v>
      </c>
      <c r="D18" s="111">
        <f ca="1">'[61](C) Norm Rev at 2018TR Rates'!R346+'[61](C) Norm Rev at 2018TR Rates'!R393</f>
        <v>7617621.6729999995</v>
      </c>
      <c r="E18" s="115">
        <f ca="1">'[61]Rate Design Int &amp; Trans_TR'!$H$18</f>
        <v>9.9360000000000004E-2</v>
      </c>
      <c r="F18" s="148">
        <f ca="1">ROUND(D18*E18,2)</f>
        <v>756886.89</v>
      </c>
      <c r="H18" s="147">
        <f ca="1">ROUND(E18*(1+$O$16),5)</f>
        <v>0.12501000000000001</v>
      </c>
      <c r="I18" s="232">
        <f ca="1">ROUND(D18*H18,2)</f>
        <v>952278.89</v>
      </c>
      <c r="J18" s="118"/>
      <c r="K18" s="148">
        <f ca="1">I18-F18</f>
        <v>195392</v>
      </c>
      <c r="L18" s="211"/>
      <c r="M18" s="213"/>
      <c r="N18" s="213"/>
      <c r="P18" s="217"/>
      <c r="Q18" s="87">
        <f ca="1">H18/E18-1</f>
        <v>0.25815217391304346</v>
      </c>
    </row>
    <row r="19" spans="2:17" x14ac:dyDescent="0.2">
      <c r="B19" s="173" t="s">
        <v>125</v>
      </c>
      <c r="C19" s="114" t="s">
        <v>76</v>
      </c>
      <c r="D19" s="111">
        <f ca="1">'[61](C) Norm Rev at 2018TR Rates'!R347+'[61](C) Norm Rev at 2018TR Rates'!R394</f>
        <v>4021281.8230000003</v>
      </c>
      <c r="E19" s="115">
        <f ca="1">'[61]Rate Design Int &amp; Trans_TR'!$H$19</f>
        <v>4.9169999999999998E-2</v>
      </c>
      <c r="F19" s="148">
        <f ca="1">ROUND(D19*E19,2)</f>
        <v>197726.43</v>
      </c>
      <c r="H19" s="147">
        <f ca="1">ROUND(E19*(1+$O$16),5)</f>
        <v>6.1859999999999998E-2</v>
      </c>
      <c r="I19" s="232">
        <f ca="1">ROUND(D19*H19,2)</f>
        <v>248756.49</v>
      </c>
      <c r="J19" s="118"/>
      <c r="K19" s="148">
        <f ca="1">I19-F19</f>
        <v>51030.06</v>
      </c>
      <c r="L19" s="211"/>
      <c r="M19" s="213"/>
      <c r="N19" s="213"/>
      <c r="O19" s="141"/>
      <c r="P19" s="141"/>
      <c r="Q19" s="87">
        <f ca="1">H19/E19-1</f>
        <v>0.25808419768151314</v>
      </c>
    </row>
    <row r="20" spans="2:17" x14ac:dyDescent="0.2">
      <c r="B20" s="173" t="s">
        <v>126</v>
      </c>
      <c r="C20" s="114" t="s">
        <v>76</v>
      </c>
      <c r="D20" s="111">
        <f ca="1">'[61](C) Norm Rev at 2018TR Rates'!R348+'[61](C) Norm Rev at 2018TR Rates'!R395</f>
        <v>4149095.0580000002</v>
      </c>
      <c r="E20" s="115">
        <f ca="1">'[61]Rate Design Int &amp; Trans_TR'!$H$20</f>
        <v>4.7039999999999998E-2</v>
      </c>
      <c r="F20" s="148">
        <f ca="1">ROUND(D20*E20,2)</f>
        <v>195173.43</v>
      </c>
      <c r="H20" s="147">
        <f ca="1">ROUND(E20*(1+$O$16),5)</f>
        <v>5.9180000000000003E-2</v>
      </c>
      <c r="I20" s="232">
        <f ca="1">ROUND(D20*H20,2)</f>
        <v>245543.45</v>
      </c>
      <c r="J20" s="118"/>
      <c r="K20" s="148">
        <f ca="1">I20-F20</f>
        <v>50370.020000000019</v>
      </c>
      <c r="L20" s="110"/>
      <c r="M20" s="213"/>
      <c r="N20" s="213"/>
      <c r="O20" s="141"/>
      <c r="P20" s="141"/>
      <c r="Q20" s="87">
        <f ca="1">H20/E20-1</f>
        <v>0.25807823129251717</v>
      </c>
    </row>
    <row r="21" spans="2:17" x14ac:dyDescent="0.2">
      <c r="B21" s="163" t="s">
        <v>81</v>
      </c>
      <c r="C21" s="212"/>
      <c r="D21" s="255">
        <f ca="1">SUM(D18:D20)</f>
        <v>15787998.554</v>
      </c>
      <c r="E21" s="164"/>
      <c r="F21" s="157">
        <f ca="1">SUM(F12:F20)</f>
        <v>1553046.30919838</v>
      </c>
      <c r="H21" s="170"/>
      <c r="I21" s="157">
        <f ca="1">SUM(I12:I20)</f>
        <v>1903412.26</v>
      </c>
      <c r="J21" s="118"/>
      <c r="K21" s="157">
        <f ca="1">SUM(K12:K20)</f>
        <v>350365.95080162003</v>
      </c>
      <c r="L21" s="218">
        <f ca="1">K21/F21</f>
        <v>0.22559916515462108</v>
      </c>
      <c r="M21" s="213"/>
      <c r="N21" s="213"/>
      <c r="O21" s="219"/>
      <c r="P21" s="158"/>
      <c r="Q21" s="159"/>
    </row>
    <row r="22" spans="2:17" ht="12.75" customHeight="1" x14ac:dyDescent="0.2">
      <c r="B22" s="163"/>
      <c r="C22" s="212"/>
      <c r="D22" s="117"/>
      <c r="E22" s="164"/>
      <c r="F22" s="232"/>
      <c r="H22" s="170"/>
      <c r="I22" s="232"/>
      <c r="J22" s="118"/>
      <c r="K22" s="148"/>
      <c r="L22" s="211"/>
      <c r="M22" s="213"/>
      <c r="N22" s="213"/>
      <c r="O22" s="220"/>
      <c r="P22" s="286"/>
      <c r="Q22" s="182"/>
    </row>
    <row r="23" spans="2:17" ht="12.75" customHeight="1" x14ac:dyDescent="0.2">
      <c r="B23" s="173" t="s">
        <v>78</v>
      </c>
      <c r="C23" s="212"/>
      <c r="D23" s="117"/>
      <c r="E23" s="164"/>
      <c r="F23" s="232"/>
      <c r="H23" s="170"/>
      <c r="I23" s="232"/>
      <c r="J23" s="118"/>
      <c r="K23" s="148"/>
      <c r="L23" s="211"/>
      <c r="M23" s="213"/>
      <c r="N23" s="213"/>
      <c r="O23" s="220"/>
      <c r="P23" s="286"/>
      <c r="Q23" s="182"/>
    </row>
    <row r="24" spans="2:17" x14ac:dyDescent="0.2">
      <c r="B24" s="173" t="s">
        <v>110</v>
      </c>
      <c r="C24" s="114" t="s">
        <v>76</v>
      </c>
      <c r="D24" s="221">
        <f ca="1">D21</f>
        <v>15787998.554</v>
      </c>
      <c r="E24" s="115">
        <f ca="1">'[61](C) Norm Rev at 2018TR Rates'!$Q$333</f>
        <v>0.2702</v>
      </c>
      <c r="F24" s="232">
        <f ca="1">D24*E24</f>
        <v>4265917.2092907997</v>
      </c>
      <c r="G24" s="222"/>
      <c r="H24" s="319">
        <f ca="1">E24</f>
        <v>0.2702</v>
      </c>
      <c r="I24" s="232">
        <f ca="1">$D24*H24</f>
        <v>4265917.2092907997</v>
      </c>
      <c r="J24" s="118"/>
      <c r="K24" s="148">
        <f ca="1">I24-F24</f>
        <v>0</v>
      </c>
      <c r="L24" s="211"/>
      <c r="M24" s="213"/>
      <c r="N24" s="223"/>
    </row>
    <row r="25" spans="2:17" x14ac:dyDescent="0.2">
      <c r="B25" s="173" t="s">
        <v>102</v>
      </c>
      <c r="C25" s="114" t="s">
        <v>103</v>
      </c>
      <c r="D25" s="221">
        <f ca="1">D13</f>
        <v>86412.906999999992</v>
      </c>
      <c r="E25" s="112">
        <f ca="1">'[61](C) Norm Rev at 2018TR Rates'!$Q$338</f>
        <v>1.05</v>
      </c>
      <c r="F25" s="232">
        <f ca="1">D25*E25</f>
        <v>90733.552349999998</v>
      </c>
      <c r="G25" s="222"/>
      <c r="H25" s="320">
        <f ca="1">E25</f>
        <v>1.05</v>
      </c>
      <c r="I25" s="232">
        <f ca="1">$D25*H25</f>
        <v>90733.552349999998</v>
      </c>
      <c r="J25" s="118"/>
      <c r="K25" s="148">
        <f ca="1">I25-F25</f>
        <v>0</v>
      </c>
      <c r="L25" s="110"/>
      <c r="M25" s="213"/>
      <c r="N25" s="213"/>
    </row>
    <row r="26" spans="2:17" x14ac:dyDescent="0.2">
      <c r="B26" s="163" t="s">
        <v>111</v>
      </c>
      <c r="C26" s="212"/>
      <c r="D26" s="153"/>
      <c r="E26" s="164"/>
      <c r="F26" s="157">
        <f ca="1">SUM(F24:F25)</f>
        <v>4356650.7616407992</v>
      </c>
      <c r="G26" s="153"/>
      <c r="H26" s="170"/>
      <c r="I26" s="157">
        <f ca="1">SUM(I24:I25)</f>
        <v>4356650.7616407992</v>
      </c>
      <c r="J26" s="164"/>
      <c r="K26" s="157">
        <f ca="1">SUM(K24:K25)</f>
        <v>0</v>
      </c>
      <c r="L26" s="218">
        <f ca="1">ROUND(K26/F26,5)</f>
        <v>0</v>
      </c>
      <c r="M26" s="213"/>
      <c r="N26" s="213"/>
      <c r="O26" s="220"/>
      <c r="P26" s="286"/>
      <c r="Q26" s="182"/>
    </row>
    <row r="27" spans="2:17" x14ac:dyDescent="0.2">
      <c r="B27" s="173"/>
      <c r="C27" s="114"/>
      <c r="D27" s="117"/>
      <c r="E27" s="170"/>
      <c r="F27" s="232"/>
      <c r="H27" s="170"/>
      <c r="I27" s="232"/>
      <c r="J27" s="118"/>
      <c r="K27" s="148"/>
      <c r="L27" s="110"/>
      <c r="M27" s="213"/>
      <c r="N27" s="213"/>
    </row>
    <row r="28" spans="2:17" x14ac:dyDescent="0.2">
      <c r="B28" s="173" t="s">
        <v>79</v>
      </c>
      <c r="C28" s="114"/>
      <c r="D28" s="117"/>
      <c r="E28" s="147"/>
      <c r="F28" s="157">
        <f ca="1">F21+F26</f>
        <v>5909697.0708391797</v>
      </c>
      <c r="H28" s="170"/>
      <c r="I28" s="157">
        <f ca="1">I21+I26</f>
        <v>6260063.021640799</v>
      </c>
      <c r="J28" s="118"/>
      <c r="K28" s="157">
        <f ca="1">K21+K26</f>
        <v>350365.95080162003</v>
      </c>
      <c r="L28" s="218">
        <f ca="1">K28/F28</f>
        <v>5.92866176729204E-2</v>
      </c>
      <c r="M28" s="213"/>
      <c r="N28" s="213"/>
    </row>
    <row r="29" spans="2:17" x14ac:dyDescent="0.2">
      <c r="B29" s="130"/>
      <c r="C29" s="224"/>
      <c r="D29" s="225"/>
      <c r="E29" s="226"/>
      <c r="F29" s="135"/>
      <c r="G29" s="225"/>
      <c r="H29" s="227"/>
      <c r="I29" s="135"/>
      <c r="J29" s="228"/>
      <c r="K29" s="135"/>
      <c r="L29" s="136"/>
      <c r="M29" s="213"/>
      <c r="N29" s="213"/>
    </row>
    <row r="30" spans="2:17" x14ac:dyDescent="0.2">
      <c r="B30" s="153"/>
      <c r="C30" s="153"/>
      <c r="D30" s="117"/>
      <c r="E30" s="147"/>
      <c r="F30" s="177"/>
      <c r="H30" s="170"/>
      <c r="I30" s="237"/>
      <c r="J30" s="229"/>
      <c r="K30" s="177"/>
      <c r="L30" s="168"/>
      <c r="M30" s="213"/>
      <c r="N30" s="213"/>
    </row>
    <row r="31" spans="2:17" x14ac:dyDescent="0.2">
      <c r="B31" s="103" t="s">
        <v>127</v>
      </c>
      <c r="C31" s="205"/>
      <c r="D31" s="255"/>
      <c r="E31" s="206"/>
      <c r="F31" s="105"/>
      <c r="G31" s="207"/>
      <c r="H31" s="208"/>
      <c r="I31" s="209"/>
      <c r="J31" s="209"/>
      <c r="K31" s="105"/>
      <c r="L31" s="210"/>
      <c r="M31" s="213"/>
      <c r="N31" s="213"/>
      <c r="O31" s="230"/>
      <c r="P31" s="169"/>
      <c r="Q31" s="117"/>
    </row>
    <row r="32" spans="2:17" x14ac:dyDescent="0.2">
      <c r="B32" s="173"/>
      <c r="C32" s="114"/>
      <c r="D32" s="117"/>
      <c r="E32" s="126"/>
      <c r="F32" s="148"/>
      <c r="G32" s="143"/>
      <c r="H32" s="170"/>
      <c r="I32" s="232"/>
      <c r="J32" s="118"/>
      <c r="K32" s="148"/>
      <c r="L32" s="211"/>
      <c r="M32" s="213"/>
      <c r="N32" s="213"/>
      <c r="O32" s="153"/>
      <c r="P32" s="153"/>
      <c r="Q32" s="117"/>
    </row>
    <row r="33" spans="2:17" x14ac:dyDescent="0.2">
      <c r="B33" s="163" t="s">
        <v>73</v>
      </c>
      <c r="C33" s="212" t="s">
        <v>74</v>
      </c>
      <c r="D33" s="111">
        <f ca="1">'[61](C) Norm Rev at 2018TR Rates'!$R$899</f>
        <v>1199.4001036779719</v>
      </c>
      <c r="E33" s="112">
        <f ca="1">'[61]Rate Design Int &amp; Trans_TR'!$H$34</f>
        <v>877.69</v>
      </c>
      <c r="F33" s="148">
        <f ca="1">ROUND(D33*E33,2)</f>
        <v>1052701.48</v>
      </c>
      <c r="H33" s="112">
        <f>'Current ERF Rates'!I79</f>
        <v>903.09</v>
      </c>
      <c r="I33" s="232">
        <f ca="1">ROUND(D33*H33,2)</f>
        <v>1083166.24</v>
      </c>
      <c r="J33" s="118"/>
      <c r="K33" s="148">
        <f ca="1">I33-F33</f>
        <v>30464.760000000009</v>
      </c>
      <c r="L33" s="211"/>
      <c r="M33" s="213"/>
      <c r="N33" s="213"/>
      <c r="O33" s="169"/>
      <c r="P33" s="169"/>
      <c r="Q33" s="87">
        <f ca="1">H33/E33-1</f>
        <v>2.8939602821041577E-2</v>
      </c>
    </row>
    <row r="34" spans="2:17" x14ac:dyDescent="0.2">
      <c r="B34" s="173" t="s">
        <v>102</v>
      </c>
      <c r="C34" s="114" t="s">
        <v>103</v>
      </c>
      <c r="D34" s="111">
        <f ca="1">'[61](C) Norm Rev at 2018TR Rates'!$R$980</f>
        <v>697056</v>
      </c>
      <c r="E34" s="112">
        <f ca="1">'[61]Rate Design Int &amp; Trans_TR'!$H$35</f>
        <v>1.21</v>
      </c>
      <c r="F34" s="148">
        <f ca="1">ROUND(D34*E34,2)</f>
        <v>843437.76</v>
      </c>
      <c r="H34" s="170">
        <f>$H$13</f>
        <v>1.3</v>
      </c>
      <c r="I34" s="232">
        <f ca="1">ROUND(D34*H34,2)</f>
        <v>906172.8</v>
      </c>
      <c r="J34" s="118"/>
      <c r="K34" s="148">
        <f ca="1">I34-F34</f>
        <v>62735.040000000037</v>
      </c>
      <c r="L34" s="211"/>
      <c r="M34" s="213"/>
      <c r="N34" s="213"/>
      <c r="O34" s="153"/>
      <c r="P34" s="153"/>
      <c r="Q34" s="87">
        <f ca="1">H34/E34-1</f>
        <v>7.4380165289256173E-2</v>
      </c>
    </row>
    <row r="35" spans="2:17" x14ac:dyDescent="0.2">
      <c r="B35" s="173" t="s">
        <v>123</v>
      </c>
      <c r="C35" s="114"/>
      <c r="D35" s="111"/>
      <c r="E35" s="112"/>
      <c r="F35" s="231">
        <f ca="1">'[61](C) Norm Rev at 2018TR Rates'!$R$452+'[61](C) Norm Rev at 2018TR Rates'!$R$489</f>
        <v>12284.61</v>
      </c>
      <c r="H35" s="170"/>
      <c r="I35" s="232">
        <f ca="1">F35</f>
        <v>12284.61</v>
      </c>
      <c r="J35" s="118"/>
      <c r="K35" s="148">
        <f ca="1">I35-F35</f>
        <v>0</v>
      </c>
      <c r="L35" s="211"/>
      <c r="M35" s="213"/>
      <c r="N35" s="213"/>
      <c r="O35" s="153"/>
      <c r="P35" s="153"/>
      <c r="Q35" s="171"/>
    </row>
    <row r="36" spans="2:17" x14ac:dyDescent="0.2">
      <c r="B36" s="173"/>
      <c r="C36" s="114"/>
      <c r="D36" s="111"/>
      <c r="E36" s="115"/>
      <c r="F36" s="114"/>
      <c r="H36" s="147"/>
      <c r="I36" s="114"/>
      <c r="J36" s="164"/>
      <c r="K36" s="148"/>
      <c r="L36" s="211"/>
      <c r="M36" s="213"/>
      <c r="N36" s="213"/>
      <c r="O36" s="153"/>
      <c r="P36" s="153"/>
      <c r="Q36" s="117"/>
    </row>
    <row r="37" spans="2:17" x14ac:dyDescent="0.2">
      <c r="B37" s="173"/>
      <c r="C37" s="114"/>
      <c r="D37" s="111"/>
      <c r="E37" s="115"/>
      <c r="F37" s="148"/>
      <c r="H37" s="147"/>
      <c r="I37" s="232"/>
      <c r="J37" s="118"/>
      <c r="K37" s="148"/>
      <c r="L37" s="211"/>
      <c r="M37" s="213"/>
      <c r="N37" s="213"/>
      <c r="O37" s="114"/>
      <c r="P37" s="153"/>
      <c r="Q37" s="117"/>
    </row>
    <row r="38" spans="2:17" x14ac:dyDescent="0.2">
      <c r="B38" s="173" t="s">
        <v>104</v>
      </c>
      <c r="C38" s="114"/>
      <c r="D38" s="111"/>
      <c r="E38" s="115"/>
      <c r="F38" s="148"/>
      <c r="H38" s="147"/>
      <c r="I38" s="232"/>
      <c r="J38" s="118"/>
      <c r="K38" s="148"/>
      <c r="L38" s="211"/>
      <c r="M38" s="213"/>
      <c r="N38" s="213"/>
      <c r="O38" s="153"/>
      <c r="P38" s="153"/>
      <c r="Q38" s="117"/>
    </row>
    <row r="39" spans="2:17" x14ac:dyDescent="0.2">
      <c r="B39" s="173" t="s">
        <v>124</v>
      </c>
      <c r="C39" s="114" t="s">
        <v>76</v>
      </c>
      <c r="D39" s="111">
        <f ca="1">'[61](C) Norm Rev at 2018TR Rates'!R435+'[61](C) Norm Rev at 2018TR Rates'!R472</f>
        <v>28123063.680000003</v>
      </c>
      <c r="E39" s="115">
        <f ca="1">'[61]Rate Design Int &amp; Trans_TR'!$H$40</f>
        <v>9.9360000000000004E-2</v>
      </c>
      <c r="F39" s="148">
        <f ca="1">ROUND(D39*E39,2)</f>
        <v>2794307.61</v>
      </c>
      <c r="H39" s="147">
        <f ca="1">H18</f>
        <v>0.12501000000000001</v>
      </c>
      <c r="I39" s="232">
        <f ca="1">ROUND(D39*H39,2)</f>
        <v>3515664.19</v>
      </c>
      <c r="J39" s="118"/>
      <c r="K39" s="148">
        <f ca="1">I39-F39</f>
        <v>721356.58000000007</v>
      </c>
      <c r="L39" s="211"/>
      <c r="M39" s="213"/>
      <c r="N39" s="213"/>
      <c r="O39" s="153"/>
      <c r="P39" s="153"/>
      <c r="Q39" s="87">
        <f ca="1">H39/E39-1</f>
        <v>0.25815217391304346</v>
      </c>
    </row>
    <row r="40" spans="2:17" x14ac:dyDescent="0.2">
      <c r="B40" s="173" t="s">
        <v>125</v>
      </c>
      <c r="C40" s="114" t="s">
        <v>76</v>
      </c>
      <c r="D40" s="111">
        <f ca="1">'[61](C) Norm Rev at 2018TR Rates'!R436+'[61](C) Norm Rev at 2018TR Rates'!R473</f>
        <v>18732272.719999999</v>
      </c>
      <c r="E40" s="115">
        <f ca="1">'[61]Rate Design Int &amp; Trans_TR'!$H$41</f>
        <v>4.9169999999999998E-2</v>
      </c>
      <c r="F40" s="148">
        <f ca="1">ROUND(D40*E40,2)</f>
        <v>921065.85</v>
      </c>
      <c r="H40" s="147">
        <f ca="1">H19</f>
        <v>6.1859999999999998E-2</v>
      </c>
      <c r="I40" s="232">
        <f ca="1">ROUND(D40*H40,2)</f>
        <v>1158778.3899999999</v>
      </c>
      <c r="J40" s="118"/>
      <c r="K40" s="148">
        <f ca="1">I40-F40</f>
        <v>237712.53999999992</v>
      </c>
      <c r="L40" s="211"/>
      <c r="M40" s="213"/>
      <c r="N40" s="213"/>
      <c r="O40" s="153"/>
      <c r="P40" s="153"/>
      <c r="Q40" s="87">
        <f ca="1">H40/E40-1</f>
        <v>0.25808419768151314</v>
      </c>
    </row>
    <row r="41" spans="2:17" x14ac:dyDescent="0.2">
      <c r="B41" s="173" t="s">
        <v>128</v>
      </c>
      <c r="C41" s="114" t="s">
        <v>76</v>
      </c>
      <c r="D41" s="111">
        <f ca="1">'[61](C) Norm Rev at 2018TR Rates'!R437+'[61](C) Norm Rev at 2018TR Rates'!R474</f>
        <v>27976821.809999999</v>
      </c>
      <c r="E41" s="115">
        <f ca="1">'[61]Rate Design Int &amp; Trans_TR'!$H$42</f>
        <v>4.7039999999999998E-2</v>
      </c>
      <c r="F41" s="135">
        <f ca="1">ROUND(D41*E41,2)</f>
        <v>1316029.7</v>
      </c>
      <c r="H41" s="147">
        <f ca="1">H20</f>
        <v>5.9180000000000003E-2</v>
      </c>
      <c r="I41" s="232">
        <f ca="1">ROUND(D41*H41,2)</f>
        <v>1655668.31</v>
      </c>
      <c r="J41" s="118"/>
      <c r="K41" s="148">
        <f ca="1">I41-F41</f>
        <v>339638.6100000001</v>
      </c>
      <c r="L41" s="110"/>
      <c r="M41" s="213"/>
      <c r="N41" s="213"/>
      <c r="O41" s="153"/>
      <c r="P41" s="153"/>
      <c r="Q41" s="87">
        <f ca="1">H41/E41-1</f>
        <v>0.25807823129251717</v>
      </c>
    </row>
    <row r="42" spans="2:17" x14ac:dyDescent="0.2">
      <c r="B42" s="163" t="s">
        <v>81</v>
      </c>
      <c r="C42" s="212"/>
      <c r="D42" s="255">
        <f ca="1">SUM(D39:D41)</f>
        <v>74832158.210000008</v>
      </c>
      <c r="E42" s="233"/>
      <c r="F42" s="157">
        <f ca="1">SUM(F33:F41)</f>
        <v>6939827.0099999998</v>
      </c>
      <c r="H42" s="170"/>
      <c r="I42" s="157">
        <f ca="1">SUM(I33:I41)</f>
        <v>8331734.5399999991</v>
      </c>
      <c r="J42" s="118"/>
      <c r="K42" s="157">
        <f ca="1">SUM(K33:K41)</f>
        <v>1391907.53</v>
      </c>
      <c r="L42" s="218">
        <f ca="1">K42/F42</f>
        <v>0.20056804413054094</v>
      </c>
      <c r="M42" s="213"/>
      <c r="N42" s="213"/>
      <c r="O42" s="153"/>
      <c r="P42" s="153"/>
      <c r="Q42" s="117"/>
    </row>
    <row r="43" spans="2:17" x14ac:dyDescent="0.2">
      <c r="B43" s="163"/>
      <c r="C43" s="212"/>
      <c r="D43" s="117"/>
      <c r="E43" s="233"/>
      <c r="F43" s="232"/>
      <c r="H43" s="170"/>
      <c r="I43" s="232"/>
      <c r="J43" s="118"/>
      <c r="K43" s="148"/>
      <c r="L43" s="211"/>
      <c r="M43" s="213"/>
      <c r="N43" s="213"/>
      <c r="O43" s="169"/>
      <c r="P43" s="153"/>
      <c r="Q43" s="117"/>
    </row>
    <row r="44" spans="2:17" x14ac:dyDescent="0.2">
      <c r="B44" s="173" t="s">
        <v>97</v>
      </c>
      <c r="C44" s="114" t="s">
        <v>76</v>
      </c>
      <c r="D44" s="221">
        <f ca="1">D42</f>
        <v>74832158.210000008</v>
      </c>
      <c r="E44" s="115">
        <f ca="1">'[61]Rate Design Int &amp; Trans_TR'!$H$45</f>
        <v>6.9999999999999999E-4</v>
      </c>
      <c r="F44" s="232">
        <f ca="1">E44*D44</f>
        <v>52382.510747000008</v>
      </c>
      <c r="G44" s="222"/>
      <c r="H44" s="139">
        <v>1E-3</v>
      </c>
      <c r="I44" s="148">
        <f ca="1">H44*D44</f>
        <v>74832.158210000009</v>
      </c>
      <c r="J44" s="118"/>
      <c r="K44" s="148">
        <f ca="1">I44-F44</f>
        <v>22449.647463000001</v>
      </c>
      <c r="L44" s="211"/>
      <c r="M44" s="213"/>
      <c r="N44" s="213"/>
      <c r="O44" s="169"/>
      <c r="P44" s="169"/>
      <c r="Q44" s="117"/>
    </row>
    <row r="45" spans="2:17" x14ac:dyDescent="0.2">
      <c r="B45" s="163" t="s">
        <v>79</v>
      </c>
      <c r="C45" s="114"/>
      <c r="D45" s="117"/>
      <c r="E45" s="140"/>
      <c r="F45" s="157">
        <f ca="1">F44+F42</f>
        <v>6992209.5207469994</v>
      </c>
      <c r="G45" s="153"/>
      <c r="H45" s="170"/>
      <c r="I45" s="157">
        <f ca="1">I44+I42</f>
        <v>8406566.6982099991</v>
      </c>
      <c r="J45" s="164"/>
      <c r="K45" s="157">
        <f ca="1">K44+K42</f>
        <v>1414357.1774629999</v>
      </c>
      <c r="L45" s="218">
        <f ca="1">ROUND(K45/F45,5)</f>
        <v>0.20227999999999999</v>
      </c>
      <c r="M45" s="213"/>
      <c r="N45" s="213"/>
      <c r="O45" s="234"/>
      <c r="P45" s="153"/>
      <c r="Q45" s="222"/>
    </row>
    <row r="46" spans="2:17" x14ac:dyDescent="0.2">
      <c r="B46" s="130"/>
      <c r="C46" s="224"/>
      <c r="D46" s="225"/>
      <c r="E46" s="226"/>
      <c r="F46" s="135"/>
      <c r="G46" s="225"/>
      <c r="H46" s="227"/>
      <c r="I46" s="235"/>
      <c r="J46" s="228"/>
      <c r="K46" s="135"/>
      <c r="L46" s="136"/>
      <c r="M46" s="213"/>
      <c r="N46" s="213"/>
      <c r="O46" s="153"/>
      <c r="P46" s="153"/>
      <c r="Q46" s="117"/>
    </row>
    <row r="47" spans="2:17" x14ac:dyDescent="0.2">
      <c r="B47" s="114"/>
      <c r="C47" s="114"/>
      <c r="D47" s="117"/>
      <c r="E47" s="126"/>
      <c r="F47" s="148"/>
      <c r="H47" s="170"/>
      <c r="I47" s="232"/>
      <c r="J47" s="118"/>
      <c r="K47" s="148"/>
      <c r="L47" s="256"/>
      <c r="M47" s="213"/>
      <c r="N47" s="213"/>
      <c r="O47" s="153"/>
      <c r="P47" s="153"/>
      <c r="Q47" s="117"/>
    </row>
    <row r="48" spans="2:17" x14ac:dyDescent="0.2">
      <c r="B48" s="137" t="s">
        <v>129</v>
      </c>
      <c r="C48" s="205"/>
      <c r="D48" s="255"/>
      <c r="E48" s="206"/>
      <c r="F48" s="105"/>
      <c r="G48" s="207"/>
      <c r="H48" s="208"/>
      <c r="I48" s="209"/>
      <c r="J48" s="209"/>
      <c r="K48" s="105"/>
      <c r="L48" s="210"/>
      <c r="M48" s="213"/>
      <c r="N48" s="213"/>
      <c r="O48" s="153"/>
      <c r="P48" s="153"/>
      <c r="Q48" s="117"/>
    </row>
    <row r="49" spans="2:17" x14ac:dyDescent="0.2">
      <c r="B49" s="173"/>
      <c r="C49" s="114"/>
      <c r="D49" s="117"/>
      <c r="E49" s="147"/>
      <c r="F49" s="177"/>
      <c r="G49" s="143"/>
      <c r="H49" s="170"/>
      <c r="I49" s="237"/>
      <c r="J49" s="229"/>
      <c r="K49" s="177"/>
      <c r="L49" s="239"/>
      <c r="M49" s="236"/>
      <c r="N49" s="213"/>
      <c r="O49" s="153"/>
      <c r="P49" s="153"/>
      <c r="Q49" s="117"/>
    </row>
    <row r="50" spans="2:17" x14ac:dyDescent="0.2">
      <c r="B50" s="163" t="s">
        <v>73</v>
      </c>
      <c r="C50" s="212" t="s">
        <v>74</v>
      </c>
      <c r="D50" s="117">
        <f ca="1">D33+D12</f>
        <v>1528.9179219236264</v>
      </c>
      <c r="E50" s="140"/>
      <c r="F50" s="177">
        <f ca="1">F12+F33</f>
        <v>1233465.07</v>
      </c>
      <c r="H50" s="170"/>
      <c r="I50" s="177">
        <f ca="1">I12+I33</f>
        <v>1279255.7</v>
      </c>
      <c r="J50" s="229"/>
      <c r="K50" s="177">
        <f ca="1">I50-F50</f>
        <v>45790.629999999888</v>
      </c>
      <c r="L50" s="239"/>
      <c r="M50" s="236"/>
      <c r="N50" s="213"/>
      <c r="O50" s="153"/>
      <c r="P50" s="153"/>
      <c r="Q50" s="87"/>
    </row>
    <row r="51" spans="2:17" x14ac:dyDescent="0.2">
      <c r="B51" s="173" t="s">
        <v>102</v>
      </c>
      <c r="C51" s="114" t="s">
        <v>103</v>
      </c>
      <c r="D51" s="117">
        <f ca="1">D34+D13</f>
        <v>783468.90700000001</v>
      </c>
      <c r="E51" s="140"/>
      <c r="F51" s="177">
        <f ca="1">F13+F34</f>
        <v>947997.38</v>
      </c>
      <c r="H51" s="170"/>
      <c r="I51" s="177">
        <f ca="1">I13+I34</f>
        <v>1018509.5800000001</v>
      </c>
      <c r="J51" s="229"/>
      <c r="K51" s="177">
        <f ca="1">I51-F51</f>
        <v>70512.20000000007</v>
      </c>
      <c r="L51" s="239"/>
      <c r="M51" s="236"/>
      <c r="N51" s="213"/>
      <c r="O51" s="153"/>
      <c r="P51" s="153"/>
      <c r="Q51" s="87"/>
    </row>
    <row r="52" spans="2:17" x14ac:dyDescent="0.2">
      <c r="B52" s="173" t="s">
        <v>95</v>
      </c>
      <c r="C52" s="114" t="s">
        <v>76</v>
      </c>
      <c r="D52" s="117">
        <f ca="1">D35+D14</f>
        <v>15787998.554</v>
      </c>
      <c r="E52" s="140"/>
      <c r="F52" s="177">
        <f ca="1">F14</f>
        <v>117936.34919838</v>
      </c>
      <c r="H52" s="170"/>
      <c r="I52" s="177">
        <f ca="1">I14</f>
        <v>148407.19</v>
      </c>
      <c r="J52" s="229"/>
      <c r="K52" s="177">
        <f ca="1">I52-F52</f>
        <v>30470.840801619997</v>
      </c>
      <c r="L52" s="239"/>
      <c r="M52" s="236"/>
      <c r="N52" s="213"/>
      <c r="O52" s="153"/>
      <c r="P52" s="153"/>
      <c r="Q52" s="87"/>
    </row>
    <row r="53" spans="2:17" x14ac:dyDescent="0.2">
      <c r="B53" s="173" t="s">
        <v>123</v>
      </c>
      <c r="C53" s="114"/>
      <c r="D53" s="171"/>
      <c r="E53" s="140"/>
      <c r="F53" s="237">
        <f ca="1">F15+F35</f>
        <v>12284.61</v>
      </c>
      <c r="H53" s="170"/>
      <c r="I53" s="237">
        <f ca="1">I15+I35</f>
        <v>12284.61</v>
      </c>
      <c r="J53" s="229"/>
      <c r="K53" s="177">
        <f ca="1">I53-F53</f>
        <v>0</v>
      </c>
      <c r="L53" s="239"/>
      <c r="M53" s="236"/>
      <c r="N53" s="213"/>
      <c r="O53" s="153"/>
      <c r="P53" s="153"/>
      <c r="Q53" s="117"/>
    </row>
    <row r="54" spans="2:17" x14ac:dyDescent="0.2">
      <c r="B54" s="173"/>
      <c r="C54" s="114"/>
      <c r="D54" s="117"/>
      <c r="E54" s="141"/>
      <c r="F54" s="153"/>
      <c r="H54" s="147"/>
      <c r="I54" s="153"/>
      <c r="J54" s="170"/>
      <c r="K54" s="177"/>
      <c r="L54" s="239"/>
      <c r="M54" s="236"/>
      <c r="N54" s="213"/>
      <c r="O54" s="153"/>
      <c r="P54" s="153"/>
      <c r="Q54" s="117"/>
    </row>
    <row r="55" spans="2:17" x14ac:dyDescent="0.2">
      <c r="B55" s="173" t="s">
        <v>104</v>
      </c>
      <c r="C55" s="114"/>
      <c r="D55" s="117"/>
      <c r="E55" s="141"/>
      <c r="F55" s="177"/>
      <c r="H55" s="147"/>
      <c r="I55" s="177"/>
      <c r="J55" s="229"/>
      <c r="K55" s="177"/>
      <c r="L55" s="239"/>
      <c r="M55" s="236"/>
      <c r="N55" s="213"/>
      <c r="O55" s="153"/>
      <c r="P55" s="153"/>
      <c r="Q55" s="117"/>
    </row>
    <row r="56" spans="2:17" x14ac:dyDescent="0.2">
      <c r="B56" s="173" t="s">
        <v>124</v>
      </c>
      <c r="C56" s="114" t="s">
        <v>76</v>
      </c>
      <c r="D56" s="117">
        <f ca="1">D39+D18</f>
        <v>35740685.353</v>
      </c>
      <c r="E56" s="141"/>
      <c r="F56" s="177">
        <f ca="1">F18+F39</f>
        <v>3551194.5</v>
      </c>
      <c r="H56" s="141"/>
      <c r="I56" s="177">
        <f ca="1">I18+I39</f>
        <v>4467943.08</v>
      </c>
      <c r="J56" s="229"/>
      <c r="K56" s="177">
        <f ca="1">I56-F56</f>
        <v>916748.58000000007</v>
      </c>
      <c r="L56" s="239"/>
      <c r="M56" s="236"/>
      <c r="N56" s="213"/>
      <c r="O56" s="153"/>
      <c r="P56" s="153"/>
      <c r="Q56" s="117"/>
    </row>
    <row r="57" spans="2:17" x14ac:dyDescent="0.2">
      <c r="B57" s="173" t="s">
        <v>125</v>
      </c>
      <c r="C57" s="114" t="s">
        <v>76</v>
      </c>
      <c r="D57" s="117">
        <f ca="1">D40+D19</f>
        <v>22753554.542999998</v>
      </c>
      <c r="E57" s="141"/>
      <c r="F57" s="177">
        <f ca="1">F19+F40</f>
        <v>1118792.28</v>
      </c>
      <c r="H57" s="141"/>
      <c r="I57" s="177">
        <f ca="1">I19+I40</f>
        <v>1407534.88</v>
      </c>
      <c r="J57" s="229"/>
      <c r="K57" s="177">
        <f ca="1">I57-F57</f>
        <v>288742.59999999986</v>
      </c>
      <c r="L57" s="239"/>
      <c r="M57" s="236"/>
      <c r="N57" s="213"/>
      <c r="O57" s="153"/>
      <c r="P57" s="153"/>
      <c r="Q57" s="117"/>
    </row>
    <row r="58" spans="2:17" x14ac:dyDescent="0.2">
      <c r="B58" s="173" t="s">
        <v>126</v>
      </c>
      <c r="C58" s="114" t="s">
        <v>76</v>
      </c>
      <c r="D58" s="117">
        <f ca="1">D41+D20</f>
        <v>32125916.868000001</v>
      </c>
      <c r="E58" s="141"/>
      <c r="F58" s="176">
        <f ca="1">F20+F41</f>
        <v>1511203.13</v>
      </c>
      <c r="H58" s="147"/>
      <c r="I58" s="176">
        <f ca="1">I20+I41</f>
        <v>1901211.76</v>
      </c>
      <c r="J58" s="229"/>
      <c r="K58" s="177">
        <f ca="1">I58-F58</f>
        <v>390008.63000000012</v>
      </c>
      <c r="L58" s="151"/>
      <c r="M58" s="236"/>
      <c r="N58" s="213"/>
      <c r="O58" s="153"/>
      <c r="P58" s="153"/>
      <c r="Q58" s="117"/>
    </row>
    <row r="59" spans="2:17" x14ac:dyDescent="0.2">
      <c r="B59" s="163" t="s">
        <v>81</v>
      </c>
      <c r="C59" s="212"/>
      <c r="D59" s="255">
        <f ca="1">SUM(D56:D58)</f>
        <v>90620156.763999999</v>
      </c>
      <c r="E59" s="170"/>
      <c r="F59" s="238">
        <f ca="1">SUM(F50:F58)</f>
        <v>8492873.3191983812</v>
      </c>
      <c r="H59" s="170"/>
      <c r="I59" s="238">
        <f ca="1">SUM(I50:I58)</f>
        <v>10235146.800000001</v>
      </c>
      <c r="J59" s="229"/>
      <c r="K59" s="238">
        <f ca="1">SUM(K50:K58)</f>
        <v>1742273.4808016201</v>
      </c>
      <c r="L59" s="218">
        <f ca="1">K59/F59</f>
        <v>0.20514535132216813</v>
      </c>
      <c r="M59" s="236"/>
      <c r="N59" s="213"/>
      <c r="O59" s="153"/>
      <c r="P59" s="153"/>
      <c r="Q59" s="117"/>
    </row>
    <row r="60" spans="2:17" x14ac:dyDescent="0.2">
      <c r="B60" s="163"/>
      <c r="C60" s="212"/>
      <c r="D60" s="117"/>
      <c r="E60" s="170"/>
      <c r="F60" s="237"/>
      <c r="H60" s="170"/>
      <c r="I60" s="237"/>
      <c r="J60" s="229"/>
      <c r="K60" s="177"/>
      <c r="L60" s="239"/>
      <c r="M60" s="236"/>
      <c r="N60" s="213"/>
      <c r="O60" s="153"/>
      <c r="P60" s="153"/>
      <c r="Q60" s="117"/>
    </row>
    <row r="61" spans="2:17" x14ac:dyDescent="0.2">
      <c r="B61" s="173" t="s">
        <v>78</v>
      </c>
      <c r="C61" s="212"/>
      <c r="D61" s="117"/>
      <c r="E61" s="170"/>
      <c r="F61" s="237"/>
      <c r="H61" s="170"/>
      <c r="I61" s="237"/>
      <c r="J61" s="229"/>
      <c r="K61" s="177"/>
      <c r="L61" s="239"/>
      <c r="M61" s="236"/>
      <c r="N61" s="213"/>
      <c r="O61" s="153"/>
      <c r="P61" s="153"/>
      <c r="Q61" s="117"/>
    </row>
    <row r="62" spans="2:17" x14ac:dyDescent="0.2">
      <c r="B62" s="173" t="s">
        <v>110</v>
      </c>
      <c r="C62" s="212"/>
      <c r="D62" s="117">
        <f ca="1">D24</f>
        <v>15787998.554</v>
      </c>
      <c r="E62" s="170"/>
      <c r="F62" s="237">
        <f ca="1">F24</f>
        <v>4265917.2092907997</v>
      </c>
      <c r="H62" s="170"/>
      <c r="I62" s="237">
        <f ca="1">I24</f>
        <v>4265917.2092907997</v>
      </c>
      <c r="J62" s="229"/>
      <c r="K62" s="177">
        <f ca="1">I62-F62</f>
        <v>0</v>
      </c>
      <c r="L62" s="239"/>
      <c r="M62" s="236"/>
      <c r="N62" s="213"/>
      <c r="O62" s="153"/>
      <c r="P62" s="153"/>
      <c r="Q62" s="117"/>
    </row>
    <row r="63" spans="2:17" x14ac:dyDescent="0.2">
      <c r="B63" s="173" t="s">
        <v>102</v>
      </c>
      <c r="C63" s="212"/>
      <c r="D63" s="117">
        <f ca="1">D25</f>
        <v>86412.906999999992</v>
      </c>
      <c r="E63" s="170"/>
      <c r="F63" s="237">
        <f ca="1">F25</f>
        <v>90733.552349999998</v>
      </c>
      <c r="H63" s="170"/>
      <c r="I63" s="237">
        <f ca="1">I25</f>
        <v>90733.552349999998</v>
      </c>
      <c r="J63" s="229"/>
      <c r="K63" s="177">
        <f ca="1">I63-F63</f>
        <v>0</v>
      </c>
      <c r="L63" s="239"/>
      <c r="M63" s="236"/>
      <c r="N63" s="213"/>
      <c r="O63" s="153"/>
      <c r="P63" s="153"/>
      <c r="Q63" s="117"/>
    </row>
    <row r="64" spans="2:17" x14ac:dyDescent="0.2">
      <c r="B64" s="173" t="s">
        <v>97</v>
      </c>
      <c r="C64" s="114" t="s">
        <v>76</v>
      </c>
      <c r="D64" s="117">
        <f ca="1">D44</f>
        <v>74832158.210000008</v>
      </c>
      <c r="E64" s="170"/>
      <c r="F64" s="237">
        <f ca="1">F44</f>
        <v>52382.510747000008</v>
      </c>
      <c r="H64" s="170"/>
      <c r="I64" s="237">
        <f ca="1">I44</f>
        <v>74832.158210000009</v>
      </c>
      <c r="J64" s="229"/>
      <c r="K64" s="177">
        <f ca="1">I64-F64</f>
        <v>22449.647463000001</v>
      </c>
      <c r="L64" s="239"/>
      <c r="M64" s="236"/>
      <c r="N64" s="213"/>
      <c r="O64" s="153"/>
      <c r="P64" s="153"/>
      <c r="Q64" s="117"/>
    </row>
    <row r="65" spans="1:17" x14ac:dyDescent="0.2">
      <c r="B65" s="163" t="s">
        <v>111</v>
      </c>
      <c r="C65" s="212"/>
      <c r="D65" s="117"/>
      <c r="E65" s="170"/>
      <c r="F65" s="238">
        <f ca="1">SUM(F62:F64)</f>
        <v>4409033.2723877989</v>
      </c>
      <c r="H65" s="170"/>
      <c r="I65" s="238">
        <f ca="1">SUM(I62:I64)</f>
        <v>4431482.9198507993</v>
      </c>
      <c r="J65" s="229"/>
      <c r="K65" s="238">
        <f ca="1">SUM(K62:K64)</f>
        <v>22449.647463000001</v>
      </c>
      <c r="L65" s="218">
        <f ca="1">K65/F65</f>
        <v>5.0917391809207086E-3</v>
      </c>
      <c r="M65" s="236"/>
      <c r="N65" s="213"/>
      <c r="O65" s="153"/>
      <c r="P65" s="153"/>
      <c r="Q65" s="117"/>
    </row>
    <row r="66" spans="1:17" x14ac:dyDescent="0.2">
      <c r="B66" s="163"/>
      <c r="C66" s="212"/>
      <c r="D66" s="117"/>
      <c r="E66" s="170"/>
      <c r="F66" s="237"/>
      <c r="H66" s="170"/>
      <c r="I66" s="237"/>
      <c r="J66" s="229"/>
      <c r="K66" s="177"/>
      <c r="L66" s="239"/>
      <c r="M66" s="236"/>
      <c r="N66" s="213"/>
      <c r="O66" s="153"/>
      <c r="P66" s="153"/>
      <c r="Q66" s="117"/>
    </row>
    <row r="67" spans="1:17" x14ac:dyDescent="0.2">
      <c r="B67" s="173" t="s">
        <v>79</v>
      </c>
      <c r="C67" s="114"/>
      <c r="D67" s="117"/>
      <c r="E67" s="170"/>
      <c r="F67" s="238">
        <f ca="1">F59+F65</f>
        <v>12901906.59158618</v>
      </c>
      <c r="H67" s="170"/>
      <c r="I67" s="238">
        <f ca="1">I59+I65</f>
        <v>14666629.719850801</v>
      </c>
      <c r="J67" s="229"/>
      <c r="K67" s="238">
        <f ca="1">K59+K65</f>
        <v>1764723.12826462</v>
      </c>
      <c r="L67" s="218">
        <f ca="1">K67/F67</f>
        <v>0.1367800267144596</v>
      </c>
      <c r="M67" s="236"/>
      <c r="N67" s="213"/>
    </row>
    <row r="68" spans="1:17" x14ac:dyDescent="0.2">
      <c r="B68" s="130"/>
      <c r="C68" s="224"/>
      <c r="D68" s="225"/>
      <c r="E68" s="240"/>
      <c r="F68" s="176"/>
      <c r="G68" s="225"/>
      <c r="H68" s="227"/>
      <c r="I68" s="241"/>
      <c r="J68" s="242"/>
      <c r="K68" s="176"/>
      <c r="L68" s="166"/>
      <c r="M68" s="236"/>
      <c r="N68" s="213"/>
    </row>
    <row r="69" spans="1:17" x14ac:dyDescent="0.2">
      <c r="A69" s="114"/>
      <c r="B69" s="114"/>
      <c r="C69" s="114"/>
      <c r="D69" s="117"/>
      <c r="E69" s="126"/>
      <c r="F69" s="148"/>
      <c r="H69" s="170"/>
      <c r="I69" s="232"/>
      <c r="J69" s="118"/>
      <c r="K69" s="148"/>
      <c r="L69" s="256"/>
      <c r="M69" s="213"/>
      <c r="N69" s="213"/>
      <c r="O69" s="114"/>
    </row>
    <row r="70" spans="1:17" x14ac:dyDescent="0.2">
      <c r="B70" s="103" t="s">
        <v>130</v>
      </c>
      <c r="C70" s="205"/>
      <c r="D70" s="255"/>
      <c r="E70" s="206"/>
      <c r="F70" s="105"/>
      <c r="G70" s="255"/>
      <c r="H70" s="208"/>
      <c r="I70" s="157"/>
      <c r="J70" s="209"/>
      <c r="K70" s="105"/>
      <c r="L70" s="107"/>
      <c r="M70" s="213"/>
      <c r="N70" s="213"/>
      <c r="O70" s="114"/>
    </row>
    <row r="71" spans="1:17" x14ac:dyDescent="0.2">
      <c r="B71" s="173"/>
      <c r="C71" s="114"/>
      <c r="D71" s="117"/>
      <c r="E71" s="126"/>
      <c r="F71" s="148"/>
      <c r="G71" s="143"/>
      <c r="H71" s="170"/>
      <c r="I71" s="232"/>
      <c r="J71" s="118"/>
      <c r="K71" s="148"/>
      <c r="L71" s="211"/>
      <c r="M71" s="213"/>
      <c r="N71" s="213"/>
      <c r="O71" s="308" t="s">
        <v>131</v>
      </c>
    </row>
    <row r="72" spans="1:17" x14ac:dyDescent="0.2">
      <c r="B72" s="163" t="s">
        <v>73</v>
      </c>
      <c r="C72" s="212" t="s">
        <v>74</v>
      </c>
      <c r="D72" s="111">
        <f ca="1">'[61](C) Norm Rev at 2018TR Rates'!$R$896</f>
        <v>2661.5565121011946</v>
      </c>
      <c r="E72" s="112">
        <f ca="1">'[61]Rate Design Int &amp; Trans_TR'!$H$73</f>
        <v>139.36000000000001</v>
      </c>
      <c r="F72" s="148">
        <f ca="1">ROUND(D72*E72,2)</f>
        <v>370914.52</v>
      </c>
      <c r="H72" s="112">
        <f>'Current ERF Rates'!I91</f>
        <v>148.82</v>
      </c>
      <c r="I72" s="232">
        <f ca="1">ROUND(D72*H72,2)</f>
        <v>396092.84</v>
      </c>
      <c r="J72" s="118"/>
      <c r="K72" s="148">
        <f ca="1">I72-F72</f>
        <v>25178.320000000007</v>
      </c>
      <c r="L72" s="211"/>
      <c r="M72" s="213"/>
      <c r="N72" s="213"/>
      <c r="O72" s="113">
        <f ca="1">'Rate Spread'!N17</f>
        <v>0</v>
      </c>
      <c r="Q72" s="87">
        <f ca="1">H72/E72-1</f>
        <v>6.7881745120550896E-2</v>
      </c>
    </row>
    <row r="73" spans="1:17" x14ac:dyDescent="0.2">
      <c r="B73" s="173" t="s">
        <v>102</v>
      </c>
      <c r="C73" s="114" t="s">
        <v>103</v>
      </c>
      <c r="D73" s="111">
        <f ca="1">'[61](C) Norm Rev at 2018TR Rates'!$R$977</f>
        <v>82401.308999999994</v>
      </c>
      <c r="E73" s="112">
        <f ca="1">'[61]Rate Design Int &amp; Trans_TR'!$H$74</f>
        <v>1.22</v>
      </c>
      <c r="F73" s="148">
        <f ca="1">ROUND(D73*E73,2)</f>
        <v>100529.60000000001</v>
      </c>
      <c r="H73" s="112">
        <f>'Rate Design Targets'!E9</f>
        <v>1.35</v>
      </c>
      <c r="I73" s="232">
        <f ca="1">ROUND(D73*H73,2)</f>
        <v>111241.77</v>
      </c>
      <c r="J73" s="118"/>
      <c r="K73" s="148">
        <f ca="1">I73-F73</f>
        <v>10712.169999999998</v>
      </c>
      <c r="L73" s="211"/>
      <c r="M73" s="213"/>
      <c r="N73" s="213"/>
      <c r="O73" s="116" t="s">
        <v>77</v>
      </c>
      <c r="Q73" s="87">
        <f ca="1">H73/E73-1</f>
        <v>0.10655737704918034</v>
      </c>
    </row>
    <row r="74" spans="1:17" x14ac:dyDescent="0.2">
      <c r="B74" s="173" t="s">
        <v>95</v>
      </c>
      <c r="C74" s="114" t="s">
        <v>76</v>
      </c>
      <c r="D74" s="117">
        <f ca="1">D80</f>
        <v>8752636.7930000015</v>
      </c>
      <c r="E74" s="115">
        <f ca="1">'[61]Rate Design Int &amp; Trans_TR'!$H$75</f>
        <v>9.0699999999999999E-3</v>
      </c>
      <c r="F74" s="148">
        <f ca="1">ROUND(D74*E74,2)</f>
        <v>79386.42</v>
      </c>
      <c r="H74" s="147">
        <f ca="1">ROUND(E74*(1+$O$76),5)</f>
        <v>8.8299999999999993E-3</v>
      </c>
      <c r="I74" s="232">
        <f ca="1">ROUND(D80*H74,2)</f>
        <v>77285.78</v>
      </c>
      <c r="J74" s="118"/>
      <c r="K74" s="148">
        <f ca="1">I74-F74</f>
        <v>-2100.6399999999994</v>
      </c>
      <c r="L74" s="211"/>
      <c r="M74" s="213"/>
      <c r="N74" s="213"/>
      <c r="O74" s="214">
        <f ca="1">K80+K99-O72</f>
        <v>21.129999999994652</v>
      </c>
      <c r="Q74" s="87">
        <f ca="1">H74/E74-1</f>
        <v>-2.6460859977949336E-2</v>
      </c>
    </row>
    <row r="75" spans="1:17" x14ac:dyDescent="0.2">
      <c r="B75" s="173" t="s">
        <v>123</v>
      </c>
      <c r="C75" s="114"/>
      <c r="D75" s="117"/>
      <c r="E75" s="115"/>
      <c r="F75" s="231">
        <f ca="1">'[61](C) Norm Rev at 2018TR Rates'!$R$532+'[61](C) Norm Rev at 2018TR Rates'!$R$576</f>
        <v>35297.54</v>
      </c>
      <c r="H75" s="147"/>
      <c r="I75" s="232">
        <f ca="1">F75</f>
        <v>35297.54</v>
      </c>
      <c r="J75" s="243"/>
      <c r="K75" s="148">
        <f ca="1">I75-F75</f>
        <v>0</v>
      </c>
      <c r="L75" s="211"/>
      <c r="M75" s="213"/>
      <c r="N75" s="213"/>
      <c r="O75" s="216"/>
    </row>
    <row r="76" spans="1:17" x14ac:dyDescent="0.2">
      <c r="B76" s="173"/>
      <c r="C76" s="114"/>
      <c r="D76" s="117"/>
      <c r="E76" s="115"/>
      <c r="F76" s="148"/>
      <c r="H76" s="147"/>
      <c r="I76" s="232"/>
      <c r="J76" s="118"/>
      <c r="K76" s="148"/>
      <c r="L76" s="211"/>
      <c r="M76" s="213"/>
      <c r="N76" s="213"/>
      <c r="O76" s="47">
        <v>-2.6009999999999998E-2</v>
      </c>
      <c r="P76" s="286"/>
      <c r="Q76" s="286"/>
    </row>
    <row r="77" spans="1:17" x14ac:dyDescent="0.2">
      <c r="B77" s="173" t="s">
        <v>104</v>
      </c>
      <c r="C77" s="114"/>
      <c r="D77" s="117"/>
      <c r="E77" s="115"/>
      <c r="F77" s="148"/>
      <c r="H77" s="147"/>
      <c r="I77" s="232"/>
      <c r="J77" s="118"/>
      <c r="K77" s="148"/>
      <c r="L77" s="211"/>
      <c r="M77" s="213"/>
      <c r="N77" s="213"/>
      <c r="O77" s="244"/>
      <c r="P77" s="254"/>
      <c r="Q77" s="286"/>
    </row>
    <row r="78" spans="1:17" x14ac:dyDescent="0.2">
      <c r="B78" s="142" t="s">
        <v>132</v>
      </c>
      <c r="C78" s="153" t="s">
        <v>76</v>
      </c>
      <c r="D78" s="111">
        <f ca="1">'[61](C) Norm Rev at 2018TR Rates'!R513+'[61](C) Norm Rev at 2018TR Rates'!R557</f>
        <v>2054251.2670000002</v>
      </c>
      <c r="E78" s="115">
        <f ca="1">'[61]Rate Design Int &amp; Trans_TR'!$H$79</f>
        <v>0.19273999999999999</v>
      </c>
      <c r="F78" s="148">
        <f ca="1">ROUND(D78*E78,2)</f>
        <v>395936.39</v>
      </c>
      <c r="H78" s="147">
        <f ca="1">ROUND(E78*(1+$O$76),5)</f>
        <v>0.18773000000000001</v>
      </c>
      <c r="I78" s="232">
        <f ca="1">ROUND(D78*H78,2)</f>
        <v>385644.59</v>
      </c>
      <c r="J78" s="118"/>
      <c r="K78" s="148">
        <f ca="1">I78-F78</f>
        <v>-10291.799999999988</v>
      </c>
      <c r="L78" s="211"/>
      <c r="M78" s="213"/>
      <c r="N78" s="213"/>
      <c r="P78" s="286"/>
      <c r="Q78" s="87">
        <f ca="1">H78/E78-1</f>
        <v>-2.5993566462591988E-2</v>
      </c>
    </row>
    <row r="79" spans="1:17" ht="12.75" customHeight="1" x14ac:dyDescent="0.2">
      <c r="B79" s="142" t="s">
        <v>133</v>
      </c>
      <c r="C79" s="153" t="s">
        <v>76</v>
      </c>
      <c r="D79" s="111">
        <f ca="1">'[61](C) Norm Rev at 2018TR Rates'!R514+'[61](C) Norm Rev at 2018TR Rates'!R558</f>
        <v>6698385.5260000005</v>
      </c>
      <c r="E79" s="115">
        <f ca="1">'[61]Rate Design Int &amp; Trans_TR'!$H$80</f>
        <v>0.13664000000000001</v>
      </c>
      <c r="F79" s="148">
        <f ca="1">ROUND(D79*E79,2)</f>
        <v>915267.4</v>
      </c>
      <c r="H79" s="147">
        <f ca="1">ROUND(E79*(1+$O$76),5)</f>
        <v>0.13309000000000001</v>
      </c>
      <c r="I79" s="232">
        <f ca="1">ROUND(D79*H79,2)</f>
        <v>891488.13</v>
      </c>
      <c r="J79" s="118"/>
      <c r="K79" s="148">
        <f ca="1">I79-F79</f>
        <v>-23779.270000000019</v>
      </c>
      <c r="L79" s="211"/>
      <c r="M79" s="213"/>
      <c r="N79" s="213"/>
      <c r="O79" s="244"/>
      <c r="P79" s="286"/>
      <c r="Q79" s="87">
        <f ca="1">H79/E79-1</f>
        <v>-2.5980679156908604E-2</v>
      </c>
    </row>
    <row r="80" spans="1:17" ht="12.75" customHeight="1" x14ac:dyDescent="0.2">
      <c r="B80" s="163" t="s">
        <v>81</v>
      </c>
      <c r="C80" s="114" t="s">
        <v>76</v>
      </c>
      <c r="D80" s="255">
        <f ca="1">SUM(D78:D79)</f>
        <v>8752636.7930000015</v>
      </c>
      <c r="E80" s="245"/>
      <c r="F80" s="157">
        <f ca="1">SUM(F72:F79)</f>
        <v>1897331.87</v>
      </c>
      <c r="H80" s="170"/>
      <c r="I80" s="157">
        <f ca="1">SUM(I72:I79)</f>
        <v>1897050.65</v>
      </c>
      <c r="J80" s="118"/>
      <c r="K80" s="157">
        <f ca="1">SUM(K72:K79)</f>
        <v>-281.22000000000116</v>
      </c>
      <c r="L80" s="210">
        <f ca="1">K80/F80</f>
        <v>-1.4821866666900037E-4</v>
      </c>
      <c r="M80" s="213"/>
      <c r="N80" s="213"/>
      <c r="O80" s="181"/>
      <c r="P80" s="286"/>
      <c r="Q80" s="182"/>
    </row>
    <row r="81" spans="1:17" x14ac:dyDescent="0.2">
      <c r="B81" s="163"/>
      <c r="C81" s="212"/>
      <c r="D81" s="117"/>
      <c r="E81" s="245"/>
      <c r="F81" s="232"/>
      <c r="H81" s="170"/>
      <c r="I81" s="232"/>
      <c r="J81" s="118"/>
      <c r="K81" s="148"/>
      <c r="L81" s="110"/>
      <c r="M81" s="213"/>
      <c r="N81" s="223"/>
      <c r="O81" s="220"/>
      <c r="P81" s="286"/>
      <c r="Q81" s="182"/>
    </row>
    <row r="82" spans="1:17" x14ac:dyDescent="0.2">
      <c r="B82" s="173" t="s">
        <v>78</v>
      </c>
      <c r="C82" s="212"/>
      <c r="D82" s="117"/>
      <c r="E82" s="245"/>
      <c r="F82" s="232"/>
      <c r="H82" s="170"/>
      <c r="I82" s="232"/>
      <c r="J82" s="118"/>
      <c r="K82" s="148"/>
      <c r="L82" s="110"/>
      <c r="M82" s="213"/>
      <c r="N82" s="213"/>
    </row>
    <row r="83" spans="1:17" x14ac:dyDescent="0.2">
      <c r="B83" s="173" t="s">
        <v>110</v>
      </c>
      <c r="C83" s="114" t="s">
        <v>76</v>
      </c>
      <c r="D83" s="221">
        <f ca="1">D80</f>
        <v>8752636.7930000015</v>
      </c>
      <c r="E83" s="115">
        <f ca="1">'[61](C) Norm Rev at 2018TR Rates'!$Q$500</f>
        <v>0.26795999999999998</v>
      </c>
      <c r="F83" s="232">
        <f ca="1">+D83*E83</f>
        <v>2345356.55505228</v>
      </c>
      <c r="G83" s="222"/>
      <c r="H83" s="319">
        <f ca="1">E83</f>
        <v>0.26795999999999998</v>
      </c>
      <c r="I83" s="232">
        <f ca="1">+D83*H83</f>
        <v>2345356.55505228</v>
      </c>
      <c r="J83" s="118"/>
      <c r="K83" s="148">
        <f ca="1">I83-F83</f>
        <v>0</v>
      </c>
      <c r="L83" s="211"/>
      <c r="M83" s="213"/>
      <c r="N83" s="213"/>
      <c r="O83" s="220"/>
      <c r="P83" s="286"/>
      <c r="Q83" s="182"/>
    </row>
    <row r="84" spans="1:17" x14ac:dyDescent="0.2">
      <c r="B84" s="173" t="s">
        <v>102</v>
      </c>
      <c r="C84" s="114" t="s">
        <v>103</v>
      </c>
      <c r="D84" s="221">
        <f ca="1">D73</f>
        <v>82401.308999999994</v>
      </c>
      <c r="E84" s="112">
        <f ca="1">'[61](C) Norm Rev at 2018TR Rates'!$Q$505</f>
        <v>1.05</v>
      </c>
      <c r="F84" s="232">
        <f ca="1">D84*E84</f>
        <v>86521.374450000003</v>
      </c>
      <c r="G84" s="222"/>
      <c r="H84" s="320">
        <f ca="1">E84</f>
        <v>1.05</v>
      </c>
      <c r="I84" s="232">
        <f ca="1">D84*H84</f>
        <v>86521.374450000003</v>
      </c>
      <c r="J84" s="118"/>
      <c r="K84" s="148">
        <f ca="1">I84-F84</f>
        <v>0</v>
      </c>
      <c r="L84" s="110"/>
      <c r="M84" s="213"/>
      <c r="N84" s="213"/>
    </row>
    <row r="85" spans="1:17" x14ac:dyDescent="0.2">
      <c r="B85" s="163" t="s">
        <v>111</v>
      </c>
      <c r="C85" s="212"/>
      <c r="D85" s="153"/>
      <c r="E85" s="164"/>
      <c r="F85" s="157">
        <f ca="1">SUM(F83:F84)</f>
        <v>2431877.92950228</v>
      </c>
      <c r="G85" s="153"/>
      <c r="H85" s="170"/>
      <c r="I85" s="157">
        <f ca="1">SUM(I83:I84)</f>
        <v>2431877.92950228</v>
      </c>
      <c r="J85" s="164"/>
      <c r="K85" s="157">
        <f ca="1">SUM(K83:K84)</f>
        <v>0</v>
      </c>
      <c r="L85" s="210">
        <f ca="1">ROUND(K85/F85,5)</f>
        <v>0</v>
      </c>
      <c r="M85" s="213"/>
      <c r="N85" s="213"/>
    </row>
    <row r="86" spans="1:17" x14ac:dyDescent="0.2">
      <c r="B86" s="173"/>
      <c r="C86" s="114"/>
      <c r="D86" s="117"/>
      <c r="E86" s="126"/>
      <c r="F86" s="232"/>
      <c r="H86" s="170"/>
      <c r="I86" s="232"/>
      <c r="J86" s="118"/>
      <c r="K86" s="148"/>
      <c r="L86" s="110"/>
      <c r="M86" s="213"/>
      <c r="N86" s="213"/>
    </row>
    <row r="87" spans="1:17" s="114" customFormat="1" x14ac:dyDescent="0.2">
      <c r="B87" s="173" t="s">
        <v>79</v>
      </c>
      <c r="D87" s="117"/>
      <c r="E87" s="164"/>
      <c r="F87" s="157">
        <f ca="1">F85+F80</f>
        <v>4329209.7995022796</v>
      </c>
      <c r="G87" s="117"/>
      <c r="H87" s="170"/>
      <c r="I87" s="157">
        <f ca="1">I85+I80</f>
        <v>4328928.5795022799</v>
      </c>
      <c r="J87" s="118"/>
      <c r="K87" s="157">
        <f ca="1">K85+K80</f>
        <v>-281.22000000000116</v>
      </c>
      <c r="L87" s="210">
        <f ca="1">K87/F87</f>
        <v>-6.4958736818976164E-5</v>
      </c>
      <c r="M87" s="213"/>
      <c r="N87" s="213"/>
    </row>
    <row r="88" spans="1:17" x14ac:dyDescent="0.2">
      <c r="A88" s="114"/>
      <c r="B88" s="130"/>
      <c r="C88" s="224"/>
      <c r="D88" s="225"/>
      <c r="E88" s="246"/>
      <c r="F88" s="176"/>
      <c r="G88" s="225"/>
      <c r="H88" s="227"/>
      <c r="I88" s="241"/>
      <c r="J88" s="228"/>
      <c r="K88" s="135"/>
      <c r="L88" s="247"/>
      <c r="M88" s="213"/>
      <c r="N88" s="213"/>
    </row>
    <row r="89" spans="1:17" s="114" customFormat="1" x14ac:dyDescent="0.2">
      <c r="D89" s="117"/>
      <c r="E89" s="248"/>
      <c r="F89" s="177"/>
      <c r="G89" s="117"/>
      <c r="H89" s="170"/>
      <c r="I89" s="237"/>
      <c r="J89" s="118"/>
      <c r="K89" s="148"/>
      <c r="L89" s="249"/>
      <c r="M89" s="213"/>
      <c r="N89" s="213"/>
    </row>
    <row r="90" spans="1:17" x14ac:dyDescent="0.2">
      <c r="A90" s="114"/>
      <c r="B90" s="103" t="s">
        <v>134</v>
      </c>
      <c r="C90" s="205"/>
      <c r="D90" s="255"/>
      <c r="E90" s="206"/>
      <c r="F90" s="105"/>
      <c r="G90" s="255"/>
      <c r="H90" s="208"/>
      <c r="I90" s="157"/>
      <c r="J90" s="209"/>
      <c r="K90" s="105"/>
      <c r="L90" s="107"/>
      <c r="M90" s="213"/>
      <c r="N90" s="213"/>
    </row>
    <row r="91" spans="1:17" x14ac:dyDescent="0.2">
      <c r="A91" s="114"/>
      <c r="B91" s="173"/>
      <c r="C91" s="114"/>
      <c r="D91" s="117"/>
      <c r="E91" s="126"/>
      <c r="F91" s="148"/>
      <c r="G91" s="143"/>
      <c r="H91" s="170"/>
      <c r="I91" s="232"/>
      <c r="J91" s="118"/>
      <c r="K91" s="148"/>
      <c r="L91" s="211"/>
      <c r="M91" s="213"/>
      <c r="N91" s="213"/>
    </row>
    <row r="92" spans="1:17" x14ac:dyDescent="0.2">
      <c r="A92" s="114"/>
      <c r="B92" s="163" t="s">
        <v>73</v>
      </c>
      <c r="C92" s="212" t="s">
        <v>74</v>
      </c>
      <c r="D92" s="111">
        <f ca="1">'[61](C) Norm Rev at 2018TR Rates'!$R$900</f>
        <v>22.033330326537975</v>
      </c>
      <c r="E92" s="112">
        <f ca="1">'[61]Rate Design Int &amp; Trans_TR'!$H$93</f>
        <v>443.44</v>
      </c>
      <c r="F92" s="148">
        <f ca="1">ROUND(D92*E92,2)</f>
        <v>9770.4599999999991</v>
      </c>
      <c r="H92" s="112">
        <f>'Current ERF Rates'!I103</f>
        <v>457.76</v>
      </c>
      <c r="I92" s="232">
        <f ca="1">ROUND(D92*H92,2)</f>
        <v>10085.98</v>
      </c>
      <c r="J92" s="118"/>
      <c r="K92" s="148">
        <f ca="1">I92-F92</f>
        <v>315.52000000000044</v>
      </c>
      <c r="L92" s="211"/>
      <c r="M92" s="213"/>
      <c r="N92" s="213"/>
      <c r="Q92" s="87">
        <f ca="1">H92/E92-1</f>
        <v>3.2292982139635606E-2</v>
      </c>
    </row>
    <row r="93" spans="1:17" x14ac:dyDescent="0.2">
      <c r="A93" s="114"/>
      <c r="B93" s="173" t="s">
        <v>102</v>
      </c>
      <c r="C93" s="114" t="s">
        <v>103</v>
      </c>
      <c r="D93" s="111">
        <f ca="1">'[61](C) Norm Rev at 2018TR Rates'!$R$981</f>
        <v>9750</v>
      </c>
      <c r="E93" s="112">
        <f ca="1">'[61]Rate Design Int &amp; Trans_TR'!$H$94</f>
        <v>1.22</v>
      </c>
      <c r="F93" s="148">
        <f ca="1">ROUND(D93*E93,2)</f>
        <v>11895</v>
      </c>
      <c r="H93" s="170">
        <f>H73</f>
        <v>1.35</v>
      </c>
      <c r="I93" s="232">
        <f ca="1">ROUND(D93*H93,2)</f>
        <v>13162.5</v>
      </c>
      <c r="J93" s="118"/>
      <c r="K93" s="148">
        <f ca="1">I93-F93</f>
        <v>1267.5</v>
      </c>
      <c r="L93" s="211"/>
      <c r="M93" s="213"/>
      <c r="N93" s="213"/>
      <c r="Q93" s="87">
        <f ca="1">H93/E93-1</f>
        <v>0.10655737704918034</v>
      </c>
    </row>
    <row r="94" spans="1:17" x14ac:dyDescent="0.2">
      <c r="A94" s="114"/>
      <c r="B94" s="173" t="s">
        <v>123</v>
      </c>
      <c r="C94" s="114"/>
      <c r="D94" s="111"/>
      <c r="E94" s="115"/>
      <c r="F94" s="231">
        <f ca="1">'[61](C) Norm Rev at 2018TR Rates'!$R$611</f>
        <v>0</v>
      </c>
      <c r="H94" s="147"/>
      <c r="I94" s="232">
        <f ca="1">F94</f>
        <v>0</v>
      </c>
      <c r="J94" s="243"/>
      <c r="K94" s="148">
        <f ca="1">I94-F94</f>
        <v>0</v>
      </c>
      <c r="L94" s="211"/>
      <c r="M94" s="213"/>
      <c r="N94" s="213"/>
    </row>
    <row r="95" spans="1:17" x14ac:dyDescent="0.2">
      <c r="A95" s="114"/>
      <c r="B95" s="173"/>
      <c r="C95" s="114"/>
      <c r="D95" s="111"/>
      <c r="E95" s="115"/>
      <c r="F95" s="148"/>
      <c r="H95" s="147"/>
      <c r="I95" s="232"/>
      <c r="J95" s="118"/>
      <c r="K95" s="148"/>
      <c r="L95" s="211"/>
      <c r="M95" s="213"/>
      <c r="N95" s="213"/>
    </row>
    <row r="96" spans="1:17" x14ac:dyDescent="0.2">
      <c r="A96" s="114"/>
      <c r="B96" s="173" t="s">
        <v>104</v>
      </c>
      <c r="C96" s="114"/>
      <c r="D96" s="111"/>
      <c r="E96" s="115"/>
      <c r="F96" s="148"/>
      <c r="H96" s="147"/>
      <c r="I96" s="232"/>
      <c r="J96" s="118"/>
      <c r="K96" s="148"/>
      <c r="L96" s="211"/>
      <c r="M96" s="213"/>
      <c r="N96" s="213"/>
    </row>
    <row r="97" spans="1:17" x14ac:dyDescent="0.2">
      <c r="A97" s="114"/>
      <c r="B97" s="142" t="s">
        <v>132</v>
      </c>
      <c r="C97" s="153" t="s">
        <v>76</v>
      </c>
      <c r="D97" s="111">
        <f ca="1">'[61](C) Norm Rev at 2018TR Rates'!R596</f>
        <v>23011.74</v>
      </c>
      <c r="E97" s="115">
        <f ca="1">'[61]Rate Design Int &amp; Trans_TR'!$H$98</f>
        <v>0.19273999999999999</v>
      </c>
      <c r="F97" s="148">
        <f ca="1">ROUND(D97*E97,2)</f>
        <v>4435.28</v>
      </c>
      <c r="H97" s="147">
        <f ca="1">H78</f>
        <v>0.18773000000000001</v>
      </c>
      <c r="I97" s="232">
        <f ca="1">ROUND(D97*H97,2)</f>
        <v>4319.99</v>
      </c>
      <c r="J97" s="118"/>
      <c r="K97" s="148">
        <f ca="1">I97-F97</f>
        <v>-115.28999999999996</v>
      </c>
      <c r="L97" s="211"/>
      <c r="M97" s="213"/>
      <c r="N97" s="213"/>
      <c r="Q97" s="87">
        <f ca="1">H97/E97-1</f>
        <v>-2.5993566462591988E-2</v>
      </c>
    </row>
    <row r="98" spans="1:17" x14ac:dyDescent="0.2">
      <c r="A98" s="114"/>
      <c r="B98" s="142" t="s">
        <v>133</v>
      </c>
      <c r="C98" s="153" t="s">
        <v>76</v>
      </c>
      <c r="D98" s="111">
        <f ca="1">'[61](C) Norm Rev at 2018TR Rates'!R597</f>
        <v>328276.40999999997</v>
      </c>
      <c r="E98" s="115">
        <f ca="1">'[61]Rate Design Int &amp; Trans_TR'!$H$99</f>
        <v>0.13664000000000001</v>
      </c>
      <c r="F98" s="148">
        <f ca="1">ROUND(D98*E98,2)</f>
        <v>44855.69</v>
      </c>
      <c r="H98" s="147">
        <f ca="1">H79</f>
        <v>0.13309000000000001</v>
      </c>
      <c r="I98" s="232">
        <f ca="1">ROUND(D98*H98,2)</f>
        <v>43690.31</v>
      </c>
      <c r="J98" s="118"/>
      <c r="K98" s="148">
        <f ca="1">I98-F98</f>
        <v>-1165.3800000000047</v>
      </c>
      <c r="L98" s="211"/>
      <c r="M98" s="213"/>
      <c r="N98" s="213"/>
      <c r="Q98" s="87">
        <f ca="1">H98/E98-1</f>
        <v>-2.5980679156908604E-2</v>
      </c>
    </row>
    <row r="99" spans="1:17" x14ac:dyDescent="0.2">
      <c r="A99" s="114"/>
      <c r="B99" s="163" t="s">
        <v>81</v>
      </c>
      <c r="C99" s="114" t="s">
        <v>76</v>
      </c>
      <c r="D99" s="255">
        <f ca="1">SUM(D97:D98)</f>
        <v>351288.14999999997</v>
      </c>
      <c r="E99" s="245"/>
      <c r="F99" s="157">
        <f ca="1">SUM(F92:F98)</f>
        <v>70956.429999999993</v>
      </c>
      <c r="H99" s="170"/>
      <c r="I99" s="157">
        <f ca="1">SUM(I92:I98)</f>
        <v>71258.78</v>
      </c>
      <c r="J99" s="118"/>
      <c r="K99" s="157">
        <f ca="1">SUM(K92:K98)</f>
        <v>302.34999999999582</v>
      </c>
      <c r="L99" s="210"/>
      <c r="M99" s="213"/>
      <c r="N99" s="213"/>
    </row>
    <row r="100" spans="1:17" x14ac:dyDescent="0.2">
      <c r="A100" s="114"/>
      <c r="B100" s="163"/>
      <c r="C100" s="212"/>
      <c r="D100" s="117"/>
      <c r="E100" s="245"/>
      <c r="F100" s="232"/>
      <c r="H100" s="170"/>
      <c r="I100" s="232"/>
      <c r="J100" s="118"/>
      <c r="K100" s="148"/>
      <c r="L100" s="110"/>
      <c r="M100" s="213"/>
      <c r="N100" s="213"/>
    </row>
    <row r="101" spans="1:17" x14ac:dyDescent="0.2">
      <c r="A101" s="114"/>
      <c r="B101" s="173" t="s">
        <v>97</v>
      </c>
      <c r="C101" s="114" t="s">
        <v>76</v>
      </c>
      <c r="D101" s="221">
        <f ca="1">D99</f>
        <v>351288.14999999997</v>
      </c>
      <c r="E101" s="115">
        <f ca="1">'[61]Rate Design Int &amp; Trans_TR'!$H$102</f>
        <v>6.9999999999999999E-4</v>
      </c>
      <c r="F101" s="232">
        <f ca="1">E101*D101</f>
        <v>245.90170499999996</v>
      </c>
      <c r="G101" s="222"/>
      <c r="H101" s="139">
        <v>1E-3</v>
      </c>
      <c r="I101" s="148">
        <f ca="1">H101*D101</f>
        <v>351.28814999999997</v>
      </c>
      <c r="J101" s="118"/>
      <c r="K101" s="148">
        <f ca="1">I101-F101</f>
        <v>105.38644500000001</v>
      </c>
      <c r="L101" s="211"/>
      <c r="M101" s="213"/>
      <c r="N101" s="213"/>
    </row>
    <row r="102" spans="1:17" x14ac:dyDescent="0.2">
      <c r="A102" s="114"/>
      <c r="B102" s="163" t="s">
        <v>79</v>
      </c>
      <c r="C102" s="114"/>
      <c r="D102" s="117"/>
      <c r="E102" s="140"/>
      <c r="F102" s="157">
        <f ca="1">F101+F99</f>
        <v>71202.33170499999</v>
      </c>
      <c r="G102" s="157"/>
      <c r="H102" s="170"/>
      <c r="I102" s="157">
        <f ca="1">I101+I99</f>
        <v>71610.068149999992</v>
      </c>
      <c r="J102" s="164"/>
      <c r="K102" s="157">
        <f ca="1">K101+K99</f>
        <v>407.7364449999958</v>
      </c>
      <c r="L102" s="107"/>
      <c r="M102" s="213"/>
      <c r="N102" s="213"/>
    </row>
    <row r="103" spans="1:17" x14ac:dyDescent="0.2">
      <c r="A103" s="114"/>
      <c r="B103" s="130"/>
      <c r="C103" s="224"/>
      <c r="D103" s="225"/>
      <c r="E103" s="226"/>
      <c r="F103" s="135"/>
      <c r="G103" s="225"/>
      <c r="H103" s="227"/>
      <c r="I103" s="235"/>
      <c r="J103" s="228"/>
      <c r="K103" s="135"/>
      <c r="L103" s="136"/>
      <c r="M103" s="213"/>
      <c r="N103" s="213"/>
    </row>
    <row r="104" spans="1:17" s="114" customFormat="1" x14ac:dyDescent="0.2">
      <c r="D104" s="117"/>
      <c r="E104" s="248"/>
      <c r="F104" s="177"/>
      <c r="G104" s="117"/>
      <c r="H104" s="170"/>
      <c r="I104" s="237"/>
      <c r="J104" s="118"/>
      <c r="K104" s="148"/>
      <c r="L104" s="249"/>
      <c r="M104" s="213"/>
      <c r="N104" s="213"/>
    </row>
    <row r="105" spans="1:17" x14ac:dyDescent="0.2">
      <c r="A105" s="114"/>
      <c r="B105" s="103" t="s">
        <v>135</v>
      </c>
      <c r="C105" s="205"/>
      <c r="D105" s="255"/>
      <c r="E105" s="206"/>
      <c r="F105" s="105"/>
      <c r="G105" s="255"/>
      <c r="H105" s="208"/>
      <c r="I105" s="157"/>
      <c r="J105" s="209"/>
      <c r="K105" s="105"/>
      <c r="L105" s="107"/>
      <c r="M105" s="213"/>
      <c r="N105" s="213"/>
    </row>
    <row r="106" spans="1:17" x14ac:dyDescent="0.2">
      <c r="A106" s="114"/>
      <c r="B106" s="173"/>
      <c r="C106" s="114"/>
      <c r="D106" s="117"/>
      <c r="E106" s="126"/>
      <c r="F106" s="148"/>
      <c r="G106" s="143"/>
      <c r="H106" s="170"/>
      <c r="I106" s="232"/>
      <c r="J106" s="118"/>
      <c r="K106" s="148"/>
      <c r="L106" s="211"/>
      <c r="M106" s="213"/>
      <c r="N106" s="213"/>
    </row>
    <row r="107" spans="1:17" x14ac:dyDescent="0.2">
      <c r="A107" s="114"/>
      <c r="B107" s="163" t="s">
        <v>73</v>
      </c>
      <c r="C107" s="212" t="s">
        <v>74</v>
      </c>
      <c r="D107" s="117">
        <f ca="1">D72+D92</f>
        <v>2683.5898424277325</v>
      </c>
      <c r="E107" s="140"/>
      <c r="F107" s="148">
        <f ca="1">F72+F92</f>
        <v>380684.98000000004</v>
      </c>
      <c r="H107" s="140"/>
      <c r="I107" s="148">
        <f ca="1">I72+I92</f>
        <v>406178.82</v>
      </c>
      <c r="J107" s="118"/>
      <c r="K107" s="148">
        <f ca="1">I107-F107</f>
        <v>25493.839999999967</v>
      </c>
      <c r="L107" s="211"/>
      <c r="M107" s="213"/>
      <c r="N107" s="213"/>
    </row>
    <row r="108" spans="1:17" x14ac:dyDescent="0.2">
      <c r="A108" s="114"/>
      <c r="B108" s="173" t="s">
        <v>102</v>
      </c>
      <c r="C108" s="114" t="s">
        <v>103</v>
      </c>
      <c r="D108" s="117">
        <f ca="1">D73+D93</f>
        <v>92151.308999999994</v>
      </c>
      <c r="E108" s="140"/>
      <c r="F108" s="148">
        <f ca="1">F73+F93</f>
        <v>112424.6</v>
      </c>
      <c r="H108" s="140"/>
      <c r="I108" s="148">
        <f ca="1">I73+I93</f>
        <v>124404.27</v>
      </c>
      <c r="J108" s="118"/>
      <c r="K108" s="148">
        <f ca="1">I108-F108</f>
        <v>11979.669999999998</v>
      </c>
      <c r="L108" s="211"/>
      <c r="M108" s="213"/>
      <c r="N108" s="213"/>
    </row>
    <row r="109" spans="1:17" x14ac:dyDescent="0.2">
      <c r="A109" s="114"/>
      <c r="B109" s="173" t="s">
        <v>95</v>
      </c>
      <c r="C109" s="114" t="s">
        <v>76</v>
      </c>
      <c r="D109" s="117">
        <f ca="1">D74</f>
        <v>8752636.7930000015</v>
      </c>
      <c r="E109" s="141"/>
      <c r="F109" s="148">
        <f ca="1">F74</f>
        <v>79386.42</v>
      </c>
      <c r="H109" s="141"/>
      <c r="I109" s="148">
        <f ca="1">I74</f>
        <v>77285.78</v>
      </c>
      <c r="J109" s="118"/>
      <c r="K109" s="148">
        <f ca="1">I109-F109</f>
        <v>-2100.6399999999994</v>
      </c>
      <c r="L109" s="211"/>
      <c r="M109" s="213"/>
      <c r="N109" s="213"/>
    </row>
    <row r="110" spans="1:17" x14ac:dyDescent="0.2">
      <c r="A110" s="114"/>
      <c r="B110" s="173" t="s">
        <v>123</v>
      </c>
      <c r="C110" s="114"/>
      <c r="D110" s="117"/>
      <c r="E110" s="141"/>
      <c r="F110" s="232">
        <f ca="1">F75+F94</f>
        <v>35297.54</v>
      </c>
      <c r="H110" s="147"/>
      <c r="I110" s="232">
        <f ca="1">I75+I94</f>
        <v>35297.54</v>
      </c>
      <c r="J110" s="243"/>
      <c r="K110" s="148">
        <f ca="1">I110-F110</f>
        <v>0</v>
      </c>
      <c r="L110" s="211"/>
      <c r="M110" s="213"/>
      <c r="N110" s="213"/>
    </row>
    <row r="111" spans="1:17" x14ac:dyDescent="0.2">
      <c r="A111" s="114"/>
      <c r="B111" s="173"/>
      <c r="C111" s="114"/>
      <c r="D111" s="117"/>
      <c r="E111" s="141"/>
      <c r="F111" s="148"/>
      <c r="H111" s="147"/>
      <c r="I111" s="148"/>
      <c r="J111" s="118"/>
      <c r="K111" s="148"/>
      <c r="L111" s="211"/>
      <c r="M111" s="213"/>
      <c r="N111" s="213"/>
    </row>
    <row r="112" spans="1:17" x14ac:dyDescent="0.2">
      <c r="A112" s="114"/>
      <c r="B112" s="173" t="s">
        <v>104</v>
      </c>
      <c r="C112" s="114"/>
      <c r="D112" s="117"/>
      <c r="E112" s="141"/>
      <c r="F112" s="148"/>
      <c r="H112" s="147"/>
      <c r="I112" s="148"/>
      <c r="J112" s="118"/>
      <c r="K112" s="148"/>
      <c r="L112" s="211"/>
      <c r="M112" s="213"/>
      <c r="N112" s="213"/>
    </row>
    <row r="113" spans="1:15" x14ac:dyDescent="0.2">
      <c r="A113" s="114"/>
      <c r="B113" s="142" t="s">
        <v>132</v>
      </c>
      <c r="C113" s="153" t="s">
        <v>76</v>
      </c>
      <c r="D113" s="117">
        <f ca="1">D78+D97</f>
        <v>2077263.0070000002</v>
      </c>
      <c r="E113" s="141"/>
      <c r="F113" s="148">
        <f ca="1">F78+F97</f>
        <v>400371.67000000004</v>
      </c>
      <c r="H113" s="147"/>
      <c r="I113" s="148">
        <f ca="1">I78+I97</f>
        <v>389964.58</v>
      </c>
      <c r="J113" s="118"/>
      <c r="K113" s="148">
        <f ca="1">I113-F113</f>
        <v>-10407.090000000026</v>
      </c>
      <c r="L113" s="211"/>
      <c r="M113" s="213"/>
      <c r="N113" s="213"/>
    </row>
    <row r="114" spans="1:15" x14ac:dyDescent="0.2">
      <c r="A114" s="114"/>
      <c r="B114" s="142" t="s">
        <v>133</v>
      </c>
      <c r="C114" s="153" t="s">
        <v>76</v>
      </c>
      <c r="D114" s="117">
        <f ca="1">D79+D98</f>
        <v>7026661.9360000007</v>
      </c>
      <c r="E114" s="141"/>
      <c r="F114" s="148">
        <f ca="1">F79+F98</f>
        <v>960123.09000000008</v>
      </c>
      <c r="H114" s="147"/>
      <c r="I114" s="148">
        <f ca="1">I79+I98</f>
        <v>935178.44</v>
      </c>
      <c r="J114" s="118"/>
      <c r="K114" s="148">
        <f ca="1">I114-F114</f>
        <v>-24944.65000000014</v>
      </c>
      <c r="L114" s="211"/>
      <c r="M114" s="213"/>
      <c r="N114" s="213"/>
    </row>
    <row r="115" spans="1:15" x14ac:dyDescent="0.2">
      <c r="A115" s="114"/>
      <c r="B115" s="163" t="s">
        <v>81</v>
      </c>
      <c r="C115" s="114" t="s">
        <v>76</v>
      </c>
      <c r="D115" s="255">
        <f ca="1">SUM(D113:D114)</f>
        <v>9103924.943</v>
      </c>
      <c r="E115" s="126"/>
      <c r="F115" s="157">
        <f ca="1">SUM(F107:F114)</f>
        <v>1968288.3000000003</v>
      </c>
      <c r="H115" s="170"/>
      <c r="I115" s="157">
        <f ca="1">SUM(I107:I114)</f>
        <v>1968309.43</v>
      </c>
      <c r="J115" s="118"/>
      <c r="K115" s="157">
        <f ca="1">SUM(K107:K114)</f>
        <v>21.12999999980093</v>
      </c>
      <c r="L115" s="210">
        <f ca="1">K115/F115</f>
        <v>1.0735215974103452E-5</v>
      </c>
      <c r="M115" s="213"/>
      <c r="N115" s="213"/>
    </row>
    <row r="116" spans="1:15" x14ac:dyDescent="0.2">
      <c r="A116" s="114"/>
      <c r="B116" s="163"/>
      <c r="C116" s="212"/>
      <c r="D116" s="117"/>
      <c r="E116" s="126"/>
      <c r="F116" s="232"/>
      <c r="H116" s="170"/>
      <c r="I116" s="232"/>
      <c r="J116" s="118"/>
      <c r="K116" s="148"/>
      <c r="L116" s="110"/>
      <c r="M116" s="213"/>
      <c r="N116" s="213"/>
    </row>
    <row r="117" spans="1:15" x14ac:dyDescent="0.2">
      <c r="A117" s="114"/>
      <c r="B117" s="173" t="s">
        <v>78</v>
      </c>
      <c r="C117" s="212"/>
      <c r="D117" s="117"/>
      <c r="E117" s="126"/>
      <c r="F117" s="232"/>
      <c r="H117" s="170"/>
      <c r="I117" s="232"/>
      <c r="J117" s="118"/>
      <c r="K117" s="148"/>
      <c r="L117" s="110"/>
      <c r="M117" s="213"/>
      <c r="N117" s="213"/>
    </row>
    <row r="118" spans="1:15" x14ac:dyDescent="0.2">
      <c r="A118" s="114"/>
      <c r="B118" s="173" t="s">
        <v>110</v>
      </c>
      <c r="C118" s="114" t="s">
        <v>76</v>
      </c>
      <c r="D118" s="221">
        <f ca="1">D115</f>
        <v>9103924.943</v>
      </c>
      <c r="E118" s="141"/>
      <c r="F118" s="232">
        <f ca="1">F83</f>
        <v>2345356.55505228</v>
      </c>
      <c r="G118" s="222"/>
      <c r="H118" s="141"/>
      <c r="I118" s="232">
        <f ca="1">I83</f>
        <v>2345356.55505228</v>
      </c>
      <c r="J118" s="118"/>
      <c r="K118" s="148">
        <f ca="1">I118-F118</f>
        <v>0</v>
      </c>
      <c r="L118" s="211"/>
      <c r="M118" s="213"/>
      <c r="N118" s="213"/>
    </row>
    <row r="119" spans="1:15" x14ac:dyDescent="0.2">
      <c r="A119" s="114"/>
      <c r="B119" s="173" t="s">
        <v>102</v>
      </c>
      <c r="C119" s="114" t="s">
        <v>103</v>
      </c>
      <c r="D119" s="221">
        <f ca="1">D108</f>
        <v>92151.308999999994</v>
      </c>
      <c r="E119" s="140"/>
      <c r="F119" s="232">
        <f ca="1">F84</f>
        <v>86521.374450000003</v>
      </c>
      <c r="G119" s="222"/>
      <c r="H119" s="140"/>
      <c r="I119" s="232">
        <f ca="1">I84</f>
        <v>86521.374450000003</v>
      </c>
      <c r="J119" s="118"/>
      <c r="K119" s="148">
        <f ca="1">I119-F119</f>
        <v>0</v>
      </c>
      <c r="L119" s="110"/>
      <c r="M119" s="213"/>
      <c r="N119" s="213"/>
    </row>
    <row r="120" spans="1:15" x14ac:dyDescent="0.2">
      <c r="A120" s="114"/>
      <c r="B120" s="173" t="s">
        <v>97</v>
      </c>
      <c r="C120" s="114" t="s">
        <v>76</v>
      </c>
      <c r="D120" s="221">
        <f ca="1">D118</f>
        <v>9103924.943</v>
      </c>
      <c r="E120" s="140"/>
      <c r="F120" s="232">
        <f ca="1">F101</f>
        <v>245.90170499999996</v>
      </c>
      <c r="G120" s="222"/>
      <c r="H120" s="140"/>
      <c r="I120" s="232">
        <f ca="1">I101</f>
        <v>351.28814999999997</v>
      </c>
      <c r="J120" s="118"/>
      <c r="K120" s="148">
        <f ca="1">I120-F120</f>
        <v>105.38644500000001</v>
      </c>
      <c r="L120" s="110"/>
      <c r="M120" s="213"/>
      <c r="N120" s="213"/>
    </row>
    <row r="121" spans="1:15" x14ac:dyDescent="0.2">
      <c r="A121" s="114"/>
      <c r="B121" s="163" t="s">
        <v>111</v>
      </c>
      <c r="C121" s="212"/>
      <c r="D121" s="153"/>
      <c r="E121" s="164"/>
      <c r="F121" s="157">
        <f ca="1">SUM(F118:F120)</f>
        <v>2432123.83120728</v>
      </c>
      <c r="G121" s="153"/>
      <c r="H121" s="170"/>
      <c r="I121" s="157">
        <f ca="1">SUM(I118:I120)</f>
        <v>2432229.2176522799</v>
      </c>
      <c r="J121" s="164"/>
      <c r="K121" s="157">
        <f ca="1">SUM(K118:K120)</f>
        <v>105.38644500000001</v>
      </c>
      <c r="L121" s="210">
        <f ca="1">ROUND(K121/F121,5)</f>
        <v>4.0000000000000003E-5</v>
      </c>
      <c r="M121" s="213"/>
      <c r="N121" s="213"/>
    </row>
    <row r="122" spans="1:15" x14ac:dyDescent="0.2">
      <c r="A122" s="114"/>
      <c r="B122" s="163"/>
      <c r="C122" s="212"/>
      <c r="D122" s="153"/>
      <c r="E122" s="164"/>
      <c r="F122" s="232"/>
      <c r="G122" s="153"/>
      <c r="H122" s="170"/>
      <c r="I122" s="232"/>
      <c r="J122" s="164"/>
      <c r="K122" s="232"/>
      <c r="L122" s="211"/>
      <c r="M122" s="213"/>
      <c r="N122" s="213"/>
    </row>
    <row r="123" spans="1:15" x14ac:dyDescent="0.2">
      <c r="A123" s="114"/>
      <c r="B123" s="163" t="s">
        <v>79</v>
      </c>
      <c r="C123" s="212"/>
      <c r="D123" s="153"/>
      <c r="E123" s="164"/>
      <c r="F123" s="157">
        <f ca="1">F115+F121</f>
        <v>4400412.1312072799</v>
      </c>
      <c r="G123" s="153"/>
      <c r="H123" s="170"/>
      <c r="I123" s="157">
        <f ca="1">I115+I121</f>
        <v>4400538.6476522796</v>
      </c>
      <c r="J123" s="164"/>
      <c r="K123" s="157">
        <f ca="1">K115+K121</f>
        <v>126.51644499980094</v>
      </c>
      <c r="L123" s="210">
        <f ca="1">ROUND(K123/F123,5)</f>
        <v>3.0000000000000001E-5</v>
      </c>
      <c r="M123" s="213"/>
      <c r="N123" s="213"/>
    </row>
    <row r="124" spans="1:15" x14ac:dyDescent="0.2">
      <c r="A124" s="114"/>
      <c r="B124" s="130"/>
      <c r="C124" s="224"/>
      <c r="D124" s="225"/>
      <c r="E124" s="226"/>
      <c r="F124" s="135"/>
      <c r="G124" s="225"/>
      <c r="H124" s="227"/>
      <c r="I124" s="235"/>
      <c r="J124" s="228"/>
      <c r="K124" s="135"/>
      <c r="L124" s="247"/>
      <c r="M124" s="213"/>
      <c r="N124" s="213"/>
    </row>
    <row r="125" spans="1:15" s="114" customFormat="1" x14ac:dyDescent="0.2">
      <c r="B125" s="153"/>
      <c r="C125" s="153"/>
      <c r="D125" s="117"/>
      <c r="E125" s="248"/>
      <c r="F125" s="177"/>
      <c r="G125" s="117"/>
      <c r="H125" s="170"/>
      <c r="I125" s="237"/>
      <c r="J125" s="229"/>
      <c r="K125" s="177"/>
      <c r="L125" s="250"/>
      <c r="M125" s="213"/>
      <c r="N125" s="213"/>
    </row>
    <row r="126" spans="1:15" s="114" customFormat="1" x14ac:dyDescent="0.2">
      <c r="B126" s="153"/>
      <c r="C126" s="153"/>
      <c r="D126" s="117"/>
      <c r="E126" s="147"/>
      <c r="F126" s="177"/>
      <c r="G126" s="117"/>
      <c r="H126" s="170"/>
      <c r="I126" s="237"/>
      <c r="J126" s="229"/>
      <c r="K126" s="177"/>
      <c r="L126" s="250"/>
      <c r="M126" s="213"/>
      <c r="N126" s="213"/>
    </row>
    <row r="127" spans="1:15" x14ac:dyDescent="0.2">
      <c r="B127" s="103" t="s">
        <v>136</v>
      </c>
      <c r="C127" s="205"/>
      <c r="D127" s="255"/>
      <c r="E127" s="206"/>
      <c r="F127" s="105"/>
      <c r="G127" s="255"/>
      <c r="H127" s="208"/>
      <c r="I127" s="157"/>
      <c r="J127" s="209"/>
      <c r="K127" s="105"/>
      <c r="L127" s="210"/>
      <c r="M127" s="213"/>
      <c r="N127" s="213"/>
      <c r="O127" s="114"/>
    </row>
    <row r="128" spans="1:15" x14ac:dyDescent="0.2">
      <c r="B128" s="173"/>
      <c r="C128" s="114"/>
      <c r="D128" s="117"/>
      <c r="E128" s="126"/>
      <c r="F128" s="148"/>
      <c r="H128" s="170"/>
      <c r="I128" s="232"/>
      <c r="J128" s="118"/>
      <c r="K128" s="148"/>
      <c r="L128" s="211"/>
      <c r="M128" s="213"/>
      <c r="N128" s="213"/>
      <c r="O128" s="41" t="s">
        <v>137</v>
      </c>
    </row>
    <row r="129" spans="2:17" x14ac:dyDescent="0.2">
      <c r="B129" s="163" t="s">
        <v>73</v>
      </c>
      <c r="C129" s="212" t="s">
        <v>74</v>
      </c>
      <c r="D129" s="111">
        <f ca="1">'[61](C) Norm Rev at 2018TR Rates'!$R$897</f>
        <v>60.025001175986063</v>
      </c>
      <c r="E129" s="112">
        <f ca="1">'[61]Rate Design Int &amp; Trans_TR'!$H$130</f>
        <v>557.39</v>
      </c>
      <c r="F129" s="148">
        <f ca="1">ROUND(D129*E129,2)</f>
        <v>33457.339999999997</v>
      </c>
      <c r="H129" s="112">
        <f>'Current ERF Rates'!I114</f>
        <v>606.5</v>
      </c>
      <c r="I129" s="232">
        <f ca="1">ROUND(D129*H129,2)</f>
        <v>36405.160000000003</v>
      </c>
      <c r="J129" s="118"/>
      <c r="K129" s="148">
        <f ca="1">I129-F129</f>
        <v>2947.820000000007</v>
      </c>
      <c r="L129" s="119"/>
      <c r="M129" s="213"/>
      <c r="N129" s="213"/>
      <c r="O129" s="343">
        <f ca="1">'Rate Spread'!N18</f>
        <v>1416494.3019428775</v>
      </c>
      <c r="Q129" s="87">
        <f ca="1">H129/E129-1</f>
        <v>8.8107070453363079E-2</v>
      </c>
    </row>
    <row r="130" spans="2:17" x14ac:dyDescent="0.2">
      <c r="B130" s="173" t="s">
        <v>102</v>
      </c>
      <c r="C130" s="114" t="s">
        <v>103</v>
      </c>
      <c r="D130" s="111">
        <f ca="1">'[61](C) Norm Rev at 2018TR Rates'!$R$970</f>
        <v>0</v>
      </c>
      <c r="E130" s="112">
        <f ca="1">'[61]Rate Design Int &amp; Trans_TR'!$H$131</f>
        <v>1.38</v>
      </c>
      <c r="F130" s="148">
        <f ca="1">ROUND(D130*E130,2)</f>
        <v>0</v>
      </c>
      <c r="H130" s="112">
        <f>'Rate Design Targets'!E10</f>
        <v>1.45</v>
      </c>
      <c r="I130" s="232">
        <f ca="1">ROUND(D130*H130,2)</f>
        <v>0</v>
      </c>
      <c r="J130" s="118"/>
      <c r="K130" s="148">
        <f ca="1">I130-F130</f>
        <v>0</v>
      </c>
      <c r="L130" s="119"/>
      <c r="M130" s="213"/>
      <c r="N130" s="213"/>
      <c r="O130" s="116" t="s">
        <v>77</v>
      </c>
      <c r="Q130" s="87">
        <f ca="1">H130/E130-1</f>
        <v>5.0724637681159424E-2</v>
      </c>
    </row>
    <row r="131" spans="2:17" x14ac:dyDescent="0.2">
      <c r="B131" s="173" t="s">
        <v>95</v>
      </c>
      <c r="C131" s="114"/>
      <c r="D131" s="117">
        <f ca="1">D141</f>
        <v>22881723.659000002</v>
      </c>
      <c r="E131" s="115">
        <f ca="1">'[61]Rate Design Int &amp; Trans_TR'!$H$132</f>
        <v>5.94E-3</v>
      </c>
      <c r="F131" s="148">
        <f ca="1">ROUND(D131*E131,2)</f>
        <v>135917.44</v>
      </c>
      <c r="H131" s="147">
        <f ca="1">ROUND(E131*(1+$O$133),5)</f>
        <v>8.0000000000000002E-3</v>
      </c>
      <c r="I131" s="148">
        <f ca="1">ROUND(D131*H131,2)</f>
        <v>183053.79</v>
      </c>
      <c r="J131" s="118"/>
      <c r="K131" s="148">
        <f ca="1">I131-F131</f>
        <v>47136.350000000006</v>
      </c>
      <c r="L131" s="119"/>
      <c r="M131" s="213"/>
      <c r="N131" s="213"/>
      <c r="O131" s="214">
        <f ca="1">+K141+K164-O129</f>
        <v>-56.211942877154797</v>
      </c>
      <c r="Q131" s="87">
        <f ca="1">H131/E131-1</f>
        <v>0.34680134680134689</v>
      </c>
    </row>
    <row r="132" spans="2:17" x14ac:dyDescent="0.2">
      <c r="B132" s="142" t="s">
        <v>123</v>
      </c>
      <c r="C132" s="153"/>
      <c r="D132" s="117"/>
      <c r="E132" s="112"/>
      <c r="F132" s="215">
        <f ca="1">'[61](C) Norm Rev at 2018TR Rates'!$R$666+'[61](C) Norm Rev at 2018TR Rates'!$R$722</f>
        <v>34827.85</v>
      </c>
      <c r="H132" s="147" t="s">
        <v>60</v>
      </c>
      <c r="I132" s="232">
        <f ca="1">F132</f>
        <v>34827.85</v>
      </c>
      <c r="J132" s="118"/>
      <c r="K132" s="148">
        <f ca="1">I132-F132</f>
        <v>0</v>
      </c>
      <c r="L132" s="119"/>
      <c r="M132" s="213"/>
      <c r="N132" s="213"/>
      <c r="O132" s="251"/>
    </row>
    <row r="133" spans="2:17" x14ac:dyDescent="0.2">
      <c r="B133" s="173"/>
      <c r="C133" s="114"/>
      <c r="D133" s="117"/>
      <c r="E133" s="233"/>
      <c r="F133" s="148"/>
      <c r="H133" s="147"/>
      <c r="I133" s="232"/>
      <c r="J133" s="118"/>
      <c r="K133" s="253"/>
      <c r="L133" s="119"/>
      <c r="M133" s="213"/>
      <c r="N133" s="213"/>
      <c r="O133" s="47">
        <v>0.34699999999999998</v>
      </c>
    </row>
    <row r="134" spans="2:17" x14ac:dyDescent="0.2">
      <c r="B134" s="173" t="s">
        <v>104</v>
      </c>
      <c r="C134" s="114"/>
      <c r="D134" s="117"/>
      <c r="E134" s="233"/>
      <c r="F134" s="148"/>
      <c r="H134" s="147"/>
      <c r="I134" s="232"/>
      <c r="J134" s="118"/>
      <c r="K134" s="253"/>
      <c r="L134" s="119"/>
      <c r="M134" s="213"/>
      <c r="N134" s="213"/>
      <c r="O134" s="252"/>
      <c r="P134" s="286"/>
      <c r="Q134" s="286"/>
    </row>
    <row r="135" spans="2:17" x14ac:dyDescent="0.2">
      <c r="B135" s="173" t="s">
        <v>124</v>
      </c>
      <c r="C135" s="114" t="s">
        <v>76</v>
      </c>
      <c r="D135" s="111">
        <f ca="1">'[61](C) Norm Rev at 2018TR Rates'!R639+'[61](C) Norm Rev at 2018TR Rates'!R695</f>
        <v>1500625.1839999999</v>
      </c>
      <c r="E135" s="115">
        <f ca="1">'[61]Rate Design Int &amp; Trans_TR'!$H$136</f>
        <v>0.1391</v>
      </c>
      <c r="F135" s="148">
        <f t="shared" ref="F135:F140" ca="1" si="0">ROUND(D135*E135,2)</f>
        <v>208736.96</v>
      </c>
      <c r="H135" s="147">
        <f t="shared" ref="H135:H140" ca="1" si="1">ROUND(E135*(1+$O$133),5)</f>
        <v>0.18737000000000001</v>
      </c>
      <c r="I135" s="232">
        <f t="shared" ref="I135:I140" ca="1" si="2">ROUND(D135*H135,2)</f>
        <v>281172.14</v>
      </c>
      <c r="J135" s="118"/>
      <c r="K135" s="148">
        <f t="shared" ref="K135:K140" ca="1" si="3">I135-F135</f>
        <v>72435.180000000022</v>
      </c>
      <c r="L135" s="119"/>
      <c r="M135" s="213"/>
      <c r="N135" s="213"/>
      <c r="O135" s="253"/>
      <c r="P135" s="254"/>
      <c r="Q135" s="87">
        <f t="shared" ref="Q135:Q140" ca="1" si="4">H135/E135-1</f>
        <v>0.34701653486700224</v>
      </c>
    </row>
    <row r="136" spans="2:17" x14ac:dyDescent="0.2">
      <c r="B136" s="173" t="s">
        <v>125</v>
      </c>
      <c r="C136" s="114" t="s">
        <v>76</v>
      </c>
      <c r="D136" s="111">
        <f ca="1">'[61](C) Norm Rev at 2018TR Rates'!R640+'[61](C) Norm Rev at 2018TR Rates'!R696</f>
        <v>1470839.4029999999</v>
      </c>
      <c r="E136" s="115">
        <f ca="1">'[61]Rate Design Int &amp; Trans_TR'!$H$137</f>
        <v>8.4059999999999996E-2</v>
      </c>
      <c r="F136" s="148">
        <f t="shared" ca="1" si="0"/>
        <v>123638.76</v>
      </c>
      <c r="H136" s="147">
        <f t="shared" ca="1" si="1"/>
        <v>0.11323</v>
      </c>
      <c r="I136" s="232">
        <f t="shared" ca="1" si="2"/>
        <v>166543.15</v>
      </c>
      <c r="J136" s="118"/>
      <c r="K136" s="148">
        <f t="shared" ca="1" si="3"/>
        <v>42904.39</v>
      </c>
      <c r="L136" s="119"/>
      <c r="M136" s="213"/>
      <c r="N136" s="213"/>
      <c r="O136" s="167"/>
      <c r="P136" s="114"/>
      <c r="Q136" s="87">
        <f t="shared" ca="1" si="4"/>
        <v>0.34701403759219618</v>
      </c>
    </row>
    <row r="137" spans="2:17" x14ac:dyDescent="0.2">
      <c r="B137" s="173" t="s">
        <v>128</v>
      </c>
      <c r="C137" s="114" t="s">
        <v>76</v>
      </c>
      <c r="D137" s="111">
        <f ca="1">'[61](C) Norm Rev at 2018TR Rates'!R641+'[61](C) Norm Rev at 2018TR Rates'!R697</f>
        <v>2603460.2510000002</v>
      </c>
      <c r="E137" s="115">
        <f ca="1">'[61]Rate Design Int &amp; Trans_TR'!$H$138</f>
        <v>5.3490000000000003E-2</v>
      </c>
      <c r="F137" s="148">
        <f t="shared" ca="1" si="0"/>
        <v>139259.09</v>
      </c>
      <c r="H137" s="147">
        <f t="shared" ca="1" si="1"/>
        <v>7.2050000000000003E-2</v>
      </c>
      <c r="I137" s="232">
        <f t="shared" ca="1" si="2"/>
        <v>187579.31</v>
      </c>
      <c r="J137" s="118"/>
      <c r="K137" s="148">
        <f t="shared" ca="1" si="3"/>
        <v>48320.22</v>
      </c>
      <c r="L137" s="211"/>
      <c r="M137" s="213"/>
      <c r="N137" s="213"/>
      <c r="O137" s="212"/>
      <c r="P137" s="212"/>
      <c r="Q137" s="87">
        <f t="shared" ca="1" si="4"/>
        <v>0.34698074406431112</v>
      </c>
    </row>
    <row r="138" spans="2:17" x14ac:dyDescent="0.2">
      <c r="B138" s="173" t="s">
        <v>138</v>
      </c>
      <c r="C138" s="114" t="s">
        <v>76</v>
      </c>
      <c r="D138" s="111">
        <f ca="1">'[61](C) Norm Rev at 2018TR Rates'!R642+'[61](C) Norm Rev at 2018TR Rates'!R698</f>
        <v>3197116.5289999996</v>
      </c>
      <c r="E138" s="115">
        <f ca="1">'[61]Rate Design Int &amp; Trans_TR'!$H$139</f>
        <v>3.4299999999999997E-2</v>
      </c>
      <c r="F138" s="148">
        <f t="shared" ca="1" si="0"/>
        <v>109661.1</v>
      </c>
      <c r="H138" s="147">
        <f t="shared" ca="1" si="1"/>
        <v>4.6199999999999998E-2</v>
      </c>
      <c r="I138" s="232">
        <f t="shared" ca="1" si="2"/>
        <v>147706.78</v>
      </c>
      <c r="J138" s="118"/>
      <c r="K138" s="148">
        <f t="shared" ca="1" si="3"/>
        <v>38045.679999999993</v>
      </c>
      <c r="L138" s="211"/>
      <c r="M138" s="213"/>
      <c r="N138" s="213"/>
      <c r="O138" s="114"/>
      <c r="P138" s="114"/>
      <c r="Q138" s="87">
        <f t="shared" ca="1" si="4"/>
        <v>0.34693877551020424</v>
      </c>
    </row>
    <row r="139" spans="2:17" x14ac:dyDescent="0.2">
      <c r="B139" s="173" t="s">
        <v>139</v>
      </c>
      <c r="C139" s="114" t="s">
        <v>76</v>
      </c>
      <c r="D139" s="111">
        <f ca="1">'[61](C) Norm Rev at 2018TR Rates'!R643+'[61](C) Norm Rev at 2018TR Rates'!R699</f>
        <v>3739136.7420000001</v>
      </c>
      <c r="E139" s="115">
        <f ca="1">'[61]Rate Design Int &amp; Trans_TR'!$H$140</f>
        <v>2.4680000000000001E-2</v>
      </c>
      <c r="F139" s="148">
        <f t="shared" ca="1" si="0"/>
        <v>92281.89</v>
      </c>
      <c r="H139" s="147">
        <f t="shared" ca="1" si="1"/>
        <v>3.3239999999999999E-2</v>
      </c>
      <c r="I139" s="232">
        <f t="shared" ca="1" si="2"/>
        <v>124288.91</v>
      </c>
      <c r="J139" s="118"/>
      <c r="K139" s="148">
        <f t="shared" ca="1" si="3"/>
        <v>32007.020000000004</v>
      </c>
      <c r="L139" s="211"/>
      <c r="M139" s="213"/>
      <c r="N139" s="213"/>
      <c r="P139" s="114"/>
      <c r="Q139" s="87">
        <f t="shared" ca="1" si="4"/>
        <v>0.3468395461912479</v>
      </c>
    </row>
    <row r="140" spans="2:17" x14ac:dyDescent="0.2">
      <c r="B140" s="173" t="s">
        <v>140</v>
      </c>
      <c r="C140" s="114" t="s">
        <v>76</v>
      </c>
      <c r="D140" s="111">
        <f ca="1">'[61](C) Norm Rev at 2018TR Rates'!R644+'[61](C) Norm Rev at 2018TR Rates'!R700</f>
        <v>10370545.550000001</v>
      </c>
      <c r="E140" s="115">
        <f ca="1">'[61]Rate Design Int &amp; Trans_TR'!$H$141</f>
        <v>1.9029999999999998E-2</v>
      </c>
      <c r="F140" s="148">
        <f t="shared" ca="1" si="0"/>
        <v>197351.48</v>
      </c>
      <c r="H140" s="147">
        <f t="shared" ca="1" si="1"/>
        <v>2.563E-2</v>
      </c>
      <c r="I140" s="232">
        <f t="shared" ca="1" si="2"/>
        <v>265797.08</v>
      </c>
      <c r="J140" s="118"/>
      <c r="K140" s="148">
        <f t="shared" ca="1" si="3"/>
        <v>68445.600000000006</v>
      </c>
      <c r="L140" s="211"/>
      <c r="M140" s="213"/>
      <c r="N140" s="213"/>
      <c r="O140" s="114"/>
      <c r="P140" s="212"/>
      <c r="Q140" s="87">
        <f t="shared" ca="1" si="4"/>
        <v>0.34682080924855496</v>
      </c>
    </row>
    <row r="141" spans="2:17" x14ac:dyDescent="0.2">
      <c r="B141" s="163" t="s">
        <v>81</v>
      </c>
      <c r="C141" s="114" t="s">
        <v>76</v>
      </c>
      <c r="D141" s="255">
        <f ca="1">SUM(D135:D140)</f>
        <v>22881723.659000002</v>
      </c>
      <c r="E141" s="245"/>
      <c r="F141" s="157">
        <f ca="1">SUM(F129:F140)</f>
        <v>1075131.9099999999</v>
      </c>
      <c r="H141" s="170"/>
      <c r="I141" s="157">
        <f ca="1">SUM(I129:I140)</f>
        <v>1427374.1700000002</v>
      </c>
      <c r="J141" s="118"/>
      <c r="K141" s="157">
        <f ca="1">I141-F141</f>
        <v>352242.26000000024</v>
      </c>
      <c r="L141" s="210">
        <f ca="1">K141/F141</f>
        <v>0.32762701648395898</v>
      </c>
      <c r="M141" s="213"/>
      <c r="N141" s="213"/>
      <c r="O141" s="114"/>
      <c r="P141" s="256"/>
      <c r="Q141" s="179"/>
    </row>
    <row r="142" spans="2:17" x14ac:dyDescent="0.2">
      <c r="B142" s="163"/>
      <c r="C142" s="212"/>
      <c r="D142" s="117"/>
      <c r="E142" s="245"/>
      <c r="F142" s="148"/>
      <c r="H142" s="170"/>
      <c r="I142" s="232"/>
      <c r="J142" s="118"/>
      <c r="K142" s="148"/>
      <c r="L142" s="110"/>
      <c r="M142" s="213"/>
      <c r="N142" s="223"/>
      <c r="O142" s="257"/>
      <c r="P142" s="114"/>
      <c r="Q142" s="117"/>
    </row>
    <row r="143" spans="2:17" x14ac:dyDescent="0.2">
      <c r="B143" s="173" t="s">
        <v>78</v>
      </c>
      <c r="C143" s="212"/>
      <c r="D143" s="117"/>
      <c r="E143" s="245"/>
      <c r="F143" s="148"/>
      <c r="H143" s="170"/>
      <c r="I143" s="232"/>
      <c r="J143" s="118"/>
      <c r="K143" s="148"/>
      <c r="L143" s="110"/>
      <c r="M143" s="213"/>
      <c r="N143" s="213"/>
      <c r="O143" s="212"/>
      <c r="P143" s="212"/>
      <c r="Q143" s="153"/>
    </row>
    <row r="144" spans="2:17" x14ac:dyDescent="0.2">
      <c r="B144" s="173" t="s">
        <v>110</v>
      </c>
      <c r="C144" s="114" t="s">
        <v>76</v>
      </c>
      <c r="D144" s="221">
        <f ca="1">D141</f>
        <v>22881723.659000002</v>
      </c>
      <c r="E144" s="115">
        <f ca="1">'[61](C) Norm Rev at 2018TR Rates'!$Q$626</f>
        <v>0.27044000000000001</v>
      </c>
      <c r="F144" s="232">
        <f ca="1">+E144*D144</f>
        <v>6188133.3463399606</v>
      </c>
      <c r="G144" s="222"/>
      <c r="H144" s="319">
        <f ca="1">E144</f>
        <v>0.27044000000000001</v>
      </c>
      <c r="I144" s="232">
        <f ca="1">+H144*D144</f>
        <v>6188133.3463399606</v>
      </c>
      <c r="J144" s="118"/>
      <c r="K144" s="148">
        <f ca="1">I144-F144</f>
        <v>0</v>
      </c>
      <c r="L144" s="211"/>
      <c r="M144" s="213"/>
      <c r="N144" s="213"/>
      <c r="O144" s="114"/>
      <c r="P144" s="114"/>
      <c r="Q144" s="153"/>
    </row>
    <row r="145" spans="1:17" x14ac:dyDescent="0.2">
      <c r="B145" s="173" t="s">
        <v>102</v>
      </c>
      <c r="C145" s="114" t="s">
        <v>103</v>
      </c>
      <c r="D145" s="221">
        <f ca="1">D130</f>
        <v>0</v>
      </c>
      <c r="E145" s="112">
        <f ca="1">'[61](C) Norm Rev at 2018TR Rates'!$Q$631</f>
        <v>1.05</v>
      </c>
      <c r="F145" s="232">
        <f ca="1">D145*E145</f>
        <v>0</v>
      </c>
      <c r="G145" s="222"/>
      <c r="H145" s="320">
        <f ca="1">E145</f>
        <v>1.05</v>
      </c>
      <c r="I145" s="232">
        <f ca="1">D145*H145</f>
        <v>0</v>
      </c>
      <c r="J145" s="118"/>
      <c r="K145" s="148">
        <f ca="1">I145-F145</f>
        <v>0</v>
      </c>
      <c r="L145" s="110"/>
      <c r="M145" s="213"/>
      <c r="N145" s="213"/>
      <c r="O145" s="212"/>
      <c r="P145" s="212"/>
      <c r="Q145" s="153"/>
    </row>
    <row r="146" spans="1:17" x14ac:dyDescent="0.2">
      <c r="B146" s="163" t="s">
        <v>111</v>
      </c>
      <c r="C146" s="212"/>
      <c r="D146" s="153"/>
      <c r="E146" s="164"/>
      <c r="F146" s="157">
        <f ca="1">SUM(F144:F145)</f>
        <v>6188133.3463399606</v>
      </c>
      <c r="G146" s="153"/>
      <c r="H146" s="170"/>
      <c r="I146" s="157">
        <f ca="1">SUM(I144:I145)</f>
        <v>6188133.3463399606</v>
      </c>
      <c r="J146" s="157"/>
      <c r="K146" s="157">
        <f ca="1">I146-F146</f>
        <v>0</v>
      </c>
      <c r="L146" s="210">
        <f ca="1">ROUND(K146/F146,5)</f>
        <v>0</v>
      </c>
      <c r="M146" s="213"/>
      <c r="N146" s="213"/>
      <c r="O146" s="114"/>
      <c r="P146" s="114"/>
      <c r="Q146" s="153"/>
    </row>
    <row r="147" spans="1:17" x14ac:dyDescent="0.2">
      <c r="B147" s="173"/>
      <c r="C147" s="114"/>
      <c r="D147" s="117"/>
      <c r="E147" s="164"/>
      <c r="F147" s="232"/>
      <c r="H147" s="170"/>
      <c r="I147" s="232"/>
      <c r="J147" s="232"/>
      <c r="K147" s="148"/>
      <c r="L147" s="110"/>
      <c r="M147" s="213"/>
      <c r="N147" s="213"/>
      <c r="O147" s="212"/>
      <c r="P147" s="114"/>
      <c r="Q147" s="117"/>
    </row>
    <row r="148" spans="1:17" x14ac:dyDescent="0.2">
      <c r="B148" s="173" t="s">
        <v>79</v>
      </c>
      <c r="C148" s="114"/>
      <c r="D148" s="117"/>
      <c r="E148" s="164"/>
      <c r="F148" s="157">
        <f ca="1">F141+F146</f>
        <v>7263265.2563399607</v>
      </c>
      <c r="H148" s="170"/>
      <c r="I148" s="157">
        <f ca="1">I141+I146</f>
        <v>7615507.5163399605</v>
      </c>
      <c r="J148" s="118"/>
      <c r="K148" s="157">
        <f ca="1">K141+K146</f>
        <v>352242.26000000024</v>
      </c>
      <c r="L148" s="210">
        <f ca="1">K148/F148</f>
        <v>4.8496405895755344E-2</v>
      </c>
      <c r="M148" s="213"/>
      <c r="N148" s="213"/>
      <c r="O148" s="114"/>
      <c r="P148" s="114"/>
      <c r="Q148" s="117"/>
    </row>
    <row r="149" spans="1:17" x14ac:dyDescent="0.2">
      <c r="A149" s="114"/>
      <c r="B149" s="130"/>
      <c r="C149" s="224"/>
      <c r="D149" s="225"/>
      <c r="E149" s="240"/>
      <c r="F149" s="176"/>
      <c r="G149" s="225"/>
      <c r="H149" s="227"/>
      <c r="I149" s="235"/>
      <c r="J149" s="228"/>
      <c r="K149" s="135"/>
      <c r="L149" s="247"/>
      <c r="M149" s="213"/>
      <c r="N149" s="213"/>
      <c r="O149" s="212"/>
      <c r="P149" s="114"/>
      <c r="Q149" s="117"/>
    </row>
    <row r="150" spans="1:17" x14ac:dyDescent="0.2">
      <c r="A150" s="114"/>
      <c r="B150" s="114"/>
      <c r="C150" s="114"/>
      <c r="D150" s="117"/>
      <c r="E150" s="147"/>
      <c r="F150" s="177"/>
      <c r="H150" s="170"/>
      <c r="I150" s="232"/>
      <c r="J150" s="118"/>
      <c r="K150" s="148"/>
      <c r="L150" s="249"/>
      <c r="M150" s="213"/>
      <c r="N150" s="213"/>
      <c r="O150" s="114"/>
      <c r="P150" s="114"/>
      <c r="Q150" s="117"/>
    </row>
    <row r="151" spans="1:17" x14ac:dyDescent="0.2">
      <c r="A151" s="114"/>
      <c r="B151" s="103" t="s">
        <v>141</v>
      </c>
      <c r="C151" s="205"/>
      <c r="D151" s="255"/>
      <c r="E151" s="206"/>
      <c r="F151" s="105"/>
      <c r="G151" s="255"/>
      <c r="H151" s="208"/>
      <c r="I151" s="157"/>
      <c r="J151" s="209"/>
      <c r="K151" s="105"/>
      <c r="L151" s="210"/>
      <c r="M151" s="213"/>
      <c r="N151" s="213"/>
      <c r="O151" s="114"/>
      <c r="P151" s="114"/>
      <c r="Q151" s="117"/>
    </row>
    <row r="152" spans="1:17" x14ac:dyDescent="0.2">
      <c r="A152" s="114"/>
      <c r="B152" s="173"/>
      <c r="C152" s="114"/>
      <c r="D152" s="117"/>
      <c r="E152" s="126"/>
      <c r="F152" s="148"/>
      <c r="H152" s="170"/>
      <c r="I152" s="232"/>
      <c r="J152" s="118"/>
      <c r="K152" s="148"/>
      <c r="L152" s="211"/>
      <c r="M152" s="213"/>
      <c r="N152" s="213"/>
      <c r="O152" s="114"/>
      <c r="P152" s="114"/>
      <c r="Q152" s="117"/>
    </row>
    <row r="153" spans="1:17" x14ac:dyDescent="0.2">
      <c r="A153" s="114"/>
      <c r="B153" s="163" t="s">
        <v>73</v>
      </c>
      <c r="C153" s="212" t="s">
        <v>74</v>
      </c>
      <c r="D153" s="111">
        <f ca="1">'[61](C) Norm Rev at 2018TR Rates'!$R$901</f>
        <v>118.76667017913593</v>
      </c>
      <c r="E153" s="112">
        <f ca="1">'[61]Rate Design Int &amp; Trans_TR'!$H$154</f>
        <v>891.83</v>
      </c>
      <c r="F153" s="148">
        <f ca="1">ROUND(D153*E153,2)</f>
        <v>105919.67999999999</v>
      </c>
      <c r="H153" s="112">
        <f>'Current ERF Rates'!I130</f>
        <v>918.31</v>
      </c>
      <c r="I153" s="232">
        <f ca="1">ROUND(D153*H153,2)</f>
        <v>109064.62</v>
      </c>
      <c r="J153" s="118"/>
      <c r="K153" s="148">
        <f ca="1">I153-F153</f>
        <v>3144.9400000000023</v>
      </c>
      <c r="L153" s="119"/>
      <c r="M153" s="213"/>
      <c r="N153" s="213"/>
      <c r="O153" s="114"/>
      <c r="P153" s="114"/>
      <c r="Q153" s="87">
        <f ca="1">H153/E153-1</f>
        <v>2.9691757397710239E-2</v>
      </c>
    </row>
    <row r="154" spans="1:17" x14ac:dyDescent="0.2">
      <c r="A154" s="114"/>
      <c r="B154" s="173" t="s">
        <v>102</v>
      </c>
      <c r="C154" s="114" t="s">
        <v>103</v>
      </c>
      <c r="D154" s="111">
        <f ca="1">'[61](C) Norm Rev at 2018TR Rates'!$R$982</f>
        <v>308558</v>
      </c>
      <c r="E154" s="112">
        <f ca="1">'[61]Rate Design Int &amp; Trans_TR'!$H$155</f>
        <v>1.38</v>
      </c>
      <c r="F154" s="148">
        <f ca="1">ROUND(D154*E154,2)</f>
        <v>425810.04</v>
      </c>
      <c r="H154" s="170">
        <f>H130</f>
        <v>1.45</v>
      </c>
      <c r="I154" s="232">
        <f ca="1">ROUND(D154*H154,2)</f>
        <v>447409.1</v>
      </c>
      <c r="J154" s="118"/>
      <c r="K154" s="148">
        <f ca="1">I154-F154</f>
        <v>21599.059999999998</v>
      </c>
      <c r="L154" s="119"/>
      <c r="M154" s="213"/>
      <c r="N154" s="213"/>
      <c r="Q154" s="87">
        <f ca="1">H154/E154-1</f>
        <v>5.0724637681159424E-2</v>
      </c>
    </row>
    <row r="155" spans="1:17" x14ac:dyDescent="0.2">
      <c r="A155" s="114"/>
      <c r="B155" s="173" t="s">
        <v>123</v>
      </c>
      <c r="C155" s="114"/>
      <c r="D155" s="111"/>
      <c r="E155" s="112"/>
      <c r="F155" s="215">
        <f ca="1">'[61](C) Norm Rev at 2018TR Rates'!$R$769+'[61](C) Norm Rev at 2018TR Rates'!$R$815</f>
        <v>0</v>
      </c>
      <c r="H155" s="170"/>
      <c r="I155" s="232">
        <f ca="1">F155</f>
        <v>0</v>
      </c>
      <c r="J155" s="118"/>
      <c r="K155" s="253"/>
      <c r="L155" s="119"/>
      <c r="M155" s="213"/>
      <c r="N155" s="213"/>
    </row>
    <row r="156" spans="1:17" x14ac:dyDescent="0.2">
      <c r="A156" s="114"/>
      <c r="B156" s="142"/>
      <c r="C156" s="114"/>
      <c r="D156" s="111"/>
      <c r="E156" s="115"/>
      <c r="F156" s="148"/>
      <c r="H156" s="141"/>
      <c r="I156" s="232"/>
      <c r="J156" s="118"/>
      <c r="K156" s="253"/>
      <c r="L156" s="119"/>
      <c r="M156" s="213"/>
      <c r="N156" s="213"/>
    </row>
    <row r="157" spans="1:17" x14ac:dyDescent="0.2">
      <c r="A157" s="114"/>
      <c r="B157" s="173" t="s">
        <v>104</v>
      </c>
      <c r="C157" s="114"/>
      <c r="D157" s="111"/>
      <c r="E157" s="233"/>
      <c r="F157" s="148"/>
      <c r="H157" s="147"/>
      <c r="I157" s="232"/>
      <c r="J157" s="118"/>
      <c r="K157" s="253"/>
      <c r="L157" s="119"/>
      <c r="M157" s="213"/>
      <c r="N157" s="213"/>
    </row>
    <row r="158" spans="1:17" x14ac:dyDescent="0.2">
      <c r="A158" s="114"/>
      <c r="B158" s="173" t="s">
        <v>124</v>
      </c>
      <c r="C158" s="114" t="s">
        <v>76</v>
      </c>
      <c r="D158" s="111">
        <f ca="1">'[61](C) Norm Rev at 2018TR Rates'!R746+'[61](C) Norm Rev at 2018TR Rates'!R792</f>
        <v>3000000</v>
      </c>
      <c r="E158" s="115">
        <f ca="1">'[61]Rate Design Int &amp; Trans_TR'!$H$159</f>
        <v>0.1391</v>
      </c>
      <c r="F158" s="177">
        <f t="shared" ref="F158:F163" ca="1" si="5">ROUND(D158*E158,2)</f>
        <v>417300</v>
      </c>
      <c r="H158" s="147">
        <f t="shared" ref="H158:H163" ca="1" si="6">H135</f>
        <v>0.18737000000000001</v>
      </c>
      <c r="I158" s="232">
        <f t="shared" ref="I158:I163" ca="1" si="7">ROUND(D158*H158,2)</f>
        <v>562110</v>
      </c>
      <c r="J158" s="118"/>
      <c r="K158" s="148">
        <f t="shared" ref="K158:K163" ca="1" si="8">I158-F158</f>
        <v>144810</v>
      </c>
      <c r="L158" s="258"/>
      <c r="M158" s="213"/>
      <c r="N158" s="213"/>
      <c r="Q158" s="87">
        <f t="shared" ref="Q158:Q163" ca="1" si="9">H158/E158-1</f>
        <v>0.34701653486700224</v>
      </c>
    </row>
    <row r="159" spans="1:17" x14ac:dyDescent="0.2">
      <c r="A159" s="114"/>
      <c r="B159" s="173" t="s">
        <v>125</v>
      </c>
      <c r="C159" s="114" t="s">
        <v>76</v>
      </c>
      <c r="D159" s="111">
        <f ca="1">'[61](C) Norm Rev at 2018TR Rates'!R747+'[61](C) Norm Rev at 2018TR Rates'!R793</f>
        <v>3000000</v>
      </c>
      <c r="E159" s="115">
        <f ca="1">'[61]Rate Design Int &amp; Trans_TR'!$H$160</f>
        <v>8.4059999999999996E-2</v>
      </c>
      <c r="F159" s="177">
        <f t="shared" ca="1" si="5"/>
        <v>252180</v>
      </c>
      <c r="H159" s="147">
        <f t="shared" ca="1" si="6"/>
        <v>0.11323</v>
      </c>
      <c r="I159" s="232">
        <f t="shared" ca="1" si="7"/>
        <v>339690</v>
      </c>
      <c r="J159" s="118"/>
      <c r="K159" s="148">
        <f t="shared" ca="1" si="8"/>
        <v>87510</v>
      </c>
      <c r="L159" s="258"/>
      <c r="M159" s="213"/>
      <c r="N159" s="213"/>
      <c r="Q159" s="87">
        <f t="shared" ca="1" si="9"/>
        <v>0.34701403759219618</v>
      </c>
    </row>
    <row r="160" spans="1:17" x14ac:dyDescent="0.2">
      <c r="A160" s="114"/>
      <c r="B160" s="173" t="s">
        <v>128</v>
      </c>
      <c r="C160" s="114" t="s">
        <v>76</v>
      </c>
      <c r="D160" s="111">
        <f ca="1">'[61](C) Norm Rev at 2018TR Rates'!R748+'[61](C) Norm Rev at 2018TR Rates'!R794</f>
        <v>5983755.4799999995</v>
      </c>
      <c r="E160" s="115">
        <f ca="1">'[61]Rate Design Int &amp; Trans_TR'!$H$161</f>
        <v>5.3490000000000003E-2</v>
      </c>
      <c r="F160" s="177">
        <f t="shared" ca="1" si="5"/>
        <v>320071.08</v>
      </c>
      <c r="H160" s="147">
        <f t="shared" ca="1" si="6"/>
        <v>7.2050000000000003E-2</v>
      </c>
      <c r="I160" s="232">
        <f t="shared" ca="1" si="7"/>
        <v>431129.58</v>
      </c>
      <c r="J160" s="118"/>
      <c r="K160" s="148">
        <f t="shared" ca="1" si="8"/>
        <v>111058.5</v>
      </c>
      <c r="L160" s="258"/>
      <c r="M160" s="213"/>
      <c r="N160" s="213"/>
      <c r="Q160" s="87">
        <f t="shared" ca="1" si="9"/>
        <v>0.34698074406431112</v>
      </c>
    </row>
    <row r="161" spans="1:17" x14ac:dyDescent="0.2">
      <c r="A161" s="114"/>
      <c r="B161" s="173" t="s">
        <v>138</v>
      </c>
      <c r="C161" s="114" t="s">
        <v>76</v>
      </c>
      <c r="D161" s="111">
        <f ca="1">'[61](C) Norm Rev at 2018TR Rates'!R749+'[61](C) Norm Rev at 2018TR Rates'!R795</f>
        <v>11737512.85</v>
      </c>
      <c r="E161" s="115">
        <f ca="1">'[61]Rate Design Int &amp; Trans_TR'!$H$162</f>
        <v>3.4299999999999997E-2</v>
      </c>
      <c r="F161" s="177">
        <f t="shared" ca="1" si="5"/>
        <v>402596.69</v>
      </c>
      <c r="H161" s="147">
        <f t="shared" ca="1" si="6"/>
        <v>4.6199999999999998E-2</v>
      </c>
      <c r="I161" s="232">
        <f t="shared" ca="1" si="7"/>
        <v>542273.09</v>
      </c>
      <c r="J161" s="118"/>
      <c r="K161" s="148">
        <f t="shared" ca="1" si="8"/>
        <v>139676.39999999997</v>
      </c>
      <c r="L161" s="258"/>
      <c r="M161" s="213"/>
      <c r="N161" s="213"/>
      <c r="Q161" s="87">
        <f t="shared" ca="1" si="9"/>
        <v>0.34693877551020424</v>
      </c>
    </row>
    <row r="162" spans="1:17" x14ac:dyDescent="0.2">
      <c r="A162" s="114"/>
      <c r="B162" s="173" t="s">
        <v>139</v>
      </c>
      <c r="C162" s="114" t="s">
        <v>76</v>
      </c>
      <c r="D162" s="111">
        <f ca="1">'[61](C) Norm Rev at 2018TR Rates'!R750+'[61](C) Norm Rev at 2018TR Rates'!R796</f>
        <v>26253607.010000002</v>
      </c>
      <c r="E162" s="115">
        <f ca="1">'[61]Rate Design Int &amp; Trans_TR'!$H$163</f>
        <v>2.4680000000000001E-2</v>
      </c>
      <c r="F162" s="177">
        <f t="shared" ca="1" si="5"/>
        <v>647939.02</v>
      </c>
      <c r="H162" s="147">
        <f t="shared" ca="1" si="6"/>
        <v>3.3239999999999999E-2</v>
      </c>
      <c r="I162" s="232">
        <f t="shared" ca="1" si="7"/>
        <v>872669.9</v>
      </c>
      <c r="J162" s="118"/>
      <c r="K162" s="148">
        <f t="shared" ca="1" si="8"/>
        <v>224730.88</v>
      </c>
      <c r="L162" s="258"/>
      <c r="M162" s="213"/>
      <c r="N162" s="213"/>
      <c r="Q162" s="87">
        <f t="shared" ca="1" si="9"/>
        <v>0.3468395461912479</v>
      </c>
    </row>
    <row r="163" spans="1:17" x14ac:dyDescent="0.2">
      <c r="A163" s="114"/>
      <c r="B163" s="173" t="s">
        <v>140</v>
      </c>
      <c r="C163" s="114" t="s">
        <v>76</v>
      </c>
      <c r="D163" s="111">
        <f ca="1">'[61](C) Norm Rev at 2018TR Rates'!R751+'[61](C) Norm Rev at 2018TR Rates'!R797</f>
        <v>50252432.390000001</v>
      </c>
      <c r="E163" s="115">
        <f ca="1">'[61]Rate Design Int &amp; Trans_TR'!$H$164</f>
        <v>1.9029999999999998E-2</v>
      </c>
      <c r="F163" s="177">
        <f t="shared" ca="1" si="5"/>
        <v>956303.79</v>
      </c>
      <c r="H163" s="147">
        <f t="shared" ca="1" si="6"/>
        <v>2.563E-2</v>
      </c>
      <c r="I163" s="232">
        <f t="shared" ca="1" si="7"/>
        <v>1287969.8400000001</v>
      </c>
      <c r="J163" s="118"/>
      <c r="K163" s="148">
        <f t="shared" ca="1" si="8"/>
        <v>331666.05000000005</v>
      </c>
      <c r="L163" s="258"/>
      <c r="M163" s="213"/>
      <c r="N163" s="213"/>
      <c r="Q163" s="87">
        <f t="shared" ca="1" si="9"/>
        <v>0.34682080924855496</v>
      </c>
    </row>
    <row r="164" spans="1:17" x14ac:dyDescent="0.2">
      <c r="A164" s="114"/>
      <c r="B164" s="163" t="s">
        <v>81</v>
      </c>
      <c r="C164" s="114"/>
      <c r="D164" s="255">
        <f ca="1">SUM(D158:D163)</f>
        <v>100227307.73</v>
      </c>
      <c r="E164" s="115"/>
      <c r="F164" s="238">
        <f ca="1">SUM(F153:F163)</f>
        <v>3528120.3</v>
      </c>
      <c r="H164" s="147"/>
      <c r="I164" s="238">
        <f ca="1">SUM(I153:I163)</f>
        <v>4592316.13</v>
      </c>
      <c r="J164" s="118"/>
      <c r="K164" s="238">
        <f ca="1">SUM(K153:K163)</f>
        <v>1064195.83</v>
      </c>
      <c r="L164" s="210">
        <f ca="1">K164/F164</f>
        <v>0.30163252369824239</v>
      </c>
      <c r="M164" s="213"/>
      <c r="N164" s="213"/>
    </row>
    <row r="165" spans="1:17" x14ac:dyDescent="0.2">
      <c r="A165" s="114"/>
      <c r="B165" s="173"/>
      <c r="C165" s="212"/>
      <c r="D165" s="117"/>
      <c r="E165" s="115"/>
      <c r="F165" s="148"/>
      <c r="H165" s="170"/>
      <c r="I165" s="232"/>
      <c r="J165" s="118"/>
      <c r="K165" s="148"/>
      <c r="L165" s="110"/>
      <c r="M165" s="213"/>
      <c r="N165" s="213"/>
    </row>
    <row r="166" spans="1:17" x14ac:dyDescent="0.2">
      <c r="A166" s="114"/>
      <c r="B166" s="163" t="s">
        <v>97</v>
      </c>
      <c r="C166" s="114" t="s">
        <v>76</v>
      </c>
      <c r="D166" s="221">
        <f ca="1">D164</f>
        <v>100227307.73</v>
      </c>
      <c r="E166" s="115">
        <f ca="1">'[61]Rate Design Int &amp; Trans_TR'!$H$167</f>
        <v>6.9999999999999999E-4</v>
      </c>
      <c r="F166" s="232">
        <f ca="1">+E166*D166</f>
        <v>70159.115411000006</v>
      </c>
      <c r="G166" s="222"/>
      <c r="H166" s="139">
        <v>1E-3</v>
      </c>
      <c r="I166" s="232">
        <f ca="1">+H166*D166</f>
        <v>100227.30773</v>
      </c>
      <c r="J166" s="118"/>
      <c r="K166" s="148">
        <f ca="1">I166-F166</f>
        <v>30068.192318999994</v>
      </c>
      <c r="L166" s="211"/>
      <c r="M166" s="213"/>
      <c r="N166" s="213"/>
    </row>
    <row r="167" spans="1:17" x14ac:dyDescent="0.2">
      <c r="A167" s="114"/>
      <c r="B167" s="173" t="s">
        <v>79</v>
      </c>
      <c r="C167" s="114"/>
      <c r="D167" s="117"/>
      <c r="E167" s="164"/>
      <c r="F167" s="157">
        <f ca="1">F166+F164</f>
        <v>3598279.4154109997</v>
      </c>
      <c r="H167" s="170"/>
      <c r="I167" s="157">
        <f ca="1">I166+I164</f>
        <v>4692543.4377299994</v>
      </c>
      <c r="J167" s="118"/>
      <c r="K167" s="157">
        <f ca="1">K166+K164</f>
        <v>1094264.022319</v>
      </c>
      <c r="L167" s="210">
        <f ca="1">K167/F167</f>
        <v>0.30410757364544794</v>
      </c>
      <c r="M167" s="213"/>
      <c r="N167" s="213"/>
      <c r="O167" s="178"/>
    </row>
    <row r="168" spans="1:17" s="114" customFormat="1" x14ac:dyDescent="0.2">
      <c r="B168" s="130"/>
      <c r="C168" s="224"/>
      <c r="D168" s="225"/>
      <c r="E168" s="240"/>
      <c r="F168" s="176"/>
      <c r="G168" s="225"/>
      <c r="H168" s="227"/>
      <c r="I168" s="235"/>
      <c r="J168" s="228"/>
      <c r="K168" s="135"/>
      <c r="L168" s="247"/>
      <c r="M168" s="213"/>
      <c r="N168" s="213"/>
    </row>
    <row r="169" spans="1:17" s="114" customFormat="1" x14ac:dyDescent="0.2">
      <c r="D169" s="117"/>
      <c r="E169" s="147"/>
      <c r="F169" s="177"/>
      <c r="G169" s="117"/>
      <c r="H169" s="170"/>
      <c r="I169" s="232"/>
      <c r="J169" s="118"/>
      <c r="K169" s="148"/>
      <c r="L169" s="249"/>
      <c r="M169" s="213"/>
      <c r="N169" s="213"/>
    </row>
    <row r="170" spans="1:17" x14ac:dyDescent="0.2">
      <c r="A170" s="114"/>
      <c r="B170" s="137" t="s">
        <v>142</v>
      </c>
      <c r="C170" s="259"/>
      <c r="D170" s="255"/>
      <c r="E170" s="260"/>
      <c r="F170" s="122"/>
      <c r="G170" s="255"/>
      <c r="H170" s="208"/>
      <c r="I170" s="238"/>
      <c r="J170" s="261"/>
      <c r="K170" s="122"/>
      <c r="L170" s="218"/>
      <c r="M170" s="213"/>
      <c r="N170" s="213"/>
    </row>
    <row r="171" spans="1:17" x14ac:dyDescent="0.2">
      <c r="A171" s="114"/>
      <c r="B171" s="142"/>
      <c r="C171" s="153"/>
      <c r="D171" s="117"/>
      <c r="E171" s="147"/>
      <c r="F171" s="177"/>
      <c r="H171" s="170"/>
      <c r="I171" s="237"/>
      <c r="J171" s="229"/>
      <c r="K171" s="177"/>
      <c r="L171" s="239"/>
      <c r="M171" s="213"/>
      <c r="N171" s="213"/>
    </row>
    <row r="172" spans="1:17" x14ac:dyDescent="0.2">
      <c r="A172" s="114"/>
      <c r="B172" s="138" t="s">
        <v>73</v>
      </c>
      <c r="C172" s="169" t="s">
        <v>74</v>
      </c>
      <c r="D172" s="117">
        <f ca="1">D153+D129</f>
        <v>178.79167135512199</v>
      </c>
      <c r="E172" s="140"/>
      <c r="F172" s="177">
        <f ca="1">F153+F129</f>
        <v>139377.01999999999</v>
      </c>
      <c r="H172" s="140"/>
      <c r="I172" s="177">
        <f ca="1">I153+I129</f>
        <v>145469.78</v>
      </c>
      <c r="J172" s="229"/>
      <c r="K172" s="237">
        <f ca="1">I172-F172</f>
        <v>6092.7600000000093</v>
      </c>
      <c r="L172" s="262"/>
      <c r="M172" s="213"/>
      <c r="N172" s="213"/>
    </row>
    <row r="173" spans="1:17" x14ac:dyDescent="0.2">
      <c r="A173" s="114"/>
      <c r="B173" s="142" t="s">
        <v>102</v>
      </c>
      <c r="C173" s="153" t="s">
        <v>103</v>
      </c>
      <c r="D173" s="117">
        <f ca="1">D154+D130</f>
        <v>308558</v>
      </c>
      <c r="E173" s="140"/>
      <c r="F173" s="177">
        <f ca="1">F154+F130</f>
        <v>425810.04</v>
      </c>
      <c r="H173" s="140"/>
      <c r="I173" s="177">
        <f ca="1">I154+I130</f>
        <v>447409.1</v>
      </c>
      <c r="J173" s="229"/>
      <c r="K173" s="237">
        <f ca="1">I173-F173</f>
        <v>21599.059999999998</v>
      </c>
      <c r="L173" s="262"/>
      <c r="M173" s="213"/>
      <c r="N173" s="213"/>
    </row>
    <row r="174" spans="1:17" x14ac:dyDescent="0.2">
      <c r="A174" s="114"/>
      <c r="B174" s="142" t="s">
        <v>95</v>
      </c>
      <c r="C174" s="153"/>
      <c r="D174" s="171"/>
      <c r="E174" s="140"/>
      <c r="F174" s="177">
        <f ca="1">F131</f>
        <v>135917.44</v>
      </c>
      <c r="H174" s="140"/>
      <c r="I174" s="177">
        <f ca="1">I131</f>
        <v>183053.79</v>
      </c>
      <c r="J174" s="229"/>
      <c r="K174" s="237">
        <f ca="1">I174-F174</f>
        <v>47136.350000000006</v>
      </c>
      <c r="L174" s="262"/>
      <c r="M174" s="213"/>
      <c r="N174" s="213"/>
    </row>
    <row r="175" spans="1:17" x14ac:dyDescent="0.2">
      <c r="A175" s="114"/>
      <c r="B175" s="142" t="s">
        <v>123</v>
      </c>
      <c r="C175" s="153"/>
      <c r="D175" s="171"/>
      <c r="E175" s="140"/>
      <c r="F175" s="237">
        <f ca="1">F155+F132</f>
        <v>34827.85</v>
      </c>
      <c r="H175" s="170"/>
      <c r="I175" s="237">
        <f ca="1">I155+I132</f>
        <v>34827.85</v>
      </c>
      <c r="J175" s="229"/>
      <c r="K175" s="237">
        <f ca="1">I175-F175</f>
        <v>0</v>
      </c>
      <c r="L175" s="262"/>
      <c r="M175" s="213"/>
      <c r="N175" s="213"/>
    </row>
    <row r="176" spans="1:17" x14ac:dyDescent="0.2">
      <c r="A176" s="114"/>
      <c r="B176" s="142"/>
      <c r="C176" s="153"/>
      <c r="D176" s="117"/>
      <c r="E176" s="170"/>
      <c r="F176" s="263"/>
      <c r="H176" s="147"/>
      <c r="I176" s="263"/>
      <c r="J176" s="229"/>
      <c r="K176" s="237"/>
      <c r="L176" s="262"/>
      <c r="M176" s="213"/>
      <c r="N176" s="213"/>
    </row>
    <row r="177" spans="1:16" ht="12" customHeight="1" x14ac:dyDescent="0.2">
      <c r="A177" s="114"/>
      <c r="B177" s="142" t="s">
        <v>104</v>
      </c>
      <c r="C177" s="153"/>
      <c r="D177" s="117"/>
      <c r="E177" s="170"/>
      <c r="F177" s="177"/>
      <c r="H177" s="147"/>
      <c r="I177" s="177"/>
      <c r="J177" s="229"/>
      <c r="K177" s="237"/>
      <c r="L177" s="262"/>
      <c r="M177" s="213"/>
      <c r="N177" s="213"/>
    </row>
    <row r="178" spans="1:16" x14ac:dyDescent="0.2">
      <c r="A178" s="114"/>
      <c r="B178" s="142" t="s">
        <v>124</v>
      </c>
      <c r="C178" s="153" t="s">
        <v>76</v>
      </c>
      <c r="D178" s="117">
        <f t="shared" ref="D178:D183" ca="1" si="10">D158+D135</f>
        <v>4500625.1840000004</v>
      </c>
      <c r="E178" s="141"/>
      <c r="F178" s="177">
        <f t="shared" ref="F178:F183" ca="1" si="11">F158+F135</f>
        <v>626036.96</v>
      </c>
      <c r="H178" s="141"/>
      <c r="I178" s="177">
        <f t="shared" ref="I178:I183" ca="1" si="12">I158+I135</f>
        <v>843282.14</v>
      </c>
      <c r="J178" s="229"/>
      <c r="K178" s="237">
        <f t="shared" ref="K178:K183" ca="1" si="13">I178-F178</f>
        <v>217245.18000000005</v>
      </c>
      <c r="L178" s="262"/>
      <c r="M178" s="213"/>
      <c r="N178" s="213"/>
    </row>
    <row r="179" spans="1:16" x14ac:dyDescent="0.2">
      <c r="A179" s="114"/>
      <c r="B179" s="142" t="s">
        <v>125</v>
      </c>
      <c r="C179" s="153" t="s">
        <v>76</v>
      </c>
      <c r="D179" s="117">
        <f t="shared" ca="1" si="10"/>
        <v>4470839.4029999999</v>
      </c>
      <c r="E179" s="141"/>
      <c r="F179" s="177">
        <f t="shared" ca="1" si="11"/>
        <v>375818.76</v>
      </c>
      <c r="H179" s="141"/>
      <c r="I179" s="177">
        <f t="shared" ca="1" si="12"/>
        <v>506233.15</v>
      </c>
      <c r="J179" s="229"/>
      <c r="K179" s="237">
        <f t="shared" ca="1" si="13"/>
        <v>130414.39000000001</v>
      </c>
      <c r="L179" s="262"/>
      <c r="M179" s="213"/>
      <c r="N179" s="213"/>
    </row>
    <row r="180" spans="1:16" x14ac:dyDescent="0.2">
      <c r="A180" s="114"/>
      <c r="B180" s="142" t="s">
        <v>128</v>
      </c>
      <c r="C180" s="153" t="s">
        <v>76</v>
      </c>
      <c r="D180" s="117">
        <f t="shared" ca="1" si="10"/>
        <v>8587215.7309999987</v>
      </c>
      <c r="E180" s="141"/>
      <c r="F180" s="177">
        <f t="shared" ca="1" si="11"/>
        <v>459330.17000000004</v>
      </c>
      <c r="H180" s="141"/>
      <c r="I180" s="177">
        <f t="shared" ca="1" si="12"/>
        <v>618708.89</v>
      </c>
      <c r="J180" s="229"/>
      <c r="K180" s="237">
        <f t="shared" ca="1" si="13"/>
        <v>159378.71999999997</v>
      </c>
      <c r="L180" s="239"/>
      <c r="M180" s="213"/>
      <c r="N180" s="213"/>
    </row>
    <row r="181" spans="1:16" x14ac:dyDescent="0.2">
      <c r="A181" s="114"/>
      <c r="B181" s="142" t="s">
        <v>138</v>
      </c>
      <c r="C181" s="153" t="s">
        <v>76</v>
      </c>
      <c r="D181" s="117">
        <f t="shared" ca="1" si="10"/>
        <v>14934629.378999999</v>
      </c>
      <c r="E181" s="141"/>
      <c r="F181" s="177">
        <f t="shared" ca="1" si="11"/>
        <v>512257.79000000004</v>
      </c>
      <c r="H181" s="141"/>
      <c r="I181" s="177">
        <f t="shared" ca="1" si="12"/>
        <v>689979.87</v>
      </c>
      <c r="J181" s="229"/>
      <c r="K181" s="237">
        <f t="shared" ca="1" si="13"/>
        <v>177722.07999999996</v>
      </c>
      <c r="L181" s="239"/>
      <c r="M181" s="213"/>
      <c r="N181" s="213"/>
    </row>
    <row r="182" spans="1:16" x14ac:dyDescent="0.2">
      <c r="A182" s="114"/>
      <c r="B182" s="142" t="s">
        <v>139</v>
      </c>
      <c r="C182" s="153" t="s">
        <v>76</v>
      </c>
      <c r="D182" s="117">
        <f t="shared" ca="1" si="10"/>
        <v>29992743.752</v>
      </c>
      <c r="E182" s="141"/>
      <c r="F182" s="177">
        <f t="shared" ca="1" si="11"/>
        <v>740220.91</v>
      </c>
      <c r="H182" s="141"/>
      <c r="I182" s="177">
        <f t="shared" ca="1" si="12"/>
        <v>996958.81</v>
      </c>
      <c r="J182" s="229"/>
      <c r="K182" s="237">
        <f t="shared" ca="1" si="13"/>
        <v>256737.90000000002</v>
      </c>
      <c r="L182" s="239"/>
      <c r="M182" s="213"/>
      <c r="N182" s="213"/>
    </row>
    <row r="183" spans="1:16" x14ac:dyDescent="0.2">
      <c r="A183" s="114"/>
      <c r="B183" s="142" t="s">
        <v>140</v>
      </c>
      <c r="C183" s="153" t="s">
        <v>76</v>
      </c>
      <c r="D183" s="117">
        <f t="shared" ca="1" si="10"/>
        <v>60622977.939999998</v>
      </c>
      <c r="E183" s="141"/>
      <c r="F183" s="177">
        <f t="shared" ca="1" si="11"/>
        <v>1153655.27</v>
      </c>
      <c r="H183" s="141"/>
      <c r="I183" s="177">
        <f t="shared" ca="1" si="12"/>
        <v>1553766.9200000002</v>
      </c>
      <c r="J183" s="229"/>
      <c r="K183" s="237">
        <f t="shared" ca="1" si="13"/>
        <v>400111.65000000014</v>
      </c>
      <c r="L183" s="239"/>
      <c r="M183" s="213"/>
      <c r="N183" s="213"/>
    </row>
    <row r="184" spans="1:16" x14ac:dyDescent="0.2">
      <c r="A184" s="114"/>
      <c r="B184" s="163" t="s">
        <v>81</v>
      </c>
      <c r="C184" s="153" t="s">
        <v>76</v>
      </c>
      <c r="D184" s="255">
        <f ca="1">SUM(D178:D183)</f>
        <v>123109031.389</v>
      </c>
      <c r="E184" s="147"/>
      <c r="F184" s="122">
        <f ca="1">SUM(F172:F183)</f>
        <v>4603252.2100000009</v>
      </c>
      <c r="H184" s="170"/>
      <c r="I184" s="122">
        <f ca="1">SUM(I172:I183)</f>
        <v>6019690.3000000007</v>
      </c>
      <c r="J184" s="229"/>
      <c r="K184" s="122">
        <f ca="1">SUM(K172:K183)</f>
        <v>1416438.0900000003</v>
      </c>
      <c r="L184" s="218">
        <f ca="1">K184/F184</f>
        <v>0.30770377667401372</v>
      </c>
      <c r="M184" s="213"/>
      <c r="N184" s="213"/>
      <c r="P184" s="256"/>
    </row>
    <row r="185" spans="1:16" x14ac:dyDescent="0.2">
      <c r="A185" s="114"/>
      <c r="B185" s="138"/>
      <c r="C185" s="169"/>
      <c r="D185" s="117"/>
      <c r="E185" s="147"/>
      <c r="F185" s="177"/>
      <c r="H185" s="170"/>
      <c r="I185" s="237"/>
      <c r="J185" s="229"/>
      <c r="K185" s="177"/>
      <c r="L185" s="151"/>
      <c r="M185" s="213"/>
      <c r="N185" s="213"/>
    </row>
    <row r="186" spans="1:16" x14ac:dyDescent="0.2">
      <c r="A186" s="114"/>
      <c r="B186" s="142" t="s">
        <v>78</v>
      </c>
      <c r="C186" s="169"/>
      <c r="D186" s="117"/>
      <c r="E186" s="147"/>
      <c r="F186" s="177"/>
      <c r="H186" s="170"/>
      <c r="I186" s="237"/>
      <c r="J186" s="229"/>
      <c r="K186" s="177"/>
      <c r="L186" s="151"/>
      <c r="M186" s="213"/>
      <c r="N186" s="213"/>
    </row>
    <row r="187" spans="1:16" x14ac:dyDescent="0.2">
      <c r="A187" s="114"/>
      <c r="B187" s="142" t="s">
        <v>110</v>
      </c>
      <c r="C187" s="169"/>
      <c r="D187" s="117"/>
      <c r="E187" s="147"/>
      <c r="F187" s="177">
        <f ca="1">F144</f>
        <v>6188133.3463399606</v>
      </c>
      <c r="H187" s="170"/>
      <c r="I187" s="177">
        <f ca="1">I144</f>
        <v>6188133.3463399606</v>
      </c>
      <c r="J187" s="229"/>
      <c r="K187" s="237">
        <f ca="1">I187-F187</f>
        <v>0</v>
      </c>
      <c r="L187" s="151"/>
      <c r="M187" s="213"/>
      <c r="N187" s="213"/>
    </row>
    <row r="188" spans="1:16" x14ac:dyDescent="0.2">
      <c r="A188" s="114"/>
      <c r="B188" s="142" t="s">
        <v>102</v>
      </c>
      <c r="C188" s="169"/>
      <c r="D188" s="117"/>
      <c r="E188" s="147"/>
      <c r="F188" s="177">
        <f ca="1">F145</f>
        <v>0</v>
      </c>
      <c r="H188" s="170"/>
      <c r="I188" s="177">
        <f ca="1">I145</f>
        <v>0</v>
      </c>
      <c r="J188" s="229"/>
      <c r="K188" s="237">
        <f ca="1">I188-F188</f>
        <v>0</v>
      </c>
      <c r="L188" s="151"/>
      <c r="M188" s="213"/>
      <c r="N188" s="213"/>
    </row>
    <row r="189" spans="1:16" x14ac:dyDescent="0.2">
      <c r="A189" s="114"/>
      <c r="B189" s="142" t="s">
        <v>97</v>
      </c>
      <c r="C189" s="153" t="s">
        <v>76</v>
      </c>
      <c r="D189" s="117">
        <f ca="1">D166</f>
        <v>100227307.73</v>
      </c>
      <c r="E189" s="141"/>
      <c r="F189" s="237">
        <f ca="1">F166</f>
        <v>70159.115411000006</v>
      </c>
      <c r="G189" s="222"/>
      <c r="H189" s="141"/>
      <c r="I189" s="237">
        <f ca="1">I166</f>
        <v>100227.30773</v>
      </c>
      <c r="J189" s="229"/>
      <c r="K189" s="237">
        <f ca="1">I189-F189</f>
        <v>30068.192318999994</v>
      </c>
      <c r="L189" s="239"/>
      <c r="M189" s="213"/>
      <c r="N189" s="213"/>
    </row>
    <row r="190" spans="1:16" x14ac:dyDescent="0.2">
      <c r="A190" s="114"/>
      <c r="B190" s="163" t="s">
        <v>111</v>
      </c>
      <c r="C190" s="153"/>
      <c r="D190" s="222"/>
      <c r="E190" s="141"/>
      <c r="F190" s="238">
        <f ca="1">SUM(F187:F189)</f>
        <v>6258292.4617509609</v>
      </c>
      <c r="G190" s="222"/>
      <c r="H190" s="141"/>
      <c r="I190" s="238">
        <f ca="1">SUM(I187:I189)</f>
        <v>6288360.6540699601</v>
      </c>
      <c r="J190" s="238"/>
      <c r="K190" s="238">
        <f ca="1">SUM(K187:K189)</f>
        <v>30068.192318999994</v>
      </c>
      <c r="L190" s="218">
        <f ca="1">K190/F190</f>
        <v>4.8045361418899623E-3</v>
      </c>
      <c r="M190" s="213"/>
      <c r="N190" s="213"/>
    </row>
    <row r="191" spans="1:16" x14ac:dyDescent="0.2">
      <c r="A191" s="114"/>
      <c r="B191" s="138"/>
      <c r="C191" s="153"/>
      <c r="D191" s="222"/>
      <c r="E191" s="141"/>
      <c r="F191" s="237"/>
      <c r="G191" s="222"/>
      <c r="H191" s="141"/>
      <c r="I191" s="237"/>
      <c r="J191" s="229"/>
      <c r="K191" s="177"/>
      <c r="L191" s="239"/>
      <c r="M191" s="213"/>
      <c r="N191" s="213"/>
    </row>
    <row r="192" spans="1:16" x14ac:dyDescent="0.2">
      <c r="A192" s="114"/>
      <c r="B192" s="138" t="s">
        <v>79</v>
      </c>
      <c r="C192" s="169"/>
      <c r="D192" s="177"/>
      <c r="E192" s="170"/>
      <c r="F192" s="122">
        <f ca="1">F184+F190</f>
        <v>10861544.671750963</v>
      </c>
      <c r="G192" s="153"/>
      <c r="H192" s="170"/>
      <c r="I192" s="122">
        <f ca="1">I184+I190</f>
        <v>12308050.954069961</v>
      </c>
      <c r="J192" s="170"/>
      <c r="K192" s="122">
        <f ca="1">K184+K190</f>
        <v>1446506.2823190002</v>
      </c>
      <c r="L192" s="264">
        <f ca="1">ROUND(K192/F192,5)</f>
        <v>0.13317999999999999</v>
      </c>
      <c r="M192" s="213"/>
      <c r="N192" s="213"/>
    </row>
    <row r="193" spans="1:15" x14ac:dyDescent="0.2">
      <c r="A193" s="114"/>
      <c r="B193" s="130"/>
      <c r="C193" s="224"/>
      <c r="D193" s="225"/>
      <c r="E193" s="265"/>
      <c r="F193" s="235"/>
      <c r="G193" s="225"/>
      <c r="H193" s="227"/>
      <c r="I193" s="241"/>
      <c r="J193" s="228"/>
      <c r="K193" s="135"/>
      <c r="L193" s="136"/>
      <c r="M193" s="213"/>
      <c r="N193" s="213"/>
    </row>
    <row r="194" spans="1:15" x14ac:dyDescent="0.2">
      <c r="A194" s="114"/>
      <c r="B194" s="114"/>
      <c r="C194" s="114"/>
      <c r="D194" s="117"/>
      <c r="E194" s="147"/>
      <c r="F194" s="177"/>
      <c r="H194" s="170"/>
      <c r="I194" s="232"/>
      <c r="J194" s="118"/>
      <c r="K194" s="148"/>
      <c r="L194" s="249"/>
      <c r="M194" s="213"/>
      <c r="N194" s="213"/>
    </row>
    <row r="195" spans="1:15" x14ac:dyDescent="0.2">
      <c r="B195" s="180" t="s">
        <v>143</v>
      </c>
      <c r="C195" s="114"/>
      <c r="D195" s="117"/>
      <c r="E195" s="126"/>
      <c r="F195" s="164"/>
      <c r="H195" s="147"/>
      <c r="I195" s="164"/>
      <c r="J195" s="164"/>
      <c r="K195" s="164"/>
      <c r="L195" s="87"/>
      <c r="M195" s="213"/>
      <c r="N195" s="213"/>
      <c r="O195" s="123"/>
    </row>
    <row r="196" spans="1:15" x14ac:dyDescent="0.2">
      <c r="C196" s="114"/>
      <c r="D196" s="201" t="s">
        <v>76</v>
      </c>
      <c r="E196" s="126"/>
      <c r="F196" s="183" t="s">
        <v>62</v>
      </c>
      <c r="G196" s="280"/>
      <c r="H196" s="154"/>
      <c r="I196" s="183" t="s">
        <v>4</v>
      </c>
      <c r="J196" s="178"/>
      <c r="K196" s="183" t="s">
        <v>89</v>
      </c>
      <c r="L196" s="87"/>
      <c r="M196" s="213"/>
      <c r="N196" s="213"/>
      <c r="O196" s="123"/>
    </row>
    <row r="197" spans="1:15" x14ac:dyDescent="0.2">
      <c r="B197" s="180" t="s">
        <v>115</v>
      </c>
      <c r="C197" s="114"/>
      <c r="D197" s="117"/>
      <c r="E197" s="126"/>
      <c r="F197" s="266"/>
      <c r="G197" s="267"/>
      <c r="H197" s="267"/>
      <c r="I197" s="266"/>
      <c r="J197" s="266"/>
      <c r="K197" s="266"/>
      <c r="L197" s="87"/>
      <c r="M197" s="213"/>
      <c r="N197" s="213"/>
      <c r="O197" s="123"/>
    </row>
    <row r="198" spans="1:15" x14ac:dyDescent="0.2">
      <c r="B198" s="188" t="s">
        <v>144</v>
      </c>
      <c r="C198" s="114"/>
      <c r="D198" s="109"/>
      <c r="E198" s="126"/>
      <c r="F198" s="266">
        <f ca="1">F26+F44</f>
        <v>4409033.2723877989</v>
      </c>
      <c r="G198" s="267"/>
      <c r="H198" s="267"/>
      <c r="I198" s="266">
        <f ca="1">I26+I44</f>
        <v>4431482.9198507993</v>
      </c>
      <c r="J198" s="266"/>
      <c r="K198" s="266">
        <f ca="1">I198-F198</f>
        <v>22449.64746300038</v>
      </c>
      <c r="L198" s="87"/>
      <c r="M198" s="213"/>
      <c r="N198" s="213"/>
      <c r="O198" s="123"/>
    </row>
    <row r="199" spans="1:15" x14ac:dyDescent="0.2">
      <c r="B199" s="188" t="s">
        <v>145</v>
      </c>
      <c r="C199" s="114"/>
      <c r="D199" s="109"/>
      <c r="E199" s="126"/>
      <c r="F199" s="266">
        <f ca="1">F85+F101</f>
        <v>2432123.83120728</v>
      </c>
      <c r="G199" s="267"/>
      <c r="H199" s="267"/>
      <c r="I199" s="266">
        <f ca="1">I85+I101</f>
        <v>2432229.2176522799</v>
      </c>
      <c r="J199" s="266"/>
      <c r="K199" s="266">
        <f ca="1">I199-F199</f>
        <v>105.38644499983639</v>
      </c>
      <c r="L199" s="87"/>
      <c r="M199" s="213"/>
      <c r="N199" s="213"/>
      <c r="O199" s="123"/>
    </row>
    <row r="200" spans="1:15" x14ac:dyDescent="0.2">
      <c r="B200" s="188" t="s">
        <v>146</v>
      </c>
      <c r="C200" s="114"/>
      <c r="D200" s="109"/>
      <c r="E200" s="126"/>
      <c r="F200" s="266">
        <f ca="1">F146+F166</f>
        <v>6258292.4617509609</v>
      </c>
      <c r="G200" s="267"/>
      <c r="H200" s="267"/>
      <c r="I200" s="266">
        <f ca="1">I146+I166</f>
        <v>6288360.6540699601</v>
      </c>
      <c r="J200" s="266"/>
      <c r="K200" s="266">
        <f ca="1">I200-F200</f>
        <v>30068.192318999209</v>
      </c>
      <c r="L200" s="87"/>
      <c r="M200" s="213"/>
      <c r="N200" s="213"/>
      <c r="O200" s="123"/>
    </row>
    <row r="201" spans="1:15" x14ac:dyDescent="0.2">
      <c r="B201" s="188" t="s">
        <v>17</v>
      </c>
      <c r="C201" s="114"/>
      <c r="D201" s="109"/>
      <c r="E201" s="126"/>
      <c r="F201" s="278">
        <f ca="1">SUM(F198:F200)</f>
        <v>13099449.56534604</v>
      </c>
      <c r="G201" s="267"/>
      <c r="H201" s="267"/>
      <c r="I201" s="278">
        <f ca="1">SUM(I198:I200)</f>
        <v>13152072.79157304</v>
      </c>
      <c r="J201" s="266"/>
      <c r="K201" s="278">
        <f ca="1">SUM(K198:K200)</f>
        <v>52623.226226999424</v>
      </c>
      <c r="L201" s="87"/>
      <c r="M201" s="213"/>
      <c r="N201" s="213"/>
      <c r="O201" s="123"/>
    </row>
    <row r="202" spans="1:15" x14ac:dyDescent="0.2">
      <c r="C202" s="114"/>
      <c r="D202" s="109"/>
      <c r="E202" s="126"/>
      <c r="F202" s="266"/>
      <c r="G202" s="267"/>
      <c r="H202" s="267"/>
      <c r="I202" s="266"/>
      <c r="J202" s="266"/>
      <c r="K202" s="266"/>
      <c r="L202" s="87"/>
      <c r="M202" s="213"/>
      <c r="N202" s="213"/>
      <c r="O202" s="123"/>
    </row>
    <row r="203" spans="1:15" x14ac:dyDescent="0.2">
      <c r="B203" s="180" t="s">
        <v>118</v>
      </c>
      <c r="C203" s="114"/>
      <c r="D203" s="109"/>
      <c r="E203" s="126"/>
      <c r="F203" s="266"/>
      <c r="G203" s="267"/>
      <c r="H203" s="267"/>
      <c r="I203" s="266"/>
      <c r="J203" s="266"/>
      <c r="K203" s="266"/>
      <c r="L203" s="87"/>
      <c r="M203" s="213"/>
      <c r="N203" s="213"/>
      <c r="O203" s="123"/>
    </row>
    <row r="204" spans="1:15" x14ac:dyDescent="0.2">
      <c r="B204" s="188" t="s">
        <v>144</v>
      </c>
      <c r="C204" s="114"/>
      <c r="D204" s="109"/>
      <c r="E204" s="126"/>
      <c r="F204" s="266">
        <f ca="1">F21+F42</f>
        <v>8492873.3191983793</v>
      </c>
      <c r="G204" s="267"/>
      <c r="H204" s="267"/>
      <c r="I204" s="266">
        <f ca="1">I21+I42</f>
        <v>10235146.799999999</v>
      </c>
      <c r="J204" s="266"/>
      <c r="K204" s="266">
        <f ca="1">I204-F204</f>
        <v>1742273.4808016196</v>
      </c>
      <c r="L204" s="87"/>
      <c r="M204" s="213"/>
      <c r="N204" s="213"/>
      <c r="O204" s="123"/>
    </row>
    <row r="205" spans="1:15" x14ac:dyDescent="0.2">
      <c r="B205" s="188" t="s">
        <v>145</v>
      </c>
      <c r="C205" s="114"/>
      <c r="D205" s="109"/>
      <c r="E205" s="126"/>
      <c r="F205" s="266">
        <f ca="1">F80+F99</f>
        <v>1968288.3</v>
      </c>
      <c r="G205" s="267"/>
      <c r="H205" s="267"/>
      <c r="I205" s="266">
        <f ca="1">I80+I99</f>
        <v>1968309.43</v>
      </c>
      <c r="J205" s="266"/>
      <c r="K205" s="266">
        <f ca="1">I205-F205</f>
        <v>21.129999999888241</v>
      </c>
      <c r="L205" s="87"/>
      <c r="M205" s="213"/>
      <c r="N205" s="213"/>
      <c r="O205" s="123"/>
    </row>
    <row r="206" spans="1:15" x14ac:dyDescent="0.2">
      <c r="B206" s="188" t="s">
        <v>146</v>
      </c>
      <c r="C206" s="114"/>
      <c r="D206" s="109"/>
      <c r="E206" s="126"/>
      <c r="F206" s="266">
        <f ca="1">F141+F164</f>
        <v>4603252.21</v>
      </c>
      <c r="G206" s="267"/>
      <c r="H206" s="267"/>
      <c r="I206" s="266">
        <f ca="1">I141+I164</f>
        <v>6019690.2999999998</v>
      </c>
      <c r="J206" s="266"/>
      <c r="K206" s="266">
        <f ca="1">I206-F206</f>
        <v>1416438.0899999999</v>
      </c>
      <c r="L206" s="87"/>
      <c r="M206" s="213"/>
      <c r="N206" s="213"/>
      <c r="O206" s="123"/>
    </row>
    <row r="207" spans="1:15" x14ac:dyDescent="0.2">
      <c r="B207" s="188" t="s">
        <v>17</v>
      </c>
      <c r="C207" s="114"/>
      <c r="D207" s="109"/>
      <c r="E207" s="126"/>
      <c r="F207" s="278">
        <f ca="1">SUM(F204:F206)</f>
        <v>15064413.829198379</v>
      </c>
      <c r="G207" s="267"/>
      <c r="H207" s="267"/>
      <c r="I207" s="278">
        <f ca="1">SUM(I204:I206)</f>
        <v>18223146.529999997</v>
      </c>
      <c r="J207" s="266"/>
      <c r="K207" s="278">
        <f ca="1">SUM(K204:K206)</f>
        <v>3158732.7008016193</v>
      </c>
      <c r="L207" s="87"/>
      <c r="M207" s="213"/>
      <c r="N207" s="213"/>
      <c r="O207" s="123"/>
    </row>
    <row r="208" spans="1:15" x14ac:dyDescent="0.2">
      <c r="C208" s="114"/>
      <c r="D208" s="109"/>
      <c r="E208" s="126"/>
      <c r="F208" s="266"/>
      <c r="G208" s="267"/>
      <c r="H208" s="267"/>
      <c r="I208" s="266"/>
      <c r="J208" s="266"/>
      <c r="K208" s="266"/>
      <c r="L208" s="87"/>
      <c r="M208" s="213"/>
      <c r="N208" s="213"/>
      <c r="O208" s="123"/>
    </row>
    <row r="209" spans="2:15" x14ac:dyDescent="0.2">
      <c r="B209" s="180" t="s">
        <v>120</v>
      </c>
      <c r="C209" s="114"/>
      <c r="D209" s="109"/>
      <c r="E209" s="126"/>
      <c r="F209" s="266"/>
      <c r="G209" s="267"/>
      <c r="H209" s="267"/>
      <c r="I209" s="266"/>
      <c r="J209" s="266"/>
      <c r="K209" s="266"/>
      <c r="L209" s="87"/>
      <c r="M209" s="213"/>
      <c r="N209" s="213"/>
      <c r="O209" s="123"/>
    </row>
    <row r="210" spans="2:15" x14ac:dyDescent="0.2">
      <c r="B210" s="188" t="s">
        <v>144</v>
      </c>
      <c r="C210" s="114"/>
      <c r="D210" s="109">
        <f ca="1">D59</f>
        <v>90620156.763999999</v>
      </c>
      <c r="E210" s="126"/>
      <c r="F210" s="266">
        <f ca="1">F198+F204</f>
        <v>12901906.591586178</v>
      </c>
      <c r="G210" s="267"/>
      <c r="H210" s="267"/>
      <c r="I210" s="266">
        <f ca="1">I198+I204</f>
        <v>14666629.719850797</v>
      </c>
      <c r="J210" s="266"/>
      <c r="K210" s="266">
        <f ca="1">I210-F210</f>
        <v>1764723.128264619</v>
      </c>
      <c r="L210" s="87"/>
      <c r="M210" s="213"/>
      <c r="N210" s="213"/>
      <c r="O210" s="123"/>
    </row>
    <row r="211" spans="2:15" x14ac:dyDescent="0.2">
      <c r="B211" s="188" t="s">
        <v>145</v>
      </c>
      <c r="C211" s="114"/>
      <c r="D211" s="109">
        <f ca="1">D115</f>
        <v>9103924.943</v>
      </c>
      <c r="E211" s="126"/>
      <c r="F211" s="266">
        <f ca="1">F199+F205</f>
        <v>4400412.1312072799</v>
      </c>
      <c r="G211" s="267"/>
      <c r="H211" s="267"/>
      <c r="I211" s="266">
        <f ca="1">I199+I205</f>
        <v>4400538.6476522796</v>
      </c>
      <c r="J211" s="266"/>
      <c r="K211" s="266">
        <f ca="1">I211-F211</f>
        <v>126.51644499972463</v>
      </c>
      <c r="L211" s="87"/>
      <c r="M211" s="213"/>
      <c r="N211" s="213"/>
      <c r="O211" s="123"/>
    </row>
    <row r="212" spans="2:15" x14ac:dyDescent="0.2">
      <c r="B212" s="188" t="s">
        <v>146</v>
      </c>
      <c r="C212" s="114"/>
      <c r="D212" s="109">
        <f ca="1">D184</f>
        <v>123109031.389</v>
      </c>
      <c r="E212" s="126"/>
      <c r="F212" s="266">
        <f ca="1">F200+F206</f>
        <v>10861544.671750961</v>
      </c>
      <c r="G212" s="267"/>
      <c r="H212" s="267"/>
      <c r="I212" s="266">
        <f ca="1">I200+I206</f>
        <v>12308050.954069961</v>
      </c>
      <c r="J212" s="266"/>
      <c r="K212" s="266">
        <f ca="1">I212-F212</f>
        <v>1446506.282319</v>
      </c>
      <c r="L212" s="87"/>
      <c r="M212" s="213"/>
      <c r="N212" s="213"/>
      <c r="O212" s="123"/>
    </row>
    <row r="213" spans="2:15" x14ac:dyDescent="0.2">
      <c r="B213" s="188" t="s">
        <v>17</v>
      </c>
      <c r="C213" s="114"/>
      <c r="D213" s="192">
        <f ca="1">SUM(D210:D212)</f>
        <v>222833113.09600002</v>
      </c>
      <c r="E213" s="126"/>
      <c r="F213" s="278">
        <f ca="1">SUM(F210:F212)</f>
        <v>28163863.394544423</v>
      </c>
      <c r="G213" s="267"/>
      <c r="H213" s="267"/>
      <c r="I213" s="278">
        <f ca="1">SUM(I210:I212)</f>
        <v>31375219.321573038</v>
      </c>
      <c r="J213" s="266"/>
      <c r="K213" s="278">
        <f ca="1">SUM(K210:K212)</f>
        <v>3211355.9270286188</v>
      </c>
      <c r="L213" s="87"/>
      <c r="M213" s="213"/>
      <c r="N213" s="213"/>
      <c r="O213" s="123"/>
    </row>
    <row r="214" spans="2:15" x14ac:dyDescent="0.2">
      <c r="C214" s="114"/>
      <c r="D214" s="109"/>
      <c r="E214" s="126"/>
      <c r="F214" s="266"/>
      <c r="G214" s="267"/>
      <c r="H214" s="267"/>
      <c r="I214" s="266"/>
      <c r="J214" s="266"/>
      <c r="K214" s="266"/>
      <c r="L214" s="87"/>
      <c r="M214" s="213"/>
      <c r="N214" s="213"/>
      <c r="O214" s="123"/>
    </row>
    <row r="215" spans="2:15" x14ac:dyDescent="0.2">
      <c r="B215" s="180" t="s">
        <v>147</v>
      </c>
      <c r="E215" s="184"/>
      <c r="F215" s="274"/>
      <c r="G215" s="268"/>
      <c r="H215" s="269"/>
      <c r="I215" s="274"/>
      <c r="J215" s="274"/>
      <c r="K215" s="274"/>
      <c r="O215" s="178"/>
    </row>
    <row r="216" spans="2:15" x14ac:dyDescent="0.2">
      <c r="B216" s="271" t="s">
        <v>17</v>
      </c>
      <c r="D216" s="272">
        <f ca="1">'Rate Design Res'!D13+'Rate Design Res'!D24+'Rate Design Res'!D37+'Rate Design C&amp;I'!D36+'Rate Design C&amp;I'!D95+'Rate Design Int &amp; Trans'!D59+'Rate Design Int &amp; Trans'!D115+'Rate Design Int &amp; Trans'!D184</f>
        <v>1154896230.9190001</v>
      </c>
      <c r="E216" s="117"/>
      <c r="F216" s="273">
        <f ca="1">'Rate Design Res'!F18+'Rate Design Res'!F29+'Rate Design Res'!F41+'Rate Design C&amp;I'!F41+'Rate Design C&amp;I'!F105+'Rate Design Int &amp; Trans'!F67+'Rate Design Int &amp; Trans'!F123+'Rate Design Int &amp; Trans'!F192</f>
        <v>750238952.71759534</v>
      </c>
      <c r="G216" s="267"/>
      <c r="H216" s="269"/>
      <c r="I216" s="273">
        <f ca="1">'Rate Design Res'!I18+'Rate Design Res'!I29+'Rate Design Res'!I41+'Rate Design C&amp;I'!I41+'Rate Design C&amp;I'!I105+'Rate Design Int &amp; Trans'!I67+'Rate Design Int &amp; Trans'!I123+'Rate Design Int &amp; Trans'!I192</f>
        <v>848785174.60667944</v>
      </c>
      <c r="J216" s="274"/>
      <c r="K216" s="274">
        <f ca="1">I216-F216</f>
        <v>98546221.889084101</v>
      </c>
      <c r="L216" s="275">
        <f ca="1">K216/F216</f>
        <v>0.13135311294104299</v>
      </c>
      <c r="O216" s="178"/>
    </row>
    <row r="217" spans="2:15" x14ac:dyDescent="0.2">
      <c r="B217" s="271" t="s">
        <v>148</v>
      </c>
      <c r="D217" s="276">
        <f ca="1">'Rate Spread'!F19</f>
        <v>37090866.750000007</v>
      </c>
      <c r="E217" s="117"/>
      <c r="F217" s="277">
        <f ca="1">'Rate Spread'!C19</f>
        <v>1719215.5127806603</v>
      </c>
      <c r="G217" s="267"/>
      <c r="H217" s="269"/>
      <c r="I217" s="277">
        <f ca="1">'Rate Spread'!S19</f>
        <v>1757818.4509374714</v>
      </c>
      <c r="J217" s="274"/>
      <c r="K217" s="274">
        <f ca="1">I217-F217</f>
        <v>38602.938156811055</v>
      </c>
      <c r="L217" s="275">
        <f ca="1">K217/F217</f>
        <v>2.2453809816068166E-2</v>
      </c>
      <c r="O217" s="178"/>
    </row>
    <row r="218" spans="2:15" x14ac:dyDescent="0.2">
      <c r="B218" s="271" t="s">
        <v>149</v>
      </c>
      <c r="E218" s="117"/>
      <c r="F218" s="277">
        <f ca="1">'Rate Spread'!C20</f>
        <v>5310380.6899999985</v>
      </c>
      <c r="G218" s="267"/>
      <c r="H218" s="269"/>
      <c r="I218" s="277">
        <f ca="1">'Rate Spread'!S20</f>
        <v>4665849.629999999</v>
      </c>
      <c r="J218" s="274"/>
      <c r="K218" s="274">
        <f ca="1">I218-F218</f>
        <v>-644531.05999999959</v>
      </c>
      <c r="L218" s="275">
        <f ca="1">K218/F218</f>
        <v>-0.12137191241556729</v>
      </c>
      <c r="O218" s="178"/>
    </row>
    <row r="219" spans="2:15" x14ac:dyDescent="0.2">
      <c r="B219" s="271" t="s">
        <v>150</v>
      </c>
      <c r="D219" s="255">
        <f ca="1">SUM(D216:D218)</f>
        <v>1191987097.6690001</v>
      </c>
      <c r="E219" s="117"/>
      <c r="F219" s="278">
        <f ca="1">SUM(F216:F218)</f>
        <v>757268548.92037606</v>
      </c>
      <c r="G219" s="267"/>
      <c r="H219" s="269"/>
      <c r="I219" s="278">
        <f ca="1">SUM(I216:I218)</f>
        <v>855208842.68761694</v>
      </c>
      <c r="J219" s="274"/>
      <c r="K219" s="278">
        <f ca="1">SUM(K216:K218)</f>
        <v>97940293.767240912</v>
      </c>
      <c r="L219" s="275">
        <f ca="1">K219/F219</f>
        <v>0.12933363455655539</v>
      </c>
      <c r="O219" s="178"/>
    </row>
    <row r="220" spans="2:15" x14ac:dyDescent="0.2">
      <c r="B220" s="282"/>
      <c r="C220" s="154"/>
      <c r="D220" s="276"/>
      <c r="E220" s="117"/>
      <c r="F220" s="279"/>
      <c r="G220" s="267"/>
      <c r="H220" s="269"/>
      <c r="I220" s="279"/>
      <c r="J220" s="274"/>
      <c r="K220" s="279"/>
      <c r="L220" s="275"/>
    </row>
    <row r="221" spans="2:15" x14ac:dyDescent="0.2">
      <c r="B221" s="188" t="s">
        <v>196</v>
      </c>
      <c r="E221" s="117"/>
      <c r="F221" s="266"/>
      <c r="G221" s="267"/>
      <c r="H221" s="269"/>
      <c r="I221" s="266"/>
      <c r="J221" s="274"/>
      <c r="K221" s="266"/>
    </row>
    <row r="222" spans="2:15" ht="13.5" thickBot="1" x14ac:dyDescent="0.25">
      <c r="F222" s="266"/>
      <c r="G222" s="267"/>
      <c r="H222" s="269"/>
      <c r="I222" s="266"/>
      <c r="J222" s="274"/>
      <c r="K222" s="266"/>
    </row>
    <row r="223" spans="2:15" x14ac:dyDescent="0.2">
      <c r="B223" s="329" t="s">
        <v>197</v>
      </c>
      <c r="C223" s="322"/>
      <c r="D223" s="323">
        <f ca="1">D213-SUM('Rate Spread'!F16:F18)</f>
        <v>0</v>
      </c>
      <c r="E223" s="324"/>
      <c r="F223" s="325">
        <f ca="1">F213-SUM('Rate Spread'!C16:C18)</f>
        <v>2.5965768843889236E-2</v>
      </c>
      <c r="G223" s="267"/>
      <c r="H223" s="269"/>
      <c r="I223" s="274"/>
      <c r="J223" s="274"/>
      <c r="K223" s="274"/>
    </row>
    <row r="224" spans="2:15" ht="13.5" thickBot="1" x14ac:dyDescent="0.25">
      <c r="B224" s="330" t="s">
        <v>197</v>
      </c>
      <c r="C224" s="326"/>
      <c r="D224" s="327">
        <f ca="1">D219-'Rate Spread'!F24</f>
        <v>0</v>
      </c>
      <c r="E224" s="328"/>
      <c r="F224" s="331">
        <f ca="1">F219-'Rate Spread'!C21</f>
        <v>3.0204296112060547E-2</v>
      </c>
    </row>
    <row r="226" spans="4:4" x14ac:dyDescent="0.2">
      <c r="D226" s="28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6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54" customWidth="1"/>
    <col min="2" max="2" width="9.5703125" style="154" customWidth="1"/>
    <col min="3" max="3" width="43.28515625" style="154" customWidth="1"/>
    <col min="4" max="5" width="10.42578125" style="154" customWidth="1"/>
    <col min="6" max="6" width="14.42578125" style="154" customWidth="1"/>
    <col min="7" max="7" width="2.85546875" style="154" customWidth="1"/>
    <col min="8" max="8" width="10.42578125" style="154" customWidth="1"/>
    <col min="9" max="9" width="14.42578125" style="154" bestFit="1" customWidth="1"/>
    <col min="10" max="10" width="13.5703125" style="154" customWidth="1"/>
    <col min="11" max="11" width="2.85546875" style="154" customWidth="1"/>
    <col min="12" max="12" width="18.7109375" style="154" bestFit="1" customWidth="1"/>
    <col min="13" max="13" width="2.85546875" style="154" customWidth="1"/>
    <col min="14" max="14" width="8.85546875" style="153" customWidth="1"/>
    <col min="15" max="15" width="8.85546875" style="153" bestFit="1" customWidth="1"/>
    <col min="16" max="16" width="14.7109375" style="154" customWidth="1"/>
    <col min="17" max="17" width="15.28515625" style="154" customWidth="1"/>
    <col min="18" max="19" width="14" style="154" customWidth="1"/>
    <col min="20" max="20" width="9.140625" style="154"/>
    <col min="21" max="21" width="14" style="154" customWidth="1"/>
    <col min="22" max="16384" width="9.140625" style="154"/>
  </cols>
  <sheetData>
    <row r="1" spans="1:21" x14ac:dyDescent="0.2">
      <c r="P1" s="153"/>
    </row>
    <row r="2" spans="1:21" x14ac:dyDescent="0.2">
      <c r="B2" s="30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42"/>
      <c r="P2" s="153"/>
    </row>
    <row r="3" spans="1:21" x14ac:dyDescent="0.2">
      <c r="B3" s="307" t="str">
        <f>'Rate Spread'!$B$2</f>
        <v>2019 Gas General Rate Case Filing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2"/>
      <c r="P3" s="153"/>
    </row>
    <row r="4" spans="1:21" x14ac:dyDescent="0.2">
      <c r="B4" s="30" t="s">
        <v>201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2"/>
      <c r="P4" s="153"/>
    </row>
    <row r="5" spans="1:21" s="84" customFormat="1" x14ac:dyDescent="0.2">
      <c r="A5" s="283"/>
      <c r="B5" s="284" t="str">
        <f>'Rate Spread'!B4</f>
        <v>Test Year Ended December 31, 2018</v>
      </c>
      <c r="C5" s="284"/>
      <c r="D5" s="284"/>
      <c r="E5" s="284"/>
      <c r="F5" s="284"/>
      <c r="G5" s="284"/>
      <c r="H5" s="284"/>
      <c r="I5" s="284"/>
      <c r="J5" s="30"/>
      <c r="K5" s="30"/>
      <c r="L5" s="75"/>
      <c r="M5" s="75"/>
      <c r="N5" s="342"/>
      <c r="O5" s="285"/>
      <c r="P5" s="285"/>
      <c r="Q5" s="158"/>
      <c r="R5" s="158"/>
      <c r="S5" s="158"/>
      <c r="T5" s="158"/>
      <c r="U5" s="158"/>
    </row>
    <row r="6" spans="1:21" s="84" customFormat="1" x14ac:dyDescent="0.2">
      <c r="A6" s="283"/>
      <c r="B6" s="285"/>
      <c r="C6" s="285"/>
      <c r="D6" s="285"/>
      <c r="E6" s="285"/>
      <c r="F6" s="285"/>
      <c r="G6" s="285"/>
      <c r="H6" s="285"/>
      <c r="I6" s="285"/>
      <c r="J6" s="286"/>
      <c r="K6" s="286"/>
      <c r="M6" s="158"/>
      <c r="N6" s="285"/>
      <c r="O6" s="283"/>
      <c r="P6" s="285"/>
      <c r="Q6" s="158"/>
      <c r="R6" s="158"/>
      <c r="S6" s="158"/>
      <c r="T6" s="158"/>
      <c r="U6" s="158"/>
    </row>
    <row r="7" spans="1:21" s="84" customFormat="1" x14ac:dyDescent="0.2">
      <c r="A7" s="283"/>
      <c r="B7" s="285"/>
      <c r="C7" s="285"/>
      <c r="D7" s="285"/>
      <c r="E7" s="285"/>
      <c r="F7" s="285"/>
      <c r="G7" s="285"/>
      <c r="H7" s="285"/>
      <c r="I7" s="285"/>
      <c r="J7" s="286"/>
      <c r="K7" s="286"/>
      <c r="M7" s="158"/>
      <c r="N7" s="285"/>
      <c r="O7" s="285"/>
      <c r="P7" s="285"/>
      <c r="Q7" s="158"/>
      <c r="R7" s="158"/>
      <c r="S7" s="158"/>
      <c r="T7" s="158"/>
      <c r="U7" s="158"/>
    </row>
    <row r="8" spans="1:21" s="84" customFormat="1" x14ac:dyDescent="0.2">
      <c r="B8" s="285"/>
      <c r="C8" s="285"/>
      <c r="D8" s="285"/>
      <c r="E8" s="285"/>
      <c r="F8" s="285" t="s">
        <v>28</v>
      </c>
      <c r="G8" s="285"/>
      <c r="H8" s="285"/>
      <c r="I8" s="285" t="s">
        <v>28</v>
      </c>
      <c r="J8" s="286"/>
      <c r="K8" s="286"/>
      <c r="M8" s="158"/>
      <c r="N8" s="285"/>
      <c r="O8" s="285"/>
      <c r="P8" s="285"/>
      <c r="Q8" s="158"/>
      <c r="R8" s="158"/>
      <c r="S8" s="158"/>
      <c r="T8" s="158"/>
      <c r="U8" s="158"/>
    </row>
    <row r="9" spans="1:21" s="84" customFormat="1" x14ac:dyDescent="0.2">
      <c r="B9" s="285" t="s">
        <v>151</v>
      </c>
      <c r="C9" s="285"/>
      <c r="D9" s="285" t="s">
        <v>152</v>
      </c>
      <c r="E9" s="285" t="s">
        <v>62</v>
      </c>
      <c r="F9" s="285" t="s">
        <v>153</v>
      </c>
      <c r="G9" s="285"/>
      <c r="H9" s="285" t="s">
        <v>4</v>
      </c>
      <c r="I9" s="285" t="s">
        <v>153</v>
      </c>
      <c r="J9" s="286" t="s">
        <v>4</v>
      </c>
      <c r="K9" s="286"/>
      <c r="L9" s="254" t="s">
        <v>21</v>
      </c>
      <c r="M9" s="158"/>
      <c r="N9" s="36" t="s">
        <v>64</v>
      </c>
      <c r="O9" s="285"/>
      <c r="P9" s="285"/>
      <c r="Q9" s="158"/>
      <c r="R9" s="158"/>
      <c r="S9" s="158"/>
      <c r="T9" s="158"/>
      <c r="U9" s="158"/>
    </row>
    <row r="10" spans="1:21" s="84" customFormat="1" x14ac:dyDescent="0.2">
      <c r="B10" s="287" t="s">
        <v>154</v>
      </c>
      <c r="C10" s="287" t="s">
        <v>65</v>
      </c>
      <c r="D10" s="287" t="s">
        <v>155</v>
      </c>
      <c r="E10" s="287" t="s">
        <v>23</v>
      </c>
      <c r="F10" s="287" t="s">
        <v>156</v>
      </c>
      <c r="G10" s="287"/>
      <c r="H10" s="287" t="s">
        <v>23</v>
      </c>
      <c r="I10" s="287" t="s">
        <v>157</v>
      </c>
      <c r="J10" s="287" t="s">
        <v>27</v>
      </c>
      <c r="K10" s="285"/>
      <c r="L10" s="37" t="s">
        <v>27</v>
      </c>
      <c r="M10" s="158"/>
      <c r="N10" s="38" t="s">
        <v>1</v>
      </c>
      <c r="O10" s="285"/>
      <c r="P10" s="285"/>
      <c r="Q10" s="158"/>
      <c r="R10" s="158"/>
      <c r="S10" s="158"/>
      <c r="T10" s="158"/>
      <c r="U10" s="158"/>
    </row>
    <row r="11" spans="1:21" x14ac:dyDescent="0.2">
      <c r="B11" s="288" t="s">
        <v>30</v>
      </c>
      <c r="C11" s="288" t="s">
        <v>31</v>
      </c>
      <c r="D11" s="288" t="s">
        <v>32</v>
      </c>
      <c r="E11" s="288" t="s">
        <v>33</v>
      </c>
      <c r="F11" s="288" t="s">
        <v>34</v>
      </c>
      <c r="G11" s="288"/>
      <c r="H11" s="288" t="s">
        <v>35</v>
      </c>
      <c r="I11" s="288" t="s">
        <v>36</v>
      </c>
      <c r="J11" s="288" t="s">
        <v>37</v>
      </c>
      <c r="K11" s="288"/>
      <c r="L11" s="158" t="s">
        <v>38</v>
      </c>
      <c r="N11" s="288" t="s">
        <v>39</v>
      </c>
      <c r="P11" s="153"/>
    </row>
    <row r="12" spans="1:21" ht="12.75" customHeight="1" x14ac:dyDescent="0.2">
      <c r="B12" s="154" t="s">
        <v>158</v>
      </c>
      <c r="C12" s="154" t="s">
        <v>159</v>
      </c>
      <c r="D12" s="289">
        <f ca="1">'[61]Restated Rental Revenue'!R17</f>
        <v>12263</v>
      </c>
      <c r="E12" s="290">
        <f ca="1">'[61]Rate Design Rental_TR'!I14</f>
        <v>7.37</v>
      </c>
      <c r="F12" s="310">
        <f ca="1">D12*E12</f>
        <v>90378.31</v>
      </c>
      <c r="G12" s="301"/>
      <c r="H12" s="293">
        <f t="shared" ref="H12:H28" ca="1" si="0">ROUND(E12*(1+$L$17),2)</f>
        <v>6.48</v>
      </c>
      <c r="I12" s="310">
        <f ca="1">D12*H12</f>
        <v>79464.240000000005</v>
      </c>
      <c r="J12" s="310">
        <f ca="1">I12-F12</f>
        <v>-10914.069999999992</v>
      </c>
      <c r="K12" s="291"/>
      <c r="L12" s="344" t="s">
        <v>202</v>
      </c>
      <c r="M12" s="292"/>
      <c r="N12" s="341">
        <f ca="1">H12/E12-1</f>
        <v>-0.12075983717774763</v>
      </c>
      <c r="O12" s="293"/>
      <c r="P12" s="293"/>
      <c r="Q12" s="292"/>
      <c r="R12" s="292"/>
      <c r="S12" s="292"/>
      <c r="U12" s="292"/>
    </row>
    <row r="13" spans="1:21" x14ac:dyDescent="0.2">
      <c r="B13" s="154" t="s">
        <v>160</v>
      </c>
      <c r="C13" s="154" t="s">
        <v>161</v>
      </c>
      <c r="D13" s="289">
        <f ca="1">'[61]Restated Rental Revenue'!R18</f>
        <v>190792</v>
      </c>
      <c r="E13" s="290">
        <f ca="1">'[61]Rate Design Rental_TR'!I15</f>
        <v>12.09</v>
      </c>
      <c r="F13" s="310">
        <f ca="1">D13*E13</f>
        <v>2306675.2799999998</v>
      </c>
      <c r="G13" s="294"/>
      <c r="H13" s="293">
        <f t="shared" ca="1" si="0"/>
        <v>10.62</v>
      </c>
      <c r="I13" s="310">
        <f ca="1">D13*H13</f>
        <v>2026211.0399999998</v>
      </c>
      <c r="J13" s="310">
        <f t="shared" ref="J13:J24" ca="1" si="1">I13-F13</f>
        <v>-280464.24</v>
      </c>
      <c r="K13" s="294"/>
      <c r="L13" s="343">
        <f ca="1">'Rate Spread'!N20</f>
        <v>-643782.62296793424</v>
      </c>
      <c r="M13" s="292"/>
      <c r="N13" s="341">
        <f t="shared" ref="N13:N28" ca="1" si="2">H13/E13-1</f>
        <v>-0.12158808933002485</v>
      </c>
      <c r="O13" s="293"/>
      <c r="P13" s="293"/>
      <c r="Q13" s="292"/>
      <c r="R13" s="292"/>
      <c r="S13" s="292"/>
      <c r="T13" s="292"/>
      <c r="U13" s="292"/>
    </row>
    <row r="14" spans="1:21" x14ac:dyDescent="0.2">
      <c r="B14" s="154" t="s">
        <v>162</v>
      </c>
      <c r="C14" s="154" t="s">
        <v>163</v>
      </c>
      <c r="D14" s="289">
        <f ca="1">'[61]Restated Rental Revenue'!R19</f>
        <v>36011</v>
      </c>
      <c r="E14" s="290">
        <f ca="1">'[61]Rate Design Rental_TR'!I16</f>
        <v>17.149999999999999</v>
      </c>
      <c r="F14" s="310">
        <f t="shared" ref="F14:F28" ca="1" si="3">D14*E14</f>
        <v>617588.64999999991</v>
      </c>
      <c r="G14" s="294"/>
      <c r="H14" s="293">
        <f t="shared" ca="1" si="0"/>
        <v>15.07</v>
      </c>
      <c r="I14" s="310">
        <f t="shared" ref="I14:I28" ca="1" si="4">D14*H14</f>
        <v>542685.77</v>
      </c>
      <c r="J14" s="310">
        <f t="shared" ca="1" si="1"/>
        <v>-74902.879999999888</v>
      </c>
      <c r="K14" s="294"/>
      <c r="L14" s="295" t="s">
        <v>77</v>
      </c>
      <c r="M14" s="292"/>
      <c r="N14" s="341">
        <f t="shared" ca="1" si="2"/>
        <v>-0.12128279883381921</v>
      </c>
      <c r="O14" s="293"/>
      <c r="P14" s="293"/>
      <c r="Q14" s="292"/>
      <c r="R14" s="292"/>
      <c r="S14" s="292"/>
      <c r="T14" s="292"/>
      <c r="U14" s="292"/>
    </row>
    <row r="15" spans="1:21" x14ac:dyDescent="0.2">
      <c r="B15" s="154" t="s">
        <v>164</v>
      </c>
      <c r="C15" s="154" t="s">
        <v>165</v>
      </c>
      <c r="D15" s="289">
        <f ca="1">'[61]Restated Rental Revenue'!R20</f>
        <v>7959</v>
      </c>
      <c r="E15" s="290">
        <f ca="1">'[61]Rate Design Rental_TR'!I17</f>
        <v>16.78</v>
      </c>
      <c r="F15" s="310">
        <f t="shared" ca="1" si="3"/>
        <v>133552.02000000002</v>
      </c>
      <c r="G15" s="294"/>
      <c r="H15" s="293">
        <f t="shared" ca="1" si="0"/>
        <v>14.75</v>
      </c>
      <c r="I15" s="310">
        <f ca="1">D15*H15</f>
        <v>117395.25</v>
      </c>
      <c r="J15" s="310">
        <f ca="1">I15-F15</f>
        <v>-16156.770000000019</v>
      </c>
      <c r="K15" s="294"/>
      <c r="L15" s="214">
        <f ca="1">J29-L13</f>
        <v>-748.43703206558712</v>
      </c>
      <c r="M15" s="292"/>
      <c r="N15" s="341">
        <f t="shared" ca="1" si="2"/>
        <v>-0.1209773539928487</v>
      </c>
      <c r="O15" s="293"/>
      <c r="P15" s="293"/>
      <c r="Q15" s="292"/>
      <c r="R15" s="292"/>
      <c r="S15" s="292"/>
      <c r="T15" s="292"/>
      <c r="U15" s="292"/>
    </row>
    <row r="16" spans="1:21" x14ac:dyDescent="0.2">
      <c r="B16" s="154" t="s">
        <v>166</v>
      </c>
      <c r="C16" s="154" t="s">
        <v>167</v>
      </c>
      <c r="D16" s="289">
        <f ca="1">'[61]Restated Rental Revenue'!R21</f>
        <v>40377</v>
      </c>
      <c r="E16" s="290">
        <f ca="1">'[61]Rate Design Rental_TR'!I18</f>
        <v>5.83</v>
      </c>
      <c r="F16" s="310">
        <f t="shared" ca="1" si="3"/>
        <v>235397.91</v>
      </c>
      <c r="G16" s="294"/>
      <c r="H16" s="293">
        <f t="shared" ca="1" si="0"/>
        <v>5.12</v>
      </c>
      <c r="I16" s="310">
        <f t="shared" ca="1" si="4"/>
        <v>206730.23999999999</v>
      </c>
      <c r="J16" s="310">
        <f t="shared" ca="1" si="1"/>
        <v>-28667.670000000013</v>
      </c>
      <c r="K16" s="294"/>
      <c r="L16" s="297"/>
      <c r="M16" s="292"/>
      <c r="N16" s="341">
        <f t="shared" ca="1" si="2"/>
        <v>-0.12178387650085765</v>
      </c>
      <c r="O16" s="293"/>
      <c r="P16" s="293"/>
      <c r="Q16" s="292"/>
      <c r="R16" s="292"/>
      <c r="S16" s="292"/>
      <c r="T16" s="292"/>
      <c r="U16" s="292"/>
    </row>
    <row r="17" spans="2:21" x14ac:dyDescent="0.2">
      <c r="B17" s="154" t="s">
        <v>168</v>
      </c>
      <c r="C17" s="154" t="s">
        <v>169</v>
      </c>
      <c r="D17" s="289">
        <f ca="1">'[61]Restated Rental Revenue'!R22</f>
        <v>2345</v>
      </c>
      <c r="E17" s="290">
        <f ca="1">'[61]Rate Design Rental_TR'!I19</f>
        <v>10.57</v>
      </c>
      <c r="F17" s="310">
        <f t="shared" ca="1" si="3"/>
        <v>24786.65</v>
      </c>
      <c r="G17" s="294"/>
      <c r="H17" s="293">
        <f t="shared" ca="1" si="0"/>
        <v>9.2899999999999991</v>
      </c>
      <c r="I17" s="310">
        <f t="shared" ca="1" si="4"/>
        <v>21785.05</v>
      </c>
      <c r="J17" s="310">
        <f t="shared" ca="1" si="1"/>
        <v>-3001.6000000000022</v>
      </c>
      <c r="K17" s="294"/>
      <c r="L17" s="345">
        <v>-0.121175</v>
      </c>
      <c r="M17" s="292"/>
      <c r="N17" s="341">
        <f t="shared" ca="1" si="2"/>
        <v>-0.12109744560075697</v>
      </c>
      <c r="O17" s="293"/>
      <c r="P17" s="293"/>
      <c r="Q17" s="292"/>
      <c r="R17" s="292"/>
      <c r="S17" s="292"/>
      <c r="T17" s="292"/>
      <c r="U17" s="292"/>
    </row>
    <row r="18" spans="2:21" x14ac:dyDescent="0.2">
      <c r="B18" s="154" t="s">
        <v>170</v>
      </c>
      <c r="C18" s="154" t="s">
        <v>171</v>
      </c>
      <c r="D18" s="289">
        <f ca="1">'[61]Restated Rental Revenue'!R45</f>
        <v>1384</v>
      </c>
      <c r="E18" s="290">
        <f ca="1">'[61]Rate Design Rental_TR'!I20</f>
        <v>14.9</v>
      </c>
      <c r="F18" s="310">
        <f t="shared" ca="1" si="3"/>
        <v>20621.600000000002</v>
      </c>
      <c r="G18" s="294"/>
      <c r="H18" s="293">
        <f t="shared" ca="1" si="0"/>
        <v>13.09</v>
      </c>
      <c r="I18" s="310">
        <f t="shared" ca="1" si="4"/>
        <v>18116.560000000001</v>
      </c>
      <c r="J18" s="310">
        <f t="shared" ca="1" si="1"/>
        <v>-2505.0400000000009</v>
      </c>
      <c r="K18" s="294"/>
      <c r="M18" s="292"/>
      <c r="N18" s="341">
        <f t="shared" ca="1" si="2"/>
        <v>-0.12147651006711413</v>
      </c>
      <c r="O18" s="217"/>
      <c r="P18" s="293"/>
      <c r="Q18" s="292"/>
      <c r="R18" s="292"/>
      <c r="S18" s="292"/>
      <c r="T18" s="292"/>
      <c r="U18" s="292"/>
    </row>
    <row r="19" spans="2:21" x14ac:dyDescent="0.2">
      <c r="B19" s="154" t="s">
        <v>172</v>
      </c>
      <c r="C19" s="154" t="s">
        <v>173</v>
      </c>
      <c r="D19" s="289">
        <f ca="1">'[61]Restated Rental Revenue'!R46</f>
        <v>1036</v>
      </c>
      <c r="E19" s="290">
        <f ca="1">'[61]Rate Design Rental_TR'!I21</f>
        <v>19.600000000000001</v>
      </c>
      <c r="F19" s="310">
        <f t="shared" ca="1" si="3"/>
        <v>20305.600000000002</v>
      </c>
      <c r="G19" s="294"/>
      <c r="H19" s="293">
        <f t="shared" ca="1" si="0"/>
        <v>17.22</v>
      </c>
      <c r="I19" s="310">
        <f t="shared" ca="1" si="4"/>
        <v>17839.919999999998</v>
      </c>
      <c r="J19" s="310">
        <f t="shared" ca="1" si="1"/>
        <v>-2465.6800000000039</v>
      </c>
      <c r="K19" s="294"/>
      <c r="L19" s="292"/>
      <c r="M19" s="292"/>
      <c r="N19" s="341">
        <f t="shared" ca="1" si="2"/>
        <v>-0.12142857142857155</v>
      </c>
      <c r="O19" s="298"/>
      <c r="P19" s="293"/>
      <c r="Q19" s="292"/>
      <c r="R19" s="292"/>
      <c r="S19" s="292"/>
      <c r="T19" s="292"/>
      <c r="U19" s="292"/>
    </row>
    <row r="20" spans="2:21" x14ac:dyDescent="0.2">
      <c r="B20" s="154" t="s">
        <v>174</v>
      </c>
      <c r="C20" s="154" t="s">
        <v>175</v>
      </c>
      <c r="D20" s="289">
        <f ca="1">'[61]Restated Rental Revenue'!R47</f>
        <v>2711</v>
      </c>
      <c r="E20" s="290">
        <f ca="1">'[61]Rate Design Rental_TR'!I22</f>
        <v>19.600000000000001</v>
      </c>
      <c r="F20" s="310">
        <f t="shared" ca="1" si="3"/>
        <v>53135.600000000006</v>
      </c>
      <c r="G20" s="294"/>
      <c r="H20" s="293">
        <f t="shared" ca="1" si="0"/>
        <v>17.22</v>
      </c>
      <c r="I20" s="310">
        <f t="shared" ca="1" si="4"/>
        <v>46683.42</v>
      </c>
      <c r="J20" s="310">
        <f t="shared" ca="1" si="1"/>
        <v>-6452.1800000000076</v>
      </c>
      <c r="K20" s="294"/>
      <c r="L20" s="292"/>
      <c r="M20" s="292"/>
      <c r="N20" s="341">
        <f t="shared" ca="1" si="2"/>
        <v>-0.12142857142857155</v>
      </c>
      <c r="O20" s="298"/>
      <c r="P20" s="293"/>
      <c r="Q20" s="292"/>
      <c r="R20" s="292"/>
      <c r="S20" s="292"/>
      <c r="T20" s="292"/>
      <c r="U20" s="292"/>
    </row>
    <row r="21" spans="2:21" x14ac:dyDescent="0.2">
      <c r="B21" s="154" t="s">
        <v>176</v>
      </c>
      <c r="C21" s="154" t="s">
        <v>177</v>
      </c>
      <c r="D21" s="289">
        <f ca="1">'[61]Restated Rental Revenue'!R48</f>
        <v>157</v>
      </c>
      <c r="E21" s="290">
        <f ca="1">'[61]Rate Design Rental_TR'!I23</f>
        <v>30.95</v>
      </c>
      <c r="F21" s="310">
        <f t="shared" ca="1" si="3"/>
        <v>4859.1499999999996</v>
      </c>
      <c r="G21" s="294"/>
      <c r="H21" s="293">
        <f t="shared" ca="1" si="0"/>
        <v>27.2</v>
      </c>
      <c r="I21" s="310">
        <f t="shared" ca="1" si="4"/>
        <v>4270.3999999999996</v>
      </c>
      <c r="J21" s="310">
        <f t="shared" ca="1" si="1"/>
        <v>-588.75</v>
      </c>
      <c r="K21" s="294"/>
      <c r="L21" s="292"/>
      <c r="M21" s="292"/>
      <c r="N21" s="341">
        <f t="shared" ca="1" si="2"/>
        <v>-0.1211631663974152</v>
      </c>
      <c r="O21" s="298"/>
      <c r="P21" s="293"/>
      <c r="Q21" s="292"/>
      <c r="R21" s="292"/>
      <c r="S21" s="292"/>
      <c r="T21" s="292"/>
      <c r="U21" s="292"/>
    </row>
    <row r="22" spans="2:21" x14ac:dyDescent="0.2">
      <c r="B22" s="154" t="s">
        <v>178</v>
      </c>
      <c r="C22" s="154" t="s">
        <v>179</v>
      </c>
      <c r="D22" s="289">
        <f ca="1">'[61]Restated Rental Revenue'!R49</f>
        <v>6638</v>
      </c>
      <c r="E22" s="290">
        <f ca="1">'[61]Rate Design Rental_TR'!I24</f>
        <v>40.51</v>
      </c>
      <c r="F22" s="310">
        <f t="shared" ca="1" si="3"/>
        <v>268905.38</v>
      </c>
      <c r="G22" s="294"/>
      <c r="H22" s="293">
        <f t="shared" ca="1" si="0"/>
        <v>35.6</v>
      </c>
      <c r="I22" s="310">
        <f t="shared" ca="1" si="4"/>
        <v>236312.80000000002</v>
      </c>
      <c r="J22" s="310">
        <f t="shared" ca="1" si="1"/>
        <v>-32592.579999999987</v>
      </c>
      <c r="K22" s="294"/>
      <c r="L22" s="292"/>
      <c r="M22" s="292"/>
      <c r="N22" s="341">
        <f t="shared" ca="1" si="2"/>
        <v>-0.12120464082942473</v>
      </c>
      <c r="O22" s="298"/>
      <c r="P22" s="293"/>
      <c r="Q22" s="292"/>
      <c r="R22" s="292"/>
      <c r="S22" s="292"/>
      <c r="T22" s="292"/>
      <c r="U22" s="292"/>
    </row>
    <row r="23" spans="2:21" x14ac:dyDescent="0.2">
      <c r="B23" s="154" t="s">
        <v>180</v>
      </c>
      <c r="C23" s="154" t="s">
        <v>181</v>
      </c>
      <c r="D23" s="289">
        <f ca="1">'[61]Restated Rental Revenue'!R50</f>
        <v>4526</v>
      </c>
      <c r="E23" s="290">
        <f ca="1">'[61]Rate Design Rental_TR'!I25</f>
        <v>54.25</v>
      </c>
      <c r="F23" s="310">
        <f t="shared" ca="1" si="3"/>
        <v>245535.5</v>
      </c>
      <c r="G23" s="294"/>
      <c r="H23" s="293">
        <f t="shared" ca="1" si="0"/>
        <v>47.68</v>
      </c>
      <c r="I23" s="310">
        <f t="shared" ca="1" si="4"/>
        <v>215799.67999999999</v>
      </c>
      <c r="J23" s="310">
        <f t="shared" ca="1" si="1"/>
        <v>-29735.820000000007</v>
      </c>
      <c r="K23" s="294"/>
      <c r="L23" s="292"/>
      <c r="M23" s="292"/>
      <c r="N23" s="341">
        <f t="shared" ca="1" si="2"/>
        <v>-0.12110599078341011</v>
      </c>
      <c r="O23" s="298"/>
      <c r="P23" s="293"/>
      <c r="Q23" s="292"/>
      <c r="R23" s="292"/>
      <c r="S23" s="292"/>
      <c r="T23" s="292"/>
      <c r="U23" s="292"/>
    </row>
    <row r="24" spans="2:21" x14ac:dyDescent="0.2">
      <c r="B24" s="154" t="s">
        <v>182</v>
      </c>
      <c r="C24" s="154" t="s">
        <v>183</v>
      </c>
      <c r="D24" s="289">
        <f ca="1">'[61]Restated Rental Revenue'!R51</f>
        <v>13159</v>
      </c>
      <c r="E24" s="290">
        <f ca="1">'[61]Rate Design Rental_TR'!I26</f>
        <v>63.09</v>
      </c>
      <c r="F24" s="310">
        <f t="shared" ca="1" si="3"/>
        <v>830201.31</v>
      </c>
      <c r="G24" s="294"/>
      <c r="H24" s="293">
        <f t="shared" ca="1" si="0"/>
        <v>55.45</v>
      </c>
      <c r="I24" s="310">
        <f t="shared" ca="1" si="4"/>
        <v>729666.55</v>
      </c>
      <c r="J24" s="310">
        <f t="shared" ca="1" si="1"/>
        <v>-100534.76000000001</v>
      </c>
      <c r="K24" s="294"/>
      <c r="L24" s="292"/>
      <c r="M24" s="292"/>
      <c r="N24" s="341">
        <f t="shared" ca="1" si="2"/>
        <v>-0.12109684577587576</v>
      </c>
      <c r="O24" s="298"/>
      <c r="P24" s="293"/>
      <c r="Q24" s="292"/>
      <c r="R24" s="292"/>
      <c r="S24" s="292"/>
      <c r="T24" s="292"/>
      <c r="U24" s="292"/>
    </row>
    <row r="25" spans="2:21" x14ac:dyDescent="0.2">
      <c r="B25" s="154" t="s">
        <v>184</v>
      </c>
      <c r="C25" s="154" t="s">
        <v>185</v>
      </c>
      <c r="D25" s="289">
        <f ca="1">'[61]Restated Rental Revenue'!R72</f>
        <v>11501</v>
      </c>
      <c r="E25" s="290">
        <f ca="1">'[61]Rate Design Rental_TR'!I27</f>
        <v>10.16</v>
      </c>
      <c r="F25" s="310">
        <f t="shared" ca="1" si="3"/>
        <v>116850.16</v>
      </c>
      <c r="G25" s="294"/>
      <c r="H25" s="293">
        <f t="shared" ca="1" si="0"/>
        <v>8.93</v>
      </c>
      <c r="I25" s="310">
        <f t="shared" ca="1" si="4"/>
        <v>102703.93</v>
      </c>
      <c r="J25" s="310">
        <f ca="1">I25-F25</f>
        <v>-14146.23000000001</v>
      </c>
      <c r="K25" s="294"/>
      <c r="M25" s="292"/>
      <c r="N25" s="341">
        <f t="shared" ca="1" si="2"/>
        <v>-0.12106299212598426</v>
      </c>
      <c r="O25" s="293"/>
      <c r="P25" s="293"/>
      <c r="Q25" s="292"/>
      <c r="R25" s="292"/>
      <c r="S25" s="292"/>
      <c r="T25" s="292"/>
      <c r="U25" s="292"/>
    </row>
    <row r="26" spans="2:21" x14ac:dyDescent="0.2">
      <c r="B26" s="154" t="s">
        <v>186</v>
      </c>
      <c r="C26" s="154" t="s">
        <v>187</v>
      </c>
      <c r="D26" s="289">
        <f ca="1">'[61]Restated Rental Revenue'!R73</f>
        <v>844</v>
      </c>
      <c r="E26" s="290">
        <f ca="1">'[61]Rate Design Rental_TR'!I28</f>
        <v>27.71</v>
      </c>
      <c r="F26" s="310">
        <f t="shared" ca="1" si="3"/>
        <v>23387.24</v>
      </c>
      <c r="G26" s="294"/>
      <c r="H26" s="293">
        <f t="shared" ca="1" si="0"/>
        <v>24.35</v>
      </c>
      <c r="I26" s="310">
        <f t="shared" ca="1" si="4"/>
        <v>20551.400000000001</v>
      </c>
      <c r="J26" s="310">
        <f ca="1">I26-F26</f>
        <v>-2835.84</v>
      </c>
      <c r="K26" s="294"/>
      <c r="M26" s="292"/>
      <c r="N26" s="341">
        <f t="shared" ca="1" si="2"/>
        <v>-0.12125586430891377</v>
      </c>
      <c r="O26" s="293"/>
      <c r="P26" s="293"/>
      <c r="Q26" s="292"/>
      <c r="R26" s="292"/>
      <c r="S26" s="292"/>
      <c r="T26" s="292"/>
      <c r="U26" s="292"/>
    </row>
    <row r="27" spans="2:21" x14ac:dyDescent="0.2">
      <c r="B27" s="154" t="s">
        <v>188</v>
      </c>
      <c r="C27" s="154" t="s">
        <v>189</v>
      </c>
      <c r="D27" s="289">
        <f ca="1">'[61]Restated Rental Revenue'!R74</f>
        <v>541</v>
      </c>
      <c r="E27" s="290">
        <f ca="1">'[61]Rate Design Rental_TR'!I29</f>
        <v>37.58</v>
      </c>
      <c r="F27" s="310">
        <f t="shared" ca="1" si="3"/>
        <v>20330.78</v>
      </c>
      <c r="G27" s="294"/>
      <c r="H27" s="293">
        <f t="shared" ca="1" si="0"/>
        <v>33.03</v>
      </c>
      <c r="I27" s="310">
        <f t="shared" ca="1" si="4"/>
        <v>17869.23</v>
      </c>
      <c r="J27" s="310">
        <f ca="1">I27-F27</f>
        <v>-2461.5499999999993</v>
      </c>
      <c r="K27" s="294"/>
      <c r="M27" s="292"/>
      <c r="N27" s="341">
        <f t="shared" ca="1" si="2"/>
        <v>-0.12107503991484825</v>
      </c>
      <c r="O27" s="293"/>
      <c r="P27" s="293"/>
      <c r="Q27" s="292"/>
      <c r="R27" s="292"/>
      <c r="S27" s="292"/>
      <c r="T27" s="292"/>
      <c r="U27" s="292"/>
    </row>
    <row r="28" spans="2:21" x14ac:dyDescent="0.2">
      <c r="B28" s="154" t="s">
        <v>190</v>
      </c>
      <c r="C28" s="154" t="s">
        <v>191</v>
      </c>
      <c r="D28" s="289">
        <f ca="1">'[61]Restated Rental Revenue'!R75</f>
        <v>19205</v>
      </c>
      <c r="E28" s="290">
        <f ca="1">'[61]Rate Design Rental_TR'!I30</f>
        <v>15.51</v>
      </c>
      <c r="F28" s="310">
        <f t="shared" ca="1" si="3"/>
        <v>297869.55</v>
      </c>
      <c r="G28" s="294"/>
      <c r="H28" s="293">
        <f t="shared" ca="1" si="0"/>
        <v>13.63</v>
      </c>
      <c r="I28" s="310">
        <f t="shared" ca="1" si="4"/>
        <v>261764.15000000002</v>
      </c>
      <c r="J28" s="310">
        <f ca="1">I28-F28</f>
        <v>-36105.399999999965</v>
      </c>
      <c r="K28" s="294"/>
      <c r="M28" s="292"/>
      <c r="N28" s="341">
        <f t="shared" ca="1" si="2"/>
        <v>-0.1212121212121211</v>
      </c>
      <c r="O28" s="293"/>
      <c r="P28" s="293"/>
      <c r="Q28" s="292"/>
      <c r="R28" s="292"/>
      <c r="S28" s="292"/>
      <c r="T28" s="292"/>
      <c r="U28" s="292"/>
    </row>
    <row r="29" spans="2:21" x14ac:dyDescent="0.2">
      <c r="C29" s="154" t="s">
        <v>17</v>
      </c>
      <c r="D29" s="255">
        <f ca="1">SUM(D12:D28)</f>
        <v>351449</v>
      </c>
      <c r="F29" s="311">
        <f ca="1">SUM(F12:F28)</f>
        <v>5310380.6900000004</v>
      </c>
      <c r="G29" s="297"/>
      <c r="H29" s="292"/>
      <c r="I29" s="311">
        <f ca="1">SUM(I12:I28)</f>
        <v>4665849.6300000008</v>
      </c>
      <c r="J29" s="311">
        <f ca="1">SUM(J12:J28)</f>
        <v>-644531.05999999982</v>
      </c>
      <c r="K29" s="22"/>
      <c r="O29" s="298"/>
      <c r="P29" s="297"/>
    </row>
    <row r="30" spans="2:21" s="153" customFormat="1" ht="13.5" thickBot="1" x14ac:dyDescent="0.25">
      <c r="E30" s="297"/>
      <c r="F30" s="297"/>
      <c r="G30" s="297"/>
      <c r="H30" s="297"/>
      <c r="I30" s="297"/>
      <c r="J30" s="297"/>
      <c r="K30" s="297"/>
    </row>
    <row r="31" spans="2:21" s="153" customFormat="1" ht="13.5" thickBot="1" x14ac:dyDescent="0.25">
      <c r="B31" s="340" t="s">
        <v>197</v>
      </c>
      <c r="C31" s="335"/>
      <c r="D31" s="334">
        <f ca="1">D29-'[61]Restated Rental Revenue'!$R$90</f>
        <v>0</v>
      </c>
      <c r="E31" s="334"/>
      <c r="F31" s="336">
        <f ca="1">F29-'Rate Spread'!C20</f>
        <v>0</v>
      </c>
      <c r="G31" s="301"/>
      <c r="H31" s="292"/>
      <c r="I31" s="292"/>
      <c r="J31" s="297"/>
      <c r="K31" s="297"/>
      <c r="M31" s="293"/>
      <c r="N31" s="302"/>
      <c r="O31" s="293"/>
      <c r="P31" s="293"/>
      <c r="Q31" s="293"/>
      <c r="R31" s="293"/>
      <c r="S31" s="293"/>
      <c r="U31" s="293"/>
    </row>
    <row r="32" spans="2:21" s="153" customFormat="1" x14ac:dyDescent="0.2">
      <c r="E32" s="300"/>
      <c r="I32" s="285"/>
      <c r="J32" s="303"/>
      <c r="K32" s="303"/>
    </row>
    <row r="33" spans="5:19" x14ac:dyDescent="0.2">
      <c r="E33" s="300"/>
      <c r="O33" s="304"/>
      <c r="P33" s="293"/>
      <c r="Q33" s="292"/>
      <c r="R33" s="292"/>
      <c r="S33" s="292"/>
    </row>
    <row r="34" spans="5:19" x14ac:dyDescent="0.2">
      <c r="E34" s="300"/>
      <c r="P34" s="293"/>
      <c r="Q34" s="292"/>
      <c r="R34" s="292"/>
      <c r="S34" s="292"/>
    </row>
    <row r="35" spans="5:19" x14ac:dyDescent="0.2">
      <c r="E35" s="300"/>
      <c r="I35" s="292"/>
      <c r="J35" s="292"/>
      <c r="K35" s="292"/>
      <c r="O35" s="299"/>
      <c r="P35" s="305"/>
      <c r="Q35" s="305"/>
      <c r="R35" s="306"/>
      <c r="S35" s="306"/>
    </row>
    <row r="36" spans="5:19" x14ac:dyDescent="0.2">
      <c r="E36" s="300"/>
      <c r="P36" s="153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4" sqref="M3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3:E12"/>
  <sheetViews>
    <sheetView workbookViewId="0">
      <selection activeCell="D23" sqref="D23"/>
    </sheetView>
  </sheetViews>
  <sheetFormatPr defaultRowHeight="15" x14ac:dyDescent="0.25"/>
  <cols>
    <col min="1" max="1" width="2.42578125" customWidth="1"/>
    <col min="2" max="2" width="30.5703125" bestFit="1" customWidth="1"/>
    <col min="3" max="4" width="27" bestFit="1" customWidth="1"/>
    <col min="5" max="5" width="14.42578125" bestFit="1" customWidth="1"/>
  </cols>
  <sheetData>
    <row r="3" spans="2:5" x14ac:dyDescent="0.25">
      <c r="B3" s="37" t="s">
        <v>22</v>
      </c>
      <c r="C3" s="37" t="s">
        <v>221</v>
      </c>
      <c r="D3" s="37" t="s">
        <v>222</v>
      </c>
      <c r="E3" s="37" t="s">
        <v>102</v>
      </c>
    </row>
    <row r="4" spans="2:5" x14ac:dyDescent="0.25">
      <c r="B4" s="286" t="s">
        <v>30</v>
      </c>
      <c r="C4" s="286" t="s">
        <v>31</v>
      </c>
      <c r="D4" s="286" t="s">
        <v>32</v>
      </c>
      <c r="E4" s="286" t="s">
        <v>33</v>
      </c>
    </row>
    <row r="5" spans="2:5" x14ac:dyDescent="0.25">
      <c r="B5" s="16" t="s">
        <v>46</v>
      </c>
      <c r="C5" t="s">
        <v>223</v>
      </c>
    </row>
    <row r="6" spans="2:5" x14ac:dyDescent="0.25">
      <c r="B6" s="8" t="s">
        <v>47</v>
      </c>
      <c r="C6" t="s">
        <v>223</v>
      </c>
      <c r="D6" t="s">
        <v>223</v>
      </c>
    </row>
    <row r="7" spans="2:5" x14ac:dyDescent="0.25">
      <c r="B7" s="19" t="s">
        <v>48</v>
      </c>
      <c r="C7" t="s">
        <v>223</v>
      </c>
      <c r="D7" t="s">
        <v>223</v>
      </c>
      <c r="E7" s="353">
        <v>1.25</v>
      </c>
    </row>
    <row r="8" spans="2:5" x14ac:dyDescent="0.25">
      <c r="B8" s="16" t="s">
        <v>49</v>
      </c>
      <c r="C8" t="s">
        <v>223</v>
      </c>
      <c r="D8" t="s">
        <v>223</v>
      </c>
      <c r="E8" s="353">
        <v>1.3</v>
      </c>
    </row>
    <row r="9" spans="2:5" x14ac:dyDescent="0.25">
      <c r="B9" s="19" t="s">
        <v>50</v>
      </c>
      <c r="C9" t="s">
        <v>223</v>
      </c>
      <c r="D9" t="s">
        <v>223</v>
      </c>
      <c r="E9" s="353">
        <v>1.35</v>
      </c>
    </row>
    <row r="10" spans="2:5" x14ac:dyDescent="0.25">
      <c r="B10" s="19" t="s">
        <v>51</v>
      </c>
      <c r="C10" t="s">
        <v>223</v>
      </c>
      <c r="D10" t="s">
        <v>223</v>
      </c>
      <c r="E10" s="353">
        <v>1.45</v>
      </c>
    </row>
    <row r="12" spans="2:5" x14ac:dyDescent="0.25">
      <c r="B12" s="19"/>
    </row>
  </sheetData>
  <pageMargins left="0.7" right="0.7" top="0.75" bottom="0.75" header="0.3" footer="0.3"/>
  <pageSetup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C244"/>
  <sheetViews>
    <sheetView topLeftCell="B1" zoomScale="85" zoomScaleNormal="85" workbookViewId="0">
      <pane xSplit="3" ySplit="7" topLeftCell="E8" activePane="bottomRight" state="frozen"/>
      <selection activeCell="M34" sqref="M34"/>
      <selection pane="topRight" activeCell="M34" sqref="M34"/>
      <selection pane="bottomLeft" activeCell="M34" sqref="M34"/>
      <selection pane="bottomRight" activeCell="S85" sqref="S85"/>
    </sheetView>
  </sheetViews>
  <sheetFormatPr defaultColWidth="9.140625" defaultRowHeight="15" x14ac:dyDescent="0.25"/>
  <cols>
    <col min="1" max="1" width="3.140625" style="357" customWidth="1"/>
    <col min="2" max="2" width="6.7109375" style="357" customWidth="1"/>
    <col min="3" max="3" width="43.7109375" style="456" bestFit="1" customWidth="1"/>
    <col min="4" max="4" width="9.85546875" style="456" bestFit="1" customWidth="1"/>
    <col min="5" max="5" width="13.28515625" style="456" bestFit="1" customWidth="1"/>
    <col min="6" max="6" width="10.7109375" style="456" bestFit="1" customWidth="1"/>
    <col min="7" max="7" width="16" style="456" bestFit="1" customWidth="1"/>
    <col min="8" max="8" width="2.42578125" style="357" customWidth="1"/>
    <col min="9" max="9" width="10.7109375" style="405" bestFit="1" customWidth="1"/>
    <col min="10" max="10" width="16" style="499" bestFit="1" customWidth="1"/>
    <col min="11" max="11" width="2.42578125" style="357" customWidth="1"/>
    <col min="12" max="12" width="11.5703125" style="357" bestFit="1" customWidth="1"/>
    <col min="13" max="13" width="7.85546875" style="357" bestFit="1" customWidth="1"/>
    <col min="14" max="14" width="2.42578125" style="357" customWidth="1"/>
    <col min="15" max="15" width="15.7109375" style="357" customWidth="1"/>
    <col min="16" max="16" width="2.42578125" style="357" customWidth="1"/>
    <col min="17" max="17" width="15.5703125" style="357" bestFit="1" customWidth="1"/>
    <col min="18" max="16384" width="9.140625" style="357"/>
  </cols>
  <sheetData>
    <row r="1" spans="2:29" x14ac:dyDescent="0.25">
      <c r="B1" s="504" t="s">
        <v>0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354"/>
      <c r="S1" s="354"/>
      <c r="T1" s="355"/>
      <c r="U1" s="354"/>
      <c r="V1" s="354"/>
      <c r="W1" s="354"/>
      <c r="X1" s="354"/>
      <c r="Y1" s="354"/>
      <c r="Z1" s="354"/>
      <c r="AA1" s="356"/>
      <c r="AB1" s="356"/>
      <c r="AC1" s="356"/>
    </row>
    <row r="2" spans="2:29" x14ac:dyDescent="0.25">
      <c r="B2" s="504" t="s">
        <v>224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354"/>
      <c r="S2" s="354"/>
      <c r="T2" s="355"/>
      <c r="U2" s="354"/>
      <c r="V2" s="354"/>
      <c r="W2" s="354"/>
      <c r="X2" s="354"/>
      <c r="Y2" s="354"/>
      <c r="Z2" s="354"/>
      <c r="AA2" s="356"/>
      <c r="AB2" s="356"/>
      <c r="AC2" s="356"/>
    </row>
    <row r="3" spans="2:29" x14ac:dyDescent="0.25">
      <c r="B3" s="504" t="s">
        <v>225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358"/>
      <c r="S3" s="354"/>
      <c r="T3" s="355"/>
      <c r="U3" s="354"/>
      <c r="V3" s="354"/>
      <c r="W3" s="354"/>
      <c r="X3" s="354"/>
      <c r="Y3" s="354"/>
      <c r="Z3" s="354"/>
      <c r="AA3" s="356"/>
      <c r="AB3" s="356"/>
      <c r="AC3" s="356"/>
    </row>
    <row r="4" spans="2:29" x14ac:dyDescent="0.25">
      <c r="B4" s="505" t="s">
        <v>226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359"/>
      <c r="S4" s="359"/>
      <c r="T4" s="360"/>
      <c r="U4" s="359"/>
      <c r="V4" s="359"/>
      <c r="W4" s="359"/>
      <c r="X4" s="359"/>
      <c r="Y4" s="359"/>
      <c r="Z4" s="359"/>
      <c r="AA4" s="361"/>
      <c r="AB4" s="361"/>
      <c r="AC4" s="361"/>
    </row>
    <row r="5" spans="2:29" x14ac:dyDescent="0.25">
      <c r="B5" s="362"/>
      <c r="C5" s="362"/>
      <c r="D5" s="362"/>
      <c r="E5" s="362"/>
      <c r="F5" s="362"/>
      <c r="G5" s="362"/>
      <c r="H5" s="363"/>
      <c r="I5" s="484"/>
      <c r="J5" s="484"/>
      <c r="K5" s="363"/>
      <c r="L5" s="363"/>
      <c r="M5" s="363"/>
      <c r="N5" s="363"/>
      <c r="O5" s="364" t="s">
        <v>227</v>
      </c>
      <c r="P5" s="365"/>
      <c r="Q5" s="365"/>
      <c r="R5" s="359"/>
      <c r="S5" s="359"/>
      <c r="T5" s="360"/>
      <c r="U5" s="359"/>
      <c r="V5" s="359"/>
      <c r="W5" s="359"/>
      <c r="X5" s="359"/>
      <c r="Y5" s="359"/>
      <c r="Z5" s="359"/>
      <c r="AA5" s="361"/>
      <c r="AB5" s="361"/>
      <c r="AC5" s="361"/>
    </row>
    <row r="6" spans="2:29" s="366" customFormat="1" x14ac:dyDescent="0.25">
      <c r="C6" s="364"/>
      <c r="D6" s="364"/>
      <c r="E6" s="367" t="s">
        <v>61</v>
      </c>
      <c r="F6" s="368" t="s">
        <v>62</v>
      </c>
      <c r="G6" s="369"/>
      <c r="H6" s="370"/>
      <c r="I6" s="485" t="s">
        <v>4</v>
      </c>
      <c r="J6" s="486"/>
      <c r="K6" s="371"/>
      <c r="L6" s="368" t="s">
        <v>89</v>
      </c>
      <c r="M6" s="368"/>
      <c r="N6" s="372"/>
      <c r="O6" s="373" t="s">
        <v>228</v>
      </c>
      <c r="P6" s="364"/>
      <c r="Q6" s="364" t="s">
        <v>21</v>
      </c>
      <c r="R6" s="371"/>
      <c r="S6" s="371"/>
      <c r="T6" s="371"/>
      <c r="U6" s="371"/>
      <c r="V6" s="371"/>
      <c r="W6" s="371"/>
      <c r="X6" s="371"/>
      <c r="Y6" s="371"/>
      <c r="Z6" s="371"/>
    </row>
    <row r="7" spans="2:29" s="366" customFormat="1" x14ac:dyDescent="0.25">
      <c r="B7" s="374"/>
      <c r="C7" s="375" t="s">
        <v>65</v>
      </c>
      <c r="D7" s="375" t="s">
        <v>66</v>
      </c>
      <c r="E7" s="376" t="s">
        <v>67</v>
      </c>
      <c r="F7" s="375" t="s">
        <v>23</v>
      </c>
      <c r="G7" s="377" t="s">
        <v>68</v>
      </c>
      <c r="H7" s="378"/>
      <c r="I7" s="376" t="s">
        <v>23</v>
      </c>
      <c r="J7" s="487" t="s">
        <v>68</v>
      </c>
      <c r="K7" s="371"/>
      <c r="L7" s="379" t="s">
        <v>28</v>
      </c>
      <c r="M7" s="380" t="s">
        <v>1</v>
      </c>
      <c r="N7" s="381"/>
      <c r="O7" s="375" t="s">
        <v>229</v>
      </c>
      <c r="P7" s="364"/>
      <c r="Q7" s="375" t="s">
        <v>89</v>
      </c>
      <c r="R7" s="371"/>
      <c r="S7" s="371"/>
      <c r="T7" s="371"/>
      <c r="U7" s="371"/>
      <c r="V7" s="371"/>
      <c r="W7" s="371"/>
      <c r="X7" s="371"/>
      <c r="Y7" s="371"/>
      <c r="Z7" s="371"/>
    </row>
    <row r="8" spans="2:29" s="366" customFormat="1" x14ac:dyDescent="0.25">
      <c r="B8" s="382" t="s">
        <v>230</v>
      </c>
      <c r="D8" s="382"/>
      <c r="E8" s="383"/>
      <c r="F8" s="383"/>
      <c r="G8" s="384"/>
      <c r="H8" s="385"/>
      <c r="I8" s="383"/>
      <c r="J8" s="407"/>
      <c r="K8" s="371"/>
      <c r="L8" s="371"/>
      <c r="M8" s="371"/>
      <c r="N8" s="381"/>
      <c r="O8" s="371"/>
      <c r="P8" s="381"/>
      <c r="R8" s="371"/>
      <c r="S8" s="371"/>
      <c r="T8" s="371"/>
      <c r="U8" s="371"/>
      <c r="V8" s="371"/>
      <c r="W8" s="371"/>
      <c r="X8" s="371"/>
      <c r="Y8" s="371"/>
      <c r="Z8" s="371"/>
    </row>
    <row r="9" spans="2:29" s="366" customFormat="1" x14ac:dyDescent="0.25">
      <c r="C9" s="386" t="s">
        <v>73</v>
      </c>
      <c r="D9" s="386" t="s">
        <v>74</v>
      </c>
      <c r="E9" s="387">
        <v>9329676.0139058214</v>
      </c>
      <c r="F9" s="388">
        <v>11</v>
      </c>
      <c r="G9" s="384">
        <f>ROUND(SUM(+$E9*F9),2)</f>
        <v>102626436.15000001</v>
      </c>
      <c r="H9" s="385"/>
      <c r="I9" s="406">
        <f>ROUND(F9*(1+Q14),2)</f>
        <v>11.52</v>
      </c>
      <c r="J9" s="407">
        <f>SUM(+$E9*I9)</f>
        <v>107477867.68019506</v>
      </c>
      <c r="K9" s="371"/>
      <c r="L9" s="389">
        <f>J9-G9</f>
        <v>4851431.5301950574</v>
      </c>
      <c r="M9" s="390">
        <f>IF(G9&lt;&gt;0,L9/G9,0)</f>
        <v>4.7272727302974334E-2</v>
      </c>
      <c r="N9" s="390"/>
      <c r="O9" s="391">
        <f>I9-F9</f>
        <v>0.51999999999999957</v>
      </c>
      <c r="P9" s="371"/>
      <c r="Q9" s="392" t="s">
        <v>231</v>
      </c>
      <c r="R9" s="371"/>
      <c r="S9" s="371"/>
      <c r="T9" s="371"/>
      <c r="U9" s="371"/>
      <c r="V9" s="371"/>
      <c r="W9" s="371"/>
      <c r="X9" s="371"/>
      <c r="Y9" s="371"/>
      <c r="Z9" s="371"/>
    </row>
    <row r="10" spans="2:29" s="366" customFormat="1" x14ac:dyDescent="0.25">
      <c r="C10" s="393" t="s">
        <v>75</v>
      </c>
      <c r="D10" s="393" t="s">
        <v>76</v>
      </c>
      <c r="E10" s="387">
        <v>603105552.93699992</v>
      </c>
      <c r="F10" s="394">
        <v>0.34603</v>
      </c>
      <c r="G10" s="384">
        <f>ROUND($E10*F10,2)</f>
        <v>208692614.47999999</v>
      </c>
      <c r="H10" s="393"/>
      <c r="I10" s="410">
        <f>ROUND(F10*(1+Q14),5)</f>
        <v>0.36247000000000001</v>
      </c>
      <c r="J10" s="407">
        <f>ROUND($E10*I10,2)</f>
        <v>218607669.77000001</v>
      </c>
      <c r="L10" s="389">
        <f>J10-G10</f>
        <v>9915055.2900000215</v>
      </c>
      <c r="M10" s="390">
        <f>IF(G10&lt;&gt;0,L10/G10,0)</f>
        <v>4.7510331473422741E-2</v>
      </c>
      <c r="N10" s="390"/>
      <c r="O10" s="395">
        <f>I10-F10</f>
        <v>1.644000000000001E-2</v>
      </c>
      <c r="Q10" s="396">
        <v>27829294.072001942</v>
      </c>
    </row>
    <row r="11" spans="2:29" s="366" customFormat="1" x14ac:dyDescent="0.25">
      <c r="C11" s="397" t="s">
        <v>232</v>
      </c>
      <c r="D11" s="397"/>
      <c r="E11" s="398"/>
      <c r="F11" s="383"/>
      <c r="G11" s="399">
        <f>SUM(G9:G10)</f>
        <v>311319050.63</v>
      </c>
      <c r="H11" s="393"/>
      <c r="I11" s="383"/>
      <c r="J11" s="488">
        <f>SUM(J9:J10)</f>
        <v>326085537.45019507</v>
      </c>
      <c r="L11" s="399">
        <f>SUM(L9:L10)</f>
        <v>14766486.820195079</v>
      </c>
      <c r="M11" s="390">
        <f>IF(G11&lt;&gt;0,L11/G11,0)</f>
        <v>4.7432005173833454E-2</v>
      </c>
      <c r="N11" s="390"/>
      <c r="Q11" s="400" t="s">
        <v>233</v>
      </c>
    </row>
    <row r="12" spans="2:29" s="366" customFormat="1" x14ac:dyDescent="0.25">
      <c r="C12" s="397"/>
      <c r="D12" s="397"/>
      <c r="E12" s="401"/>
      <c r="F12" s="383"/>
      <c r="G12" s="384"/>
      <c r="H12" s="402"/>
      <c r="I12" s="383"/>
      <c r="J12" s="407"/>
      <c r="Q12" s="403">
        <f>L11+L16+L19-Q10</f>
        <v>-13062566.245087752</v>
      </c>
      <c r="T12" s="393"/>
    </row>
    <row r="13" spans="2:29" s="366" customFormat="1" x14ac:dyDescent="0.25">
      <c r="B13" s="404" t="s">
        <v>234</v>
      </c>
      <c r="D13" s="404"/>
      <c r="E13" s="383"/>
      <c r="F13" s="383"/>
      <c r="G13" s="384"/>
      <c r="H13" s="393"/>
      <c r="I13" s="383"/>
      <c r="J13" s="407"/>
      <c r="Q13" s="400" t="s">
        <v>235</v>
      </c>
      <c r="T13" s="393"/>
    </row>
    <row r="14" spans="2:29" s="405" customFormat="1" x14ac:dyDescent="0.25">
      <c r="C14" s="386" t="s">
        <v>73</v>
      </c>
      <c r="D14" s="386" t="s">
        <v>74</v>
      </c>
      <c r="E14" s="387">
        <v>7.5321521335807056</v>
      </c>
      <c r="F14" s="406">
        <f>F9</f>
        <v>11</v>
      </c>
      <c r="G14" s="407">
        <f>SUM($E14*F14)</f>
        <v>82.853673469387758</v>
      </c>
      <c r="H14" s="408"/>
      <c r="I14" s="406">
        <f>I9</f>
        <v>11.52</v>
      </c>
      <c r="J14" s="407">
        <f>SUM($E14*I14)</f>
        <v>86.770392578849723</v>
      </c>
      <c r="L14" s="389">
        <f t="shared" ref="L14:L16" si="0">J14-G14</f>
        <v>3.9167191094619653</v>
      </c>
      <c r="M14" s="390">
        <f t="shared" ref="M14:M16" si="1">IF(G14&lt;&gt;0,L14/G14,0)</f>
        <v>4.7272727272727258E-2</v>
      </c>
      <c r="N14" s="390"/>
      <c r="O14" s="391">
        <f>I14-F14</f>
        <v>0.51999999999999957</v>
      </c>
      <c r="Q14" s="409">
        <v>4.7521822999836899E-2</v>
      </c>
      <c r="T14" s="383"/>
    </row>
    <row r="15" spans="2:29" s="405" customFormat="1" x14ac:dyDescent="0.25">
      <c r="C15" s="393" t="s">
        <v>75</v>
      </c>
      <c r="D15" s="393" t="s">
        <v>76</v>
      </c>
      <c r="E15" s="387">
        <v>295.27300000000002</v>
      </c>
      <c r="F15" s="410">
        <f>F10</f>
        <v>0.34603</v>
      </c>
      <c r="G15" s="407">
        <f>ROUND($E15*F15,2)</f>
        <v>102.17</v>
      </c>
      <c r="H15" s="408"/>
      <c r="I15" s="410">
        <f>I10</f>
        <v>0.36247000000000001</v>
      </c>
      <c r="J15" s="407">
        <f>ROUND($E15*I15,2)</f>
        <v>107.03</v>
      </c>
      <c r="L15" s="411">
        <f t="shared" si="0"/>
        <v>4.8599999999999994</v>
      </c>
      <c r="M15" s="390">
        <f t="shared" si="1"/>
        <v>4.7567779191543501E-2</v>
      </c>
      <c r="N15" s="390"/>
      <c r="O15" s="395">
        <f>I15-F15</f>
        <v>1.644000000000001E-2</v>
      </c>
      <c r="T15" s="383"/>
    </row>
    <row r="16" spans="2:29" s="405" customFormat="1" x14ac:dyDescent="0.25">
      <c r="C16" s="397" t="s">
        <v>232</v>
      </c>
      <c r="D16" s="386"/>
      <c r="E16" s="398"/>
      <c r="F16" s="383"/>
      <c r="G16" s="399">
        <f>SUM(G14:G15)</f>
        <v>185.02367346938775</v>
      </c>
      <c r="H16" s="383"/>
      <c r="I16" s="383"/>
      <c r="J16" s="488">
        <f>SUM(J14:J15)</f>
        <v>193.80039257884971</v>
      </c>
      <c r="L16" s="389">
        <f t="shared" si="0"/>
        <v>8.7767191094619648</v>
      </c>
      <c r="M16" s="390">
        <f t="shared" si="1"/>
        <v>4.7435654826700202E-2</v>
      </c>
      <c r="N16" s="390"/>
      <c r="T16" s="383"/>
    </row>
    <row r="17" spans="2:20" s="405" customFormat="1" x14ac:dyDescent="0.25">
      <c r="C17" s="412"/>
      <c r="D17" s="412"/>
      <c r="E17" s="383"/>
      <c r="F17" s="383"/>
      <c r="G17" s="407"/>
      <c r="H17" s="383"/>
      <c r="I17" s="383"/>
      <c r="J17" s="407"/>
      <c r="T17" s="383"/>
    </row>
    <row r="18" spans="2:20" s="366" customFormat="1" x14ac:dyDescent="0.25">
      <c r="B18" s="404" t="s">
        <v>236</v>
      </c>
      <c r="D18" s="382"/>
      <c r="E18" s="383"/>
      <c r="F18" s="393"/>
      <c r="G18" s="384"/>
      <c r="H18" s="393"/>
      <c r="I18" s="383"/>
      <c r="J18" s="407"/>
      <c r="T18" s="393"/>
    </row>
    <row r="19" spans="2:20" s="366" customFormat="1" x14ac:dyDescent="0.25">
      <c r="C19" s="397" t="s">
        <v>232</v>
      </c>
      <c r="D19" s="413" t="s">
        <v>86</v>
      </c>
      <c r="E19" s="387">
        <v>504.84447368421053</v>
      </c>
      <c r="F19" s="388">
        <v>9.69</v>
      </c>
      <c r="G19" s="384">
        <f>ROUND($E19*F19,2)</f>
        <v>4891.9399999999996</v>
      </c>
      <c r="H19" s="414"/>
      <c r="I19" s="406">
        <f>ROUND(F19*(1+Q14),2)</f>
        <v>10.15</v>
      </c>
      <c r="J19" s="407">
        <f>ROUND($E19*I19,2)</f>
        <v>5124.17</v>
      </c>
      <c r="L19" s="389">
        <f>J19-G19</f>
        <v>232.23000000000047</v>
      </c>
      <c r="M19" s="390">
        <f>IF(G19&lt;&gt;0,L19/G19,0)</f>
        <v>4.747196408786708E-2</v>
      </c>
      <c r="N19" s="390"/>
      <c r="O19" s="391">
        <f>I19-F19</f>
        <v>0.46000000000000085</v>
      </c>
      <c r="T19" s="393"/>
    </row>
    <row r="20" spans="2:20" s="366" customFormat="1" x14ac:dyDescent="0.25">
      <c r="C20" s="397" t="s">
        <v>76</v>
      </c>
      <c r="D20" s="413"/>
      <c r="E20" s="398">
        <f>E19*19</f>
        <v>9592.0450000000001</v>
      </c>
      <c r="F20" s="388"/>
      <c r="G20" s="384"/>
      <c r="H20" s="414"/>
      <c r="I20" s="406"/>
      <c r="J20" s="407"/>
      <c r="L20" s="389"/>
      <c r="M20" s="390"/>
      <c r="N20" s="390"/>
      <c r="Q20" s="392" t="s">
        <v>237</v>
      </c>
      <c r="T20" s="393"/>
    </row>
    <row r="21" spans="2:20" s="366" customFormat="1" x14ac:dyDescent="0.25">
      <c r="C21" s="393"/>
      <c r="D21" s="393"/>
      <c r="E21" s="383"/>
      <c r="F21" s="415"/>
      <c r="G21" s="384"/>
      <c r="H21" s="414"/>
      <c r="I21" s="383"/>
      <c r="J21" s="407"/>
      <c r="Q21" s="396">
        <v>8186189.3009216953</v>
      </c>
      <c r="T21" s="393"/>
    </row>
    <row r="22" spans="2:20" s="417" customFormat="1" x14ac:dyDescent="0.25">
      <c r="B22" s="416" t="s">
        <v>238</v>
      </c>
      <c r="D22" s="418"/>
      <c r="E22" s="419"/>
      <c r="F22" s="420"/>
      <c r="G22" s="421"/>
      <c r="H22" s="422"/>
      <c r="I22" s="419"/>
      <c r="J22" s="425"/>
      <c r="Q22" s="396"/>
    </row>
    <row r="23" spans="2:20" s="417" customFormat="1" x14ac:dyDescent="0.25">
      <c r="C23" s="423" t="s">
        <v>73</v>
      </c>
      <c r="D23" s="423" t="s">
        <v>74</v>
      </c>
      <c r="E23" s="424">
        <v>689698.95172727259</v>
      </c>
      <c r="F23" s="388">
        <v>32.159999999999997</v>
      </c>
      <c r="G23" s="425">
        <f>ROUND($E23*F23,2)</f>
        <v>22180718.289999999</v>
      </c>
      <c r="H23" s="422"/>
      <c r="I23" s="406">
        <f>ROUND(F23*(1+Q26),2)</f>
        <v>33.840000000000003</v>
      </c>
      <c r="J23" s="425">
        <f>ROUND($E23*I23,2)</f>
        <v>23339412.530000001</v>
      </c>
      <c r="L23" s="389">
        <f t="shared" ref="L23:L24" si="2">J23-G23</f>
        <v>1158694.2400000021</v>
      </c>
      <c r="M23" s="390">
        <f t="shared" ref="M23:M26" si="3">IF(G23&lt;&gt;0,L23/G23,0)</f>
        <v>5.2238806013887758E-2</v>
      </c>
      <c r="N23" s="390"/>
      <c r="O23" s="391">
        <f>I23-F23</f>
        <v>1.6800000000000068</v>
      </c>
      <c r="Q23" s="400" t="s">
        <v>233</v>
      </c>
    </row>
    <row r="24" spans="2:20" s="417" customFormat="1" x14ac:dyDescent="0.25">
      <c r="C24" s="426" t="s">
        <v>75</v>
      </c>
      <c r="D24" s="426" t="s">
        <v>76</v>
      </c>
      <c r="E24" s="424">
        <v>228604732.46999997</v>
      </c>
      <c r="F24" s="427">
        <v>0.29475000000000001</v>
      </c>
      <c r="G24" s="425">
        <f>ROUND($E24*F24,2)</f>
        <v>67381244.900000006</v>
      </c>
      <c r="H24" s="422"/>
      <c r="I24" s="410">
        <f>ROUND(F24*(1+Q26),5)</f>
        <v>0.31009999999999999</v>
      </c>
      <c r="J24" s="425">
        <f>ROUND($E24*I24,2)</f>
        <v>70890327.540000007</v>
      </c>
      <c r="L24" s="389">
        <f t="shared" si="2"/>
        <v>3509082.6400000006</v>
      </c>
      <c r="M24" s="390">
        <f t="shared" si="3"/>
        <v>5.2078032176576784E-2</v>
      </c>
      <c r="N24" s="390"/>
      <c r="O24" s="395">
        <f>I24-F24</f>
        <v>1.5349999999999975E-2</v>
      </c>
      <c r="Q24" s="403">
        <f>L26+L36-Q21</f>
        <v>-3413254.240921678</v>
      </c>
    </row>
    <row r="25" spans="2:20" s="417" customFormat="1" x14ac:dyDescent="0.25">
      <c r="C25" s="426" t="s">
        <v>95</v>
      </c>
      <c r="D25" s="426" t="s">
        <v>76</v>
      </c>
      <c r="E25" s="424">
        <v>228604732.46999997</v>
      </c>
      <c r="F25" s="427">
        <v>8.8199999999999997E-3</v>
      </c>
      <c r="G25" s="425">
        <f>ROUND($E25*F25,2)</f>
        <v>2016293.74</v>
      </c>
      <c r="H25" s="422"/>
      <c r="I25" s="410">
        <f>ROUND(F25*(1+Q26),5)</f>
        <v>9.2800000000000001E-3</v>
      </c>
      <c r="J25" s="425">
        <f>ROUND($E25*I25,2)</f>
        <v>2121451.92</v>
      </c>
      <c r="L25" s="411">
        <f>J25-G25</f>
        <v>105158.17999999993</v>
      </c>
      <c r="M25" s="390">
        <f t="shared" si="3"/>
        <v>5.2154196540827397E-2</v>
      </c>
      <c r="N25" s="390"/>
      <c r="O25" s="395">
        <f>I25-F25</f>
        <v>4.6000000000000034E-4</v>
      </c>
      <c r="Q25" s="400" t="s">
        <v>235</v>
      </c>
    </row>
    <row r="26" spans="2:20" s="417" customFormat="1" x14ac:dyDescent="0.25">
      <c r="C26" s="397" t="s">
        <v>232</v>
      </c>
      <c r="D26" s="418"/>
      <c r="E26" s="428"/>
      <c r="F26" s="429"/>
      <c r="G26" s="430">
        <f>SUM(G23:G25)</f>
        <v>91578256.929999992</v>
      </c>
      <c r="H26" s="422"/>
      <c r="I26" s="428"/>
      <c r="J26" s="430">
        <f>SUM(J23:J25)</f>
        <v>96351191.99000001</v>
      </c>
      <c r="L26" s="389">
        <f>J26-G26</f>
        <v>4772935.0600000173</v>
      </c>
      <c r="M26" s="390">
        <f t="shared" si="3"/>
        <v>5.2118649338874438E-2</v>
      </c>
      <c r="N26" s="390"/>
      <c r="Q26" s="409">
        <v>5.2090445717949199E-2</v>
      </c>
    </row>
    <row r="27" spans="2:20" s="417" customFormat="1" x14ac:dyDescent="0.25">
      <c r="C27" s="426"/>
      <c r="D27" s="426"/>
      <c r="E27" s="419"/>
      <c r="F27" s="429"/>
      <c r="G27" s="425"/>
      <c r="H27" s="422"/>
      <c r="I27" s="428"/>
      <c r="J27" s="425"/>
    </row>
    <row r="28" spans="2:20" s="417" customFormat="1" x14ac:dyDescent="0.25">
      <c r="B28" s="431" t="s">
        <v>239</v>
      </c>
      <c r="D28" s="418"/>
      <c r="E28" s="419"/>
      <c r="F28" s="420"/>
      <c r="G28" s="421"/>
      <c r="H28" s="422"/>
      <c r="I28" s="419"/>
      <c r="J28" s="425"/>
      <c r="L28" s="426"/>
    </row>
    <row r="29" spans="2:20" s="417" customFormat="1" x14ac:dyDescent="0.25">
      <c r="B29" s="426"/>
      <c r="C29" s="423" t="s">
        <v>73</v>
      </c>
      <c r="D29" s="423" t="s">
        <v>74</v>
      </c>
      <c r="E29" s="424">
        <v>37.000031241542246</v>
      </c>
      <c r="F29" s="388">
        <v>353.77</v>
      </c>
      <c r="G29" s="425">
        <f>ROUND($E29*F29,2)</f>
        <v>13089.5</v>
      </c>
      <c r="H29" s="422"/>
      <c r="I29" s="406">
        <f>ROUND(F29*(1+Q35),2)</f>
        <v>364.04</v>
      </c>
      <c r="J29" s="425">
        <f>ROUND($E29*I29,2)</f>
        <v>13469.49</v>
      </c>
      <c r="L29" s="385">
        <f t="shared" ref="L29:L32" si="4">J29-G29</f>
        <v>379.98999999999978</v>
      </c>
      <c r="M29" s="390">
        <f t="shared" ref="M29:M32" si="5">IF(G29&lt;&gt;0,L29/G29,0)</f>
        <v>2.9030138660758608E-2</v>
      </c>
      <c r="N29" s="390"/>
      <c r="O29" s="391">
        <f>I29-F29</f>
        <v>10.270000000000039</v>
      </c>
      <c r="Q29" s="392" t="s">
        <v>240</v>
      </c>
    </row>
    <row r="30" spans="2:20" s="417" customFormat="1" x14ac:dyDescent="0.25">
      <c r="B30" s="426"/>
      <c r="C30" s="426" t="s">
        <v>75</v>
      </c>
      <c r="D30" s="426" t="s">
        <v>76</v>
      </c>
      <c r="E30" s="424">
        <v>43413.770000000004</v>
      </c>
      <c r="F30" s="427">
        <v>0.29475000000000001</v>
      </c>
      <c r="G30" s="425">
        <f>ROUND($E30*F30,2)</f>
        <v>12796.21</v>
      </c>
      <c r="H30" s="422"/>
      <c r="I30" s="410">
        <f>ROUND(F30*(1+Q35),5)</f>
        <v>0.30331000000000002</v>
      </c>
      <c r="J30" s="425">
        <f>ROUND($E30*I30,2)</f>
        <v>13167.83</v>
      </c>
      <c r="L30" s="389">
        <f t="shared" si="4"/>
        <v>371.6200000000008</v>
      </c>
      <c r="M30" s="390">
        <f t="shared" si="5"/>
        <v>2.9041411480430598E-2</v>
      </c>
      <c r="N30" s="390"/>
      <c r="O30" s="395">
        <f t="shared" ref="O30" si="6">I30-F30</f>
        <v>8.560000000000012E-3</v>
      </c>
      <c r="Q30" s="396">
        <v>2313.9261152316726</v>
      </c>
    </row>
    <row r="31" spans="2:20" s="417" customFormat="1" x14ac:dyDescent="0.25">
      <c r="B31" s="426"/>
      <c r="C31" s="423" t="s">
        <v>95</v>
      </c>
      <c r="D31" s="426" t="s">
        <v>76</v>
      </c>
      <c r="E31" s="424">
        <v>43413.770000000004</v>
      </c>
      <c r="F31" s="427">
        <v>0</v>
      </c>
      <c r="G31" s="425">
        <f>ROUND($E31*F31,2)</f>
        <v>0</v>
      </c>
      <c r="H31" s="422"/>
      <c r="I31" s="410">
        <f>ROUND(F31*(1+Q35),5)</f>
        <v>0</v>
      </c>
      <c r="J31" s="425">
        <f>ROUND($E31*I31,2)</f>
        <v>0</v>
      </c>
      <c r="L31" s="411">
        <f t="shared" si="4"/>
        <v>0</v>
      </c>
      <c r="M31" s="390">
        <f>IF(G31&lt;&gt;0,L31/G31,0)</f>
        <v>0</v>
      </c>
      <c r="N31" s="390"/>
      <c r="O31" s="395">
        <f>I31-F31</f>
        <v>0</v>
      </c>
      <c r="Q31" s="396"/>
    </row>
    <row r="32" spans="2:20" s="417" customFormat="1" x14ac:dyDescent="0.25">
      <c r="C32" s="397" t="s">
        <v>232</v>
      </c>
      <c r="D32" s="418"/>
      <c r="E32" s="428"/>
      <c r="F32" s="428"/>
      <c r="G32" s="430">
        <f>SUM(G29:G31)</f>
        <v>25885.71</v>
      </c>
      <c r="H32" s="422"/>
      <c r="I32" s="428"/>
      <c r="J32" s="430">
        <f>SUM(J29:J31)</f>
        <v>26637.32</v>
      </c>
      <c r="L32" s="389">
        <f t="shared" si="4"/>
        <v>751.61000000000058</v>
      </c>
      <c r="M32" s="390">
        <f t="shared" si="5"/>
        <v>2.9035711209002984E-2</v>
      </c>
      <c r="N32" s="390"/>
      <c r="Q32" s="400" t="s">
        <v>233</v>
      </c>
    </row>
    <row r="33" spans="2:17" s="417" customFormat="1" x14ac:dyDescent="0.25">
      <c r="B33" s="426"/>
      <c r="C33" s="426"/>
      <c r="D33" s="426"/>
      <c r="E33" s="419"/>
      <c r="F33" s="432"/>
      <c r="G33" s="433"/>
      <c r="H33" s="422"/>
      <c r="I33" s="432"/>
      <c r="J33" s="453"/>
      <c r="Q33" s="403">
        <f>L32-Q30</f>
        <v>-1562.316115231672</v>
      </c>
    </row>
    <row r="34" spans="2:17" s="417" customFormat="1" x14ac:dyDescent="0.25">
      <c r="B34" s="431" t="s">
        <v>241</v>
      </c>
      <c r="D34" s="418"/>
      <c r="E34" s="419"/>
      <c r="F34" s="419"/>
      <c r="G34" s="421"/>
      <c r="H34" s="422"/>
      <c r="I34" s="419"/>
      <c r="J34" s="425"/>
      <c r="Q34" s="400" t="s">
        <v>235</v>
      </c>
    </row>
    <row r="35" spans="2:17" s="417" customFormat="1" x14ac:dyDescent="0.25">
      <c r="C35" s="426" t="s">
        <v>103</v>
      </c>
      <c r="D35" s="426"/>
      <c r="E35" s="434">
        <v>0</v>
      </c>
      <c r="F35" s="435">
        <v>0.1</v>
      </c>
      <c r="G35" s="421">
        <f>ROUND($E35*F35,2)</f>
        <v>0</v>
      </c>
      <c r="H35" s="422"/>
      <c r="I35" s="437">
        <f>ROUND(F35*(1+Q26),2)</f>
        <v>0.11</v>
      </c>
      <c r="J35" s="425">
        <f>ROUND($E35*I35,2)</f>
        <v>0</v>
      </c>
      <c r="L35" s="411">
        <f t="shared" ref="L35:L36" si="7">J35-G35</f>
        <v>0</v>
      </c>
      <c r="M35" s="390">
        <f t="shared" ref="M35:M36" si="8">IF(G35&lt;&gt;0,L35/G35,0)</f>
        <v>0</v>
      </c>
      <c r="N35" s="390"/>
      <c r="O35" s="391">
        <f>I35-F35</f>
        <v>9.999999999999995E-3</v>
      </c>
      <c r="Q35" s="409">
        <v>2.9029973798759129E-2</v>
      </c>
    </row>
    <row r="36" spans="2:17" s="417" customFormat="1" x14ac:dyDescent="0.25">
      <c r="C36" s="397" t="s">
        <v>232</v>
      </c>
      <c r="D36" s="418"/>
      <c r="E36" s="428"/>
      <c r="F36" s="428"/>
      <c r="G36" s="436">
        <f>SUM(G35:G35)</f>
        <v>0</v>
      </c>
      <c r="H36" s="422"/>
      <c r="I36" s="428"/>
      <c r="J36" s="430">
        <f>SUM(J35:J35)</f>
        <v>0</v>
      </c>
      <c r="L36" s="389">
        <f t="shared" si="7"/>
        <v>0</v>
      </c>
      <c r="M36" s="390">
        <f t="shared" si="8"/>
        <v>0</v>
      </c>
      <c r="N36" s="390"/>
    </row>
    <row r="37" spans="2:17" s="417" customFormat="1" x14ac:dyDescent="0.25">
      <c r="C37" s="419"/>
      <c r="D37" s="426"/>
      <c r="E37" s="419"/>
      <c r="F37" s="419"/>
      <c r="G37" s="421"/>
      <c r="H37" s="422"/>
      <c r="I37" s="419"/>
      <c r="J37" s="425"/>
    </row>
    <row r="38" spans="2:17" s="417" customFormat="1" x14ac:dyDescent="0.25">
      <c r="B38" s="431" t="s">
        <v>242</v>
      </c>
      <c r="D38" s="418"/>
      <c r="E38" s="419"/>
      <c r="F38" s="419"/>
      <c r="G38" s="421"/>
      <c r="H38" s="422"/>
      <c r="I38" s="419"/>
      <c r="J38" s="425"/>
    </row>
    <row r="39" spans="2:17" s="417" customFormat="1" x14ac:dyDescent="0.25">
      <c r="C39" s="423" t="s">
        <v>73</v>
      </c>
      <c r="D39" s="423" t="s">
        <v>74</v>
      </c>
      <c r="E39" s="424">
        <v>15757.12870224839</v>
      </c>
      <c r="F39" s="388">
        <v>106.43</v>
      </c>
      <c r="G39" s="421">
        <f>ROUND($E39*F39,2)</f>
        <v>1677031.21</v>
      </c>
      <c r="H39" s="422"/>
      <c r="I39" s="406">
        <f>ROUND(F39*(1+Q44),2)</f>
        <v>113.4</v>
      </c>
      <c r="J39" s="425">
        <f>ROUND($E39*I39,2)</f>
        <v>1786858.39</v>
      </c>
      <c r="L39" s="389">
        <f t="shared" ref="L39:L41" si="9">J39-G39</f>
        <v>109827.17999999993</v>
      </c>
      <c r="M39" s="390">
        <f t="shared" ref="M39:M41" si="10">IF(G39&lt;&gt;0,L39/G39,0)</f>
        <v>6.5489049544879926E-2</v>
      </c>
      <c r="N39" s="390"/>
      <c r="O39" s="391">
        <f>I39-F39</f>
        <v>6.9699999999999989</v>
      </c>
      <c r="Q39" s="392" t="s">
        <v>243</v>
      </c>
    </row>
    <row r="40" spans="2:17" s="417" customFormat="1" x14ac:dyDescent="0.25">
      <c r="C40" s="419" t="s">
        <v>101</v>
      </c>
      <c r="D40" s="423" t="s">
        <v>74</v>
      </c>
      <c r="E40" s="428">
        <f>E39</f>
        <v>15757.12870224839</v>
      </c>
      <c r="F40" s="435">
        <v>115.88</v>
      </c>
      <c r="G40" s="421">
        <f>ROUND($E40*F40,2)</f>
        <v>1825936.07</v>
      </c>
      <c r="H40" s="422"/>
      <c r="I40" s="437">
        <f>ROUND(I45*900,2)</f>
        <v>123.48</v>
      </c>
      <c r="J40" s="425">
        <f>ROUND($E40*I40,2)</f>
        <v>1945690.25</v>
      </c>
      <c r="L40" s="389">
        <f t="shared" si="9"/>
        <v>119754.17999999993</v>
      </c>
      <c r="M40" s="390">
        <f t="shared" si="10"/>
        <v>6.5585089186610976E-2</v>
      </c>
      <c r="N40" s="390"/>
      <c r="O40" s="391">
        <f>I40-F40</f>
        <v>7.6000000000000085</v>
      </c>
      <c r="Q40" s="396">
        <v>1292244.1035412927</v>
      </c>
    </row>
    <row r="41" spans="2:17" s="417" customFormat="1" x14ac:dyDescent="0.25">
      <c r="C41" s="419" t="s">
        <v>102</v>
      </c>
      <c r="D41" s="426" t="s">
        <v>103</v>
      </c>
      <c r="E41" s="424">
        <v>3902427.7730000005</v>
      </c>
      <c r="F41" s="435">
        <v>1.17</v>
      </c>
      <c r="G41" s="421">
        <f>ROUND($E41*F41,2)</f>
        <v>4565840.49</v>
      </c>
      <c r="H41" s="422"/>
      <c r="I41" s="489">
        <f>ROUND(F41*(1+$Q$44),2)</f>
        <v>1.25</v>
      </c>
      <c r="J41" s="425">
        <f>ROUND($E41*I41,2)</f>
        <v>4878034.72</v>
      </c>
      <c r="L41" s="389">
        <f t="shared" si="9"/>
        <v>312194.22999999952</v>
      </c>
      <c r="M41" s="390">
        <f t="shared" si="10"/>
        <v>6.8376070229295177E-2</v>
      </c>
      <c r="N41" s="390"/>
      <c r="O41" s="391">
        <f>I41-F41</f>
        <v>8.0000000000000071E-2</v>
      </c>
      <c r="Q41" s="400" t="s">
        <v>233</v>
      </c>
    </row>
    <row r="42" spans="2:17" s="417" customFormat="1" x14ac:dyDescent="0.25">
      <c r="C42" s="419"/>
      <c r="D42" s="426"/>
      <c r="E42" s="428"/>
      <c r="F42" s="437"/>
      <c r="G42" s="433"/>
      <c r="H42" s="422"/>
      <c r="I42" s="437"/>
      <c r="J42" s="453"/>
      <c r="Q42" s="403">
        <f>L50-Q40</f>
        <v>-331805.78354129428</v>
      </c>
    </row>
    <row r="43" spans="2:17" s="417" customFormat="1" x14ac:dyDescent="0.25">
      <c r="C43" s="419" t="s">
        <v>104</v>
      </c>
      <c r="D43" s="426"/>
      <c r="E43" s="428"/>
      <c r="F43" s="437"/>
      <c r="G43" s="433"/>
      <c r="H43" s="422"/>
      <c r="I43" s="437"/>
      <c r="J43" s="453"/>
      <c r="Q43" s="400" t="s">
        <v>235</v>
      </c>
    </row>
    <row r="44" spans="2:17" s="417" customFormat="1" x14ac:dyDescent="0.25">
      <c r="C44" s="419" t="s">
        <v>105</v>
      </c>
      <c r="D44" s="426" t="s">
        <v>76</v>
      </c>
      <c r="E44" s="424">
        <v>13168764.918000001</v>
      </c>
      <c r="F44" s="427">
        <v>0.12876000000000001</v>
      </c>
      <c r="G44" s="421" t="s">
        <v>106</v>
      </c>
      <c r="H44" s="422"/>
      <c r="I44" s="445">
        <f>I45</f>
        <v>0.13719999999999999</v>
      </c>
      <c r="J44" s="425" t="s">
        <v>106</v>
      </c>
      <c r="O44" s="395">
        <f t="shared" ref="O44:O46" si="11">I44-F44</f>
        <v>8.4399999999999753E-3</v>
      </c>
      <c r="Q44" s="409">
        <v>6.5510043005487698E-2</v>
      </c>
    </row>
    <row r="45" spans="2:17" s="417" customFormat="1" x14ac:dyDescent="0.25">
      <c r="C45" s="419" t="s">
        <v>107</v>
      </c>
      <c r="D45" s="426" t="s">
        <v>76</v>
      </c>
      <c r="E45" s="424">
        <v>29185983.705999997</v>
      </c>
      <c r="F45" s="427">
        <v>0.12876000000000001</v>
      </c>
      <c r="G45" s="421">
        <f>ROUND($E45*F45,2)</f>
        <v>3757987.26</v>
      </c>
      <c r="H45" s="422"/>
      <c r="I45" s="445">
        <f>ROUND(F45*(1+Q44),5)</f>
        <v>0.13719999999999999</v>
      </c>
      <c r="J45" s="425">
        <f>ROUND($E45*I45,2)</f>
        <v>4004316.96</v>
      </c>
      <c r="L45" s="389">
        <f t="shared" ref="L45:L46" si="12">J45-G45</f>
        <v>246329.70000000019</v>
      </c>
      <c r="M45" s="390">
        <f t="shared" ref="M45:M46" si="13">IF(G45&lt;&gt;0,L45/G45,0)</f>
        <v>6.5548306302666975E-2</v>
      </c>
      <c r="N45" s="390"/>
      <c r="O45" s="395">
        <f t="shared" si="11"/>
        <v>8.4399999999999753E-3</v>
      </c>
    </row>
    <row r="46" spans="2:17" s="417" customFormat="1" x14ac:dyDescent="0.25">
      <c r="C46" s="419" t="s">
        <v>108</v>
      </c>
      <c r="D46" s="426" t="s">
        <v>76</v>
      </c>
      <c r="E46" s="424">
        <v>21612119.393000003</v>
      </c>
      <c r="F46" s="427">
        <v>0.10364</v>
      </c>
      <c r="G46" s="421">
        <f>ROUND($E46*F46,2)</f>
        <v>2239880.0499999998</v>
      </c>
      <c r="H46" s="422"/>
      <c r="I46" s="490">
        <f>ROUND(F46*(1+Q44),5)</f>
        <v>0.11043</v>
      </c>
      <c r="J46" s="425">
        <f>ROUND($E46*I46,2)</f>
        <v>2386626.34</v>
      </c>
      <c r="L46" s="389">
        <f t="shared" si="12"/>
        <v>146746.29000000004</v>
      </c>
      <c r="M46" s="390">
        <f t="shared" si="13"/>
        <v>6.5515244890010982E-2</v>
      </c>
      <c r="N46" s="390"/>
      <c r="O46" s="395">
        <f t="shared" si="11"/>
        <v>6.7900000000000044E-3</v>
      </c>
    </row>
    <row r="47" spans="2:17" s="417" customFormat="1" x14ac:dyDescent="0.25">
      <c r="C47" s="423" t="s">
        <v>109</v>
      </c>
      <c r="D47" s="418"/>
      <c r="E47" s="438">
        <f>SUM(E44:E46)</f>
        <v>63966868.017000005</v>
      </c>
      <c r="F47" s="428"/>
      <c r="H47" s="422"/>
      <c r="I47" s="428"/>
      <c r="J47" s="443"/>
    </row>
    <row r="48" spans="2:17" s="417" customFormat="1" x14ac:dyDescent="0.25">
      <c r="C48" s="423"/>
      <c r="D48" s="418"/>
      <c r="E48" s="439"/>
      <c r="F48" s="428"/>
      <c r="H48" s="422"/>
      <c r="I48" s="428"/>
      <c r="J48" s="443"/>
    </row>
    <row r="49" spans="2:17" s="417" customFormat="1" x14ac:dyDescent="0.25">
      <c r="C49" s="423" t="s">
        <v>95</v>
      </c>
      <c r="D49" s="418" t="s">
        <v>76</v>
      </c>
      <c r="E49" s="440">
        <f>E47</f>
        <v>63966868.017000005</v>
      </c>
      <c r="F49" s="441">
        <v>6.0899999999999999E-3</v>
      </c>
      <c r="G49" s="421">
        <f>ROUND($E49*F49,2)</f>
        <v>389558.23</v>
      </c>
      <c r="H49" s="422"/>
      <c r="I49" s="445">
        <f>ROUND(F49*(1+Q44),5)</f>
        <v>6.4900000000000001E-3</v>
      </c>
      <c r="J49" s="425">
        <f>ROUND($E49*I49,2)</f>
        <v>415144.97</v>
      </c>
      <c r="L49" s="411">
        <f t="shared" ref="L49" si="14">J49-G49</f>
        <v>25586.739999999991</v>
      </c>
      <c r="M49" s="390">
        <f>IF(G49&lt;&gt;0,L49/G49,0)</f>
        <v>6.5681425855128234E-2</v>
      </c>
      <c r="O49" s="395">
        <f t="shared" ref="O49" si="15">I49-F49</f>
        <v>4.0000000000000018E-4</v>
      </c>
    </row>
    <row r="50" spans="2:17" s="417" customFormat="1" x14ac:dyDescent="0.25">
      <c r="C50" s="397" t="s">
        <v>232</v>
      </c>
      <c r="D50" s="418"/>
      <c r="E50" s="428"/>
      <c r="F50" s="428"/>
      <c r="G50" s="442">
        <f>SUM(G39:G41,G45:G46,G49)</f>
        <v>14456233.310000002</v>
      </c>
      <c r="H50" s="422"/>
      <c r="I50" s="428"/>
      <c r="J50" s="455">
        <f>SUM(J39:J41,J45:J46,J49)</f>
        <v>15416671.630000001</v>
      </c>
      <c r="L50" s="389">
        <f>J50-G50</f>
        <v>960438.31999999844</v>
      </c>
      <c r="M50" s="390">
        <f>IF(G50&lt;&gt;0,L50/G50,0)</f>
        <v>6.6437660447526234E-2</v>
      </c>
      <c r="N50" s="390"/>
    </row>
    <row r="51" spans="2:17" s="417" customFormat="1" x14ac:dyDescent="0.25">
      <c r="C51" s="423"/>
      <c r="D51" s="418"/>
      <c r="E51" s="428"/>
      <c r="F51" s="428"/>
      <c r="G51" s="433"/>
      <c r="H51" s="422"/>
      <c r="I51" s="428"/>
      <c r="J51" s="453"/>
    </row>
    <row r="52" spans="2:17" s="443" customFormat="1" x14ac:dyDescent="0.25">
      <c r="B52" s="431" t="s">
        <v>244</v>
      </c>
      <c r="D52" s="418"/>
      <c r="E52" s="419"/>
      <c r="F52" s="419"/>
      <c r="G52" s="421"/>
      <c r="H52" s="444"/>
      <c r="I52" s="419"/>
      <c r="J52" s="425"/>
    </row>
    <row r="53" spans="2:17" s="443" customFormat="1" x14ac:dyDescent="0.25">
      <c r="B53" s="419"/>
      <c r="C53" s="423" t="s">
        <v>73</v>
      </c>
      <c r="D53" s="423" t="s">
        <v>74</v>
      </c>
      <c r="E53" s="424">
        <v>1217.0689113856104</v>
      </c>
      <c r="F53" s="388">
        <v>410.51</v>
      </c>
      <c r="G53" s="421">
        <f>ROUND($E53*F53,2)</f>
        <v>499618.96</v>
      </c>
      <c r="H53" s="444"/>
      <c r="I53" s="406">
        <f>ROUND(F53*(1+Q58),2)</f>
        <v>422.79</v>
      </c>
      <c r="J53" s="425">
        <f>ROUND($E53*I53,2)</f>
        <v>514564.57</v>
      </c>
      <c r="L53" s="389">
        <f t="shared" ref="L53:L55" si="16">J53-G53</f>
        <v>14945.609999999986</v>
      </c>
      <c r="M53" s="390">
        <f t="shared" ref="M53:M55" si="17">IF(G53&lt;&gt;0,L53/G53,0)</f>
        <v>2.9914016873979293E-2</v>
      </c>
      <c r="N53" s="390"/>
      <c r="O53" s="391">
        <f>I53-F53</f>
        <v>12.28000000000003</v>
      </c>
      <c r="Q53" s="392" t="s">
        <v>245</v>
      </c>
    </row>
    <row r="54" spans="2:17" s="443" customFormat="1" x14ac:dyDescent="0.25">
      <c r="B54" s="419"/>
      <c r="C54" s="419" t="s">
        <v>101</v>
      </c>
      <c r="D54" s="423" t="s">
        <v>74</v>
      </c>
      <c r="E54" s="428">
        <f>E53</f>
        <v>1217.0689113856104</v>
      </c>
      <c r="F54" s="437">
        <f>F40</f>
        <v>115.88</v>
      </c>
      <c r="G54" s="421">
        <f>ROUND($E54*F54,2)</f>
        <v>141033.95000000001</v>
      </c>
      <c r="H54" s="444"/>
      <c r="I54" s="437">
        <f>ROUND(I59*900,2)</f>
        <v>119.35</v>
      </c>
      <c r="J54" s="425">
        <f>ROUND($E54*I54,2)</f>
        <v>145257.17000000001</v>
      </c>
      <c r="L54" s="389">
        <f t="shared" si="16"/>
        <v>4223.2200000000012</v>
      </c>
      <c r="M54" s="390">
        <f t="shared" si="17"/>
        <v>2.9944704803347003E-2</v>
      </c>
      <c r="N54" s="390"/>
      <c r="O54" s="391">
        <f>I54-F54</f>
        <v>3.4699999999999989</v>
      </c>
      <c r="Q54" s="396">
        <v>357164.18803144427</v>
      </c>
    </row>
    <row r="55" spans="2:17" s="443" customFormat="1" x14ac:dyDescent="0.25">
      <c r="B55" s="419"/>
      <c r="C55" s="419" t="s">
        <v>102</v>
      </c>
      <c r="D55" s="426" t="s">
        <v>103</v>
      </c>
      <c r="E55" s="424">
        <v>1169396.5019999999</v>
      </c>
      <c r="F55" s="435">
        <v>1.17</v>
      </c>
      <c r="G55" s="421">
        <f>ROUND($E55*F55,2)</f>
        <v>1368193.91</v>
      </c>
      <c r="H55" s="444"/>
      <c r="I55" s="489">
        <f>ROUND(F55*(1+$Q$58),2)</f>
        <v>1.21</v>
      </c>
      <c r="J55" s="425">
        <f>ROUND($E55*I55,2)</f>
        <v>1414969.77</v>
      </c>
      <c r="L55" s="389">
        <f t="shared" si="16"/>
        <v>46775.860000000102</v>
      </c>
      <c r="M55" s="390">
        <f t="shared" si="17"/>
        <v>3.4188034063095708E-2</v>
      </c>
      <c r="N55" s="390"/>
      <c r="O55" s="391">
        <f>I55-F55</f>
        <v>4.0000000000000036E-2</v>
      </c>
      <c r="Q55" s="400" t="s">
        <v>233</v>
      </c>
    </row>
    <row r="56" spans="2:17" s="443" customFormat="1" x14ac:dyDescent="0.25">
      <c r="B56" s="419"/>
      <c r="C56" s="419"/>
      <c r="D56" s="426"/>
      <c r="E56" s="428"/>
      <c r="F56" s="437"/>
      <c r="G56" s="433"/>
      <c r="H56" s="444"/>
      <c r="I56" s="437"/>
      <c r="J56" s="453"/>
      <c r="Q56" s="403">
        <f>L63-Q54</f>
        <v>-240921.71803144453</v>
      </c>
    </row>
    <row r="57" spans="2:17" s="443" customFormat="1" x14ac:dyDescent="0.25">
      <c r="B57" s="419"/>
      <c r="C57" s="419" t="s">
        <v>104</v>
      </c>
      <c r="D57" s="426"/>
      <c r="E57" s="428"/>
      <c r="F57" s="437"/>
      <c r="G57" s="433"/>
      <c r="H57" s="444"/>
      <c r="I57" s="437"/>
      <c r="J57" s="453"/>
      <c r="Q57" s="400" t="s">
        <v>235</v>
      </c>
    </row>
    <row r="58" spans="2:17" s="443" customFormat="1" x14ac:dyDescent="0.25">
      <c r="B58" s="419"/>
      <c r="C58" s="419" t="s">
        <v>105</v>
      </c>
      <c r="D58" s="426" t="s">
        <v>76</v>
      </c>
      <c r="E58" s="424">
        <v>1086774.6599999999</v>
      </c>
      <c r="F58" s="445">
        <f>F44</f>
        <v>0.12876000000000001</v>
      </c>
      <c r="G58" s="421" t="s">
        <v>106</v>
      </c>
      <c r="H58" s="444"/>
      <c r="I58" s="445">
        <f>I59</f>
        <v>0.13261000000000001</v>
      </c>
      <c r="J58" s="425" t="s">
        <v>106</v>
      </c>
      <c r="O58" s="395">
        <f t="shared" ref="O58:O60" si="18">I58-F58</f>
        <v>3.8499999999999923E-3</v>
      </c>
      <c r="Q58" s="409">
        <v>2.99200087472089E-2</v>
      </c>
    </row>
    <row r="59" spans="2:17" s="443" customFormat="1" x14ac:dyDescent="0.25">
      <c r="B59" s="419"/>
      <c r="C59" s="419" t="s">
        <v>107</v>
      </c>
      <c r="D59" s="426" t="s">
        <v>76</v>
      </c>
      <c r="E59" s="424">
        <v>4133910.0599999996</v>
      </c>
      <c r="F59" s="445">
        <f>F45</f>
        <v>0.12876000000000001</v>
      </c>
      <c r="G59" s="421">
        <f>ROUND($E59*F59,2)</f>
        <v>532282.26</v>
      </c>
      <c r="H59" s="444"/>
      <c r="I59" s="445">
        <f>ROUND(F59*(1+Q58),5)</f>
        <v>0.13261000000000001</v>
      </c>
      <c r="J59" s="425">
        <f>ROUND($E59*I59,2)</f>
        <v>548197.81000000006</v>
      </c>
      <c r="L59" s="389">
        <f t="shared" ref="L59:L60" si="19">J59-G59</f>
        <v>15915.550000000047</v>
      </c>
      <c r="M59" s="390">
        <f t="shared" ref="M59:M60" si="20">IF(G59&lt;&gt;0,L59/G59,0)</f>
        <v>2.9900583198095021E-2</v>
      </c>
      <c r="N59" s="390"/>
      <c r="O59" s="395">
        <f t="shared" si="18"/>
        <v>3.8499999999999923E-3</v>
      </c>
    </row>
    <row r="60" spans="2:17" s="443" customFormat="1" x14ac:dyDescent="0.25">
      <c r="B60" s="419"/>
      <c r="C60" s="419" t="s">
        <v>108</v>
      </c>
      <c r="D60" s="426" t="s">
        <v>76</v>
      </c>
      <c r="E60" s="424">
        <v>14033564.798999999</v>
      </c>
      <c r="F60" s="445">
        <f>F46</f>
        <v>0.10364</v>
      </c>
      <c r="G60" s="421">
        <f>ROUND($E60*F60,2)</f>
        <v>1454438.66</v>
      </c>
      <c r="H60" s="444"/>
      <c r="I60" s="491">
        <f>ROUND(F60*(1+Q58),5)-0.00065</f>
        <v>0.10609</v>
      </c>
      <c r="J60" s="425">
        <f>ROUND($E60*I60,2)</f>
        <v>1488820.89</v>
      </c>
      <c r="L60" s="389">
        <f t="shared" si="19"/>
        <v>34382.229999999981</v>
      </c>
      <c r="M60" s="390">
        <f t="shared" si="20"/>
        <v>2.3639518768017335E-2</v>
      </c>
      <c r="N60" s="390"/>
      <c r="O60" s="395">
        <f t="shared" si="18"/>
        <v>2.4500000000000077E-3</v>
      </c>
    </row>
    <row r="61" spans="2:17" s="443" customFormat="1" x14ac:dyDescent="0.25">
      <c r="B61" s="419"/>
      <c r="C61" s="423" t="s">
        <v>109</v>
      </c>
      <c r="D61" s="418"/>
      <c r="E61" s="446">
        <f>SUM(E58:E60)</f>
        <v>19254249.518999998</v>
      </c>
      <c r="F61" s="428"/>
      <c r="G61" s="419"/>
      <c r="H61" s="444"/>
      <c r="I61" s="428"/>
      <c r="J61" s="419"/>
    </row>
    <row r="62" spans="2:17" s="443" customFormat="1" x14ac:dyDescent="0.25">
      <c r="B62" s="419"/>
      <c r="C62" s="423" t="s">
        <v>95</v>
      </c>
      <c r="D62" s="426" t="s">
        <v>76</v>
      </c>
      <c r="E62" s="428">
        <f>E61</f>
        <v>19254249.518999998</v>
      </c>
      <c r="F62" s="427">
        <v>0</v>
      </c>
      <c r="G62" s="421">
        <f>ROUND($E62*F62,2)</f>
        <v>0</v>
      </c>
      <c r="H62" s="444"/>
      <c r="I62" s="445">
        <f>ROUND(F62*(1+Q58),5)</f>
        <v>0</v>
      </c>
      <c r="J62" s="425">
        <f>ROUND($E62*I62,2)</f>
        <v>0</v>
      </c>
      <c r="L62" s="411">
        <f t="shared" ref="L62:L63" si="21">J62-G62</f>
        <v>0</v>
      </c>
      <c r="M62" s="390">
        <f t="shared" ref="M62:M63" si="22">IF(G62&lt;&gt;0,L62/G62,0)</f>
        <v>0</v>
      </c>
      <c r="N62" s="390"/>
      <c r="O62" s="395">
        <f>I62-F62</f>
        <v>0</v>
      </c>
    </row>
    <row r="63" spans="2:17" s="443" customFormat="1" x14ac:dyDescent="0.25">
      <c r="C63" s="397" t="s">
        <v>232</v>
      </c>
      <c r="D63" s="418"/>
      <c r="E63" s="428"/>
      <c r="F63" s="428"/>
      <c r="G63" s="442">
        <f>SUM(G53:G62)</f>
        <v>3995567.74</v>
      </c>
      <c r="H63" s="444"/>
      <c r="I63" s="428"/>
      <c r="J63" s="455">
        <f>SUM(J53:J62)</f>
        <v>4111810.21</v>
      </c>
      <c r="L63" s="389">
        <f t="shared" si="21"/>
        <v>116242.46999999974</v>
      </c>
      <c r="M63" s="390">
        <f t="shared" si="22"/>
        <v>2.9092854273570577E-2</v>
      </c>
      <c r="N63" s="390"/>
    </row>
    <row r="64" spans="2:17" s="443" customFormat="1" x14ac:dyDescent="0.25">
      <c r="B64" s="419"/>
      <c r="C64" s="423"/>
      <c r="D64" s="418"/>
      <c r="E64" s="428"/>
      <c r="F64" s="428"/>
      <c r="G64" s="433"/>
      <c r="H64" s="444"/>
      <c r="I64" s="428"/>
      <c r="J64" s="453"/>
    </row>
    <row r="65" spans="2:17" s="417" customFormat="1" x14ac:dyDescent="0.25">
      <c r="B65" s="416" t="s">
        <v>246</v>
      </c>
      <c r="D65" s="418"/>
      <c r="E65" s="428"/>
      <c r="F65" s="437"/>
      <c r="G65" s="447"/>
      <c r="H65" s="448"/>
      <c r="I65" s="437"/>
      <c r="J65" s="492"/>
    </row>
    <row r="66" spans="2:17" s="417" customFormat="1" x14ac:dyDescent="0.25">
      <c r="C66" s="418" t="s">
        <v>73</v>
      </c>
      <c r="D66" s="418" t="s">
        <v>74</v>
      </c>
      <c r="E66" s="424">
        <v>331.51750649225198</v>
      </c>
      <c r="F66" s="435">
        <v>548.57000000000005</v>
      </c>
      <c r="G66" s="421">
        <f>ROUND($E66*F66,2)</f>
        <v>181860.56</v>
      </c>
      <c r="H66" s="448"/>
      <c r="I66" s="406">
        <f>ROUND(F66*(1+Q71),2)</f>
        <v>595.08000000000004</v>
      </c>
      <c r="J66" s="425">
        <f>ROUND($E66*I66,2)</f>
        <v>197279.44</v>
      </c>
      <c r="L66" s="389">
        <f t="shared" ref="L66:L69" si="23">J66-G66</f>
        <v>15418.880000000005</v>
      </c>
      <c r="M66" s="390">
        <f t="shared" ref="M66:M69" si="24">IF(G66&lt;&gt;0,L66/G66,0)</f>
        <v>8.4784078526976961E-2</v>
      </c>
      <c r="N66" s="390"/>
      <c r="O66" s="391">
        <f t="shared" ref="O66:O68" si="25">I66-F66</f>
        <v>46.509999999999991</v>
      </c>
      <c r="Q66" s="392" t="s">
        <v>247</v>
      </c>
    </row>
    <row r="67" spans="2:17" s="417" customFormat="1" x14ac:dyDescent="0.25">
      <c r="C67" s="426" t="s">
        <v>102</v>
      </c>
      <c r="D67" s="426" t="s">
        <v>103</v>
      </c>
      <c r="E67" s="424">
        <v>84395.974999999991</v>
      </c>
      <c r="F67" s="435">
        <v>1.21</v>
      </c>
      <c r="G67" s="421">
        <f>ROUND($E67*F67,2)</f>
        <v>102119.13</v>
      </c>
      <c r="H67" s="448"/>
      <c r="I67" s="437">
        <f>ROUND(F67*(1+$Q$71),2)</f>
        <v>1.31</v>
      </c>
      <c r="J67" s="425">
        <f>ROUND($E67*I67,2)</f>
        <v>110558.73</v>
      </c>
      <c r="L67" s="389">
        <f t="shared" si="23"/>
        <v>8439.5999999999913</v>
      </c>
      <c r="M67" s="390">
        <f t="shared" si="24"/>
        <v>8.2644652378060707E-2</v>
      </c>
      <c r="N67" s="390"/>
      <c r="O67" s="391">
        <f t="shared" si="25"/>
        <v>0.10000000000000009</v>
      </c>
      <c r="Q67" s="396">
        <v>142126.34454270406</v>
      </c>
    </row>
    <row r="68" spans="2:17" s="417" customFormat="1" x14ac:dyDescent="0.25">
      <c r="C68" s="426" t="s">
        <v>95</v>
      </c>
      <c r="D68" s="426" t="s">
        <v>76</v>
      </c>
      <c r="E68" s="428">
        <f>E75</f>
        <v>16307789.426000001</v>
      </c>
      <c r="F68" s="427">
        <v>7.4700000000000001E-3</v>
      </c>
      <c r="G68" s="421">
        <f>ROUND($E68*F68,2)</f>
        <v>121819.19</v>
      </c>
      <c r="H68" s="448"/>
      <c r="I68" s="445">
        <f>ROUND(F68*(1+$Q$71),5)</f>
        <v>8.0999999999999996E-3</v>
      </c>
      <c r="J68" s="425">
        <f>ROUND($E68*I68,2)</f>
        <v>132093.09</v>
      </c>
      <c r="L68" s="389">
        <f t="shared" si="23"/>
        <v>10273.899999999994</v>
      </c>
      <c r="M68" s="390">
        <f t="shared" si="24"/>
        <v>8.4337287089168739E-2</v>
      </c>
      <c r="N68" s="390"/>
      <c r="O68" s="395">
        <f t="shared" si="25"/>
        <v>6.2999999999999948E-4</v>
      </c>
      <c r="Q68" s="400" t="s">
        <v>233</v>
      </c>
    </row>
    <row r="69" spans="2:17" s="417" customFormat="1" x14ac:dyDescent="0.25">
      <c r="C69" s="426" t="s">
        <v>123</v>
      </c>
      <c r="D69" s="426"/>
      <c r="E69" s="428"/>
      <c r="F69" s="445"/>
      <c r="G69" s="449">
        <v>0</v>
      </c>
      <c r="H69" s="448"/>
      <c r="I69" s="445"/>
      <c r="J69" s="493">
        <v>0</v>
      </c>
      <c r="L69" s="389">
        <f t="shared" si="23"/>
        <v>0</v>
      </c>
      <c r="M69" s="390">
        <f t="shared" si="24"/>
        <v>0</v>
      </c>
      <c r="N69" s="390"/>
      <c r="O69" s="391"/>
      <c r="Q69" s="403">
        <f>L76-Q67</f>
        <v>-7538.2045427041594</v>
      </c>
    </row>
    <row r="70" spans="2:17" s="417" customFormat="1" x14ac:dyDescent="0.25">
      <c r="C70" s="426"/>
      <c r="D70" s="426"/>
      <c r="E70" s="428"/>
      <c r="F70" s="445"/>
      <c r="G70" s="433"/>
      <c r="H70" s="448"/>
      <c r="I70" s="445"/>
      <c r="J70" s="453"/>
      <c r="Q70" s="400" t="s">
        <v>235</v>
      </c>
    </row>
    <row r="71" spans="2:17" s="417" customFormat="1" x14ac:dyDescent="0.25">
      <c r="C71" s="426" t="s">
        <v>104</v>
      </c>
      <c r="D71" s="426"/>
      <c r="E71" s="428"/>
      <c r="F71" s="445"/>
      <c r="G71" s="433"/>
      <c r="H71" s="448"/>
      <c r="I71" s="445"/>
      <c r="J71" s="453"/>
      <c r="Q71" s="409">
        <v>8.4793077650793955E-2</v>
      </c>
    </row>
    <row r="72" spans="2:17" s="417" customFormat="1" x14ac:dyDescent="0.25">
      <c r="C72" s="426" t="s">
        <v>124</v>
      </c>
      <c r="D72" s="426" t="s">
        <v>76</v>
      </c>
      <c r="E72" s="424">
        <v>7796583.8330000006</v>
      </c>
      <c r="F72" s="427">
        <v>9.9360000000000004E-2</v>
      </c>
      <c r="G72" s="421">
        <f t="shared" ref="G72:G74" si="26">ROUND($E72*F72,2)</f>
        <v>774668.57</v>
      </c>
      <c r="H72" s="448"/>
      <c r="I72" s="445">
        <f>ROUND(F72*(1+$Q$71),5)</f>
        <v>0.10779</v>
      </c>
      <c r="J72" s="425">
        <f t="shared" ref="J72:J74" si="27">ROUND($E72*I72,2)</f>
        <v>840393.77</v>
      </c>
      <c r="L72" s="389">
        <f t="shared" ref="L72:L74" si="28">J72-G72</f>
        <v>65725.20000000007</v>
      </c>
      <c r="M72" s="390">
        <f t="shared" ref="M72:M74" si="29">IF(G72&lt;&gt;0,L72/G72,0)</f>
        <v>8.4842992920185309E-2</v>
      </c>
      <c r="N72" s="390"/>
      <c r="O72" s="395">
        <f t="shared" ref="O72:O74" si="30">I72-F72</f>
        <v>8.4299999999999931E-3</v>
      </c>
    </row>
    <row r="73" spans="2:17" s="417" customFormat="1" x14ac:dyDescent="0.25">
      <c r="C73" s="426" t="s">
        <v>125</v>
      </c>
      <c r="D73" s="426" t="s">
        <v>76</v>
      </c>
      <c r="E73" s="424">
        <v>4282488.4920000006</v>
      </c>
      <c r="F73" s="427">
        <v>4.9169999999999998E-2</v>
      </c>
      <c r="G73" s="421">
        <f t="shared" si="26"/>
        <v>210569.96</v>
      </c>
      <c r="H73" s="448"/>
      <c r="I73" s="445">
        <f t="shared" ref="I73:I74" si="31">ROUND(F73*(1+$Q$71),5)</f>
        <v>5.3339999999999999E-2</v>
      </c>
      <c r="J73" s="425">
        <f t="shared" si="27"/>
        <v>228427.94</v>
      </c>
      <c r="L73" s="389">
        <f t="shared" si="28"/>
        <v>17857.98000000001</v>
      </c>
      <c r="M73" s="390">
        <f t="shared" si="29"/>
        <v>8.4807823490112316E-2</v>
      </c>
      <c r="N73" s="390"/>
      <c r="O73" s="395">
        <f t="shared" si="30"/>
        <v>4.1700000000000001E-3</v>
      </c>
    </row>
    <row r="74" spans="2:17" s="417" customFormat="1" x14ac:dyDescent="0.25">
      <c r="C74" s="426" t="s">
        <v>126</v>
      </c>
      <c r="D74" s="426" t="s">
        <v>76</v>
      </c>
      <c r="E74" s="424">
        <v>4228717.1009999998</v>
      </c>
      <c r="F74" s="427">
        <v>4.7039999999999998E-2</v>
      </c>
      <c r="G74" s="421">
        <f t="shared" si="26"/>
        <v>198918.85</v>
      </c>
      <c r="H74" s="448"/>
      <c r="I74" s="445">
        <f t="shared" si="31"/>
        <v>5.1029999999999999E-2</v>
      </c>
      <c r="J74" s="425">
        <f t="shared" si="27"/>
        <v>215791.43</v>
      </c>
      <c r="L74" s="389">
        <f t="shared" si="28"/>
        <v>16872.579999999987</v>
      </c>
      <c r="M74" s="390">
        <f t="shared" si="29"/>
        <v>8.4821423409596364E-2</v>
      </c>
      <c r="N74" s="390"/>
      <c r="O74" s="395">
        <f t="shared" si="30"/>
        <v>3.9900000000000005E-3</v>
      </c>
    </row>
    <row r="75" spans="2:17" s="417" customFormat="1" x14ac:dyDescent="0.25">
      <c r="C75" s="423" t="s">
        <v>109</v>
      </c>
      <c r="D75" s="418"/>
      <c r="E75" s="438">
        <f>SUM(E72:E74)</f>
        <v>16307789.426000001</v>
      </c>
      <c r="F75" s="437"/>
      <c r="H75" s="448"/>
      <c r="I75" s="437"/>
      <c r="J75" s="443"/>
      <c r="L75" s="450"/>
    </row>
    <row r="76" spans="2:17" s="417" customFormat="1" x14ac:dyDescent="0.25">
      <c r="C76" s="397" t="s">
        <v>232</v>
      </c>
      <c r="D76" s="418"/>
      <c r="E76" s="428"/>
      <c r="F76" s="437"/>
      <c r="G76" s="442">
        <f>SUM(G66:G74)</f>
        <v>1589956.26</v>
      </c>
      <c r="H76" s="448"/>
      <c r="I76" s="437"/>
      <c r="J76" s="455">
        <f>SUM(J66:J74)</f>
        <v>1724544.4</v>
      </c>
      <c r="L76" s="389">
        <f t="shared" ref="L76" si="32">J76-G76</f>
        <v>134588.1399999999</v>
      </c>
      <c r="M76" s="390">
        <f t="shared" ref="M76" si="33">IF(G76&lt;&gt;0,L76/G76,0)</f>
        <v>8.464895757572595E-2</v>
      </c>
      <c r="N76" s="390"/>
    </row>
    <row r="77" spans="2:17" s="417" customFormat="1" x14ac:dyDescent="0.25">
      <c r="C77" s="418"/>
      <c r="D77" s="418"/>
      <c r="E77" s="428"/>
      <c r="F77" s="437"/>
      <c r="G77" s="433"/>
      <c r="H77" s="448"/>
      <c r="I77" s="437"/>
      <c r="J77" s="453"/>
      <c r="Q77" s="426"/>
    </row>
    <row r="78" spans="2:17" s="417" customFormat="1" x14ac:dyDescent="0.25">
      <c r="B78" s="416" t="s">
        <v>248</v>
      </c>
      <c r="D78" s="418"/>
      <c r="E78" s="428"/>
      <c r="F78" s="437"/>
      <c r="G78" s="447"/>
      <c r="H78" s="448"/>
      <c r="I78" s="437"/>
      <c r="J78" s="492"/>
      <c r="Q78" s="426"/>
    </row>
    <row r="79" spans="2:17" s="417" customFormat="1" x14ac:dyDescent="0.25">
      <c r="C79" s="418" t="s">
        <v>73</v>
      </c>
      <c r="D79" s="418" t="s">
        <v>74</v>
      </c>
      <c r="E79" s="424">
        <v>1226.3663564440635</v>
      </c>
      <c r="F79" s="435">
        <v>877.69</v>
      </c>
      <c r="G79" s="421">
        <f>ROUND($E79*F79,2)</f>
        <v>1076369.49</v>
      </c>
      <c r="H79" s="448"/>
      <c r="I79" s="406">
        <f>ROUND(F79*(1+Q84),2)</f>
        <v>903.09</v>
      </c>
      <c r="J79" s="425">
        <f>ROUND($E79*I79,2)</f>
        <v>1107519.19</v>
      </c>
      <c r="L79" s="389">
        <f t="shared" ref="L79:L81" si="34">J79-G79</f>
        <v>31149.699999999953</v>
      </c>
      <c r="M79" s="390">
        <f t="shared" ref="M79:M80" si="35">IF(G79&lt;&gt;0,L79/G79,0)</f>
        <v>2.8939597684062891E-2</v>
      </c>
      <c r="N79" s="390"/>
      <c r="O79" s="391">
        <f t="shared" ref="O79:O80" si="36">I79-F79</f>
        <v>25.399999999999977</v>
      </c>
      <c r="Q79" s="392" t="s">
        <v>249</v>
      </c>
    </row>
    <row r="80" spans="2:17" s="417" customFormat="1" x14ac:dyDescent="0.25">
      <c r="C80" s="426" t="s">
        <v>102</v>
      </c>
      <c r="D80" s="426" t="s">
        <v>103</v>
      </c>
      <c r="E80" s="424">
        <v>686276.33400000003</v>
      </c>
      <c r="F80" s="435">
        <v>1.21</v>
      </c>
      <c r="G80" s="421">
        <f>ROUND($E80*F80,2)</f>
        <v>830394.36</v>
      </c>
      <c r="H80" s="448"/>
      <c r="I80" s="437">
        <f>ROUND(F80*(1+$Q$84),2)</f>
        <v>1.25</v>
      </c>
      <c r="J80" s="425">
        <f>ROUND($E80*I80,2)</f>
        <v>857845.42</v>
      </c>
      <c r="L80" s="389">
        <f t="shared" si="34"/>
        <v>27451.060000000056</v>
      </c>
      <c r="M80" s="390">
        <f t="shared" si="35"/>
        <v>3.3057859400682899E-2</v>
      </c>
      <c r="N80" s="390"/>
      <c r="O80" s="391">
        <f t="shared" si="36"/>
        <v>4.0000000000000036E-2</v>
      </c>
      <c r="Q80" s="396">
        <v>629066.29044865072</v>
      </c>
    </row>
    <row r="81" spans="2:17" s="417" customFormat="1" x14ac:dyDescent="0.25">
      <c r="C81" s="426" t="s">
        <v>123</v>
      </c>
      <c r="D81" s="426"/>
      <c r="E81" s="434"/>
      <c r="F81" s="437"/>
      <c r="G81" s="451">
        <v>12562.25</v>
      </c>
      <c r="H81" s="448"/>
      <c r="I81" s="437"/>
      <c r="J81" s="494">
        <v>12562.25</v>
      </c>
      <c r="L81" s="389">
        <f t="shared" si="34"/>
        <v>0</v>
      </c>
      <c r="M81" s="390">
        <f>IF(G81&lt;&gt;0,L81/G81,0)</f>
        <v>0</v>
      </c>
      <c r="N81" s="390"/>
      <c r="Q81" s="400" t="s">
        <v>233</v>
      </c>
    </row>
    <row r="82" spans="2:17" s="417" customFormat="1" x14ac:dyDescent="0.25">
      <c r="C82" s="426"/>
      <c r="D82" s="426"/>
      <c r="E82" s="428"/>
      <c r="F82" s="445"/>
      <c r="G82" s="433"/>
      <c r="H82" s="448"/>
      <c r="I82" s="445"/>
      <c r="J82" s="453"/>
      <c r="Q82" s="403">
        <f>L88-Q80</f>
        <v>-423200.3804486515</v>
      </c>
    </row>
    <row r="83" spans="2:17" s="417" customFormat="1" x14ac:dyDescent="0.25">
      <c r="C83" s="426" t="s">
        <v>104</v>
      </c>
      <c r="D83" s="426"/>
      <c r="E83" s="428"/>
      <c r="F83" s="445"/>
      <c r="G83" s="433"/>
      <c r="H83" s="448"/>
      <c r="I83" s="445"/>
      <c r="J83" s="453"/>
      <c r="Q83" s="400" t="s">
        <v>235</v>
      </c>
    </row>
    <row r="84" spans="2:17" s="417" customFormat="1" x14ac:dyDescent="0.25">
      <c r="C84" s="426" t="s">
        <v>124</v>
      </c>
      <c r="D84" s="426" t="s">
        <v>76</v>
      </c>
      <c r="E84" s="424">
        <v>28192306.539999999</v>
      </c>
      <c r="F84" s="445">
        <f>F72</f>
        <v>9.9360000000000004E-2</v>
      </c>
      <c r="G84" s="421">
        <f t="shared" ref="G84:G86" si="37">ROUND($E84*F84,2)</f>
        <v>2801187.58</v>
      </c>
      <c r="H84" s="448"/>
      <c r="I84" s="445">
        <f>ROUND(F84*(1+$Q$84),5)</f>
        <v>0.10224</v>
      </c>
      <c r="J84" s="425">
        <f t="shared" ref="J84:J86" si="38">ROUND($E84*I84,2)</f>
        <v>2882381.42</v>
      </c>
      <c r="L84" s="389">
        <f t="shared" ref="L84:L86" si="39">J84-G84</f>
        <v>81193.839999999851</v>
      </c>
      <c r="M84" s="390">
        <f>IF(G84&lt;&gt;0,L84/G84,0)</f>
        <v>2.8985506211618949E-2</v>
      </c>
      <c r="N84" s="390"/>
      <c r="O84" s="395">
        <f t="shared" ref="O84:O86" si="40">I84-F84</f>
        <v>2.8799999999999937E-3</v>
      </c>
      <c r="Q84" s="409">
        <v>2.8936E-2</v>
      </c>
    </row>
    <row r="85" spans="2:17" s="417" customFormat="1" x14ac:dyDescent="0.25">
      <c r="C85" s="426" t="s">
        <v>125</v>
      </c>
      <c r="D85" s="426" t="s">
        <v>76</v>
      </c>
      <c r="E85" s="424">
        <v>19024750.539999999</v>
      </c>
      <c r="F85" s="445">
        <f>F73</f>
        <v>4.9169999999999998E-2</v>
      </c>
      <c r="G85" s="421">
        <f t="shared" si="37"/>
        <v>935446.98</v>
      </c>
      <c r="H85" s="448"/>
      <c r="I85" s="445">
        <f>ROUND(F85*(1+$Q$84),5)</f>
        <v>5.0590000000000003E-2</v>
      </c>
      <c r="J85" s="425">
        <f t="shared" si="38"/>
        <v>962462.13</v>
      </c>
      <c r="L85" s="389">
        <f t="shared" si="39"/>
        <v>27015.150000000023</v>
      </c>
      <c r="M85" s="390">
        <f>IF(G85&lt;&gt;0,L85/G85,0)</f>
        <v>2.8879402657326473E-2</v>
      </c>
      <c r="N85" s="390"/>
      <c r="O85" s="395">
        <f t="shared" si="40"/>
        <v>1.4200000000000046E-3</v>
      </c>
      <c r="Q85" s="426"/>
    </row>
    <row r="86" spans="2:17" s="417" customFormat="1" x14ac:dyDescent="0.25">
      <c r="C86" s="426" t="s">
        <v>128</v>
      </c>
      <c r="D86" s="426" t="s">
        <v>76</v>
      </c>
      <c r="E86" s="424">
        <v>29365530.039999999</v>
      </c>
      <c r="F86" s="445">
        <f>F74</f>
        <v>4.7039999999999998E-2</v>
      </c>
      <c r="G86" s="421">
        <f t="shared" si="37"/>
        <v>1381354.53</v>
      </c>
      <c r="H86" s="448"/>
      <c r="I86" s="491">
        <f>ROUND(F86*(1+$Q$84),5)-0.00003</f>
        <v>4.8369999999999996E-2</v>
      </c>
      <c r="J86" s="425">
        <f t="shared" si="38"/>
        <v>1420410.69</v>
      </c>
      <c r="L86" s="389">
        <f t="shared" si="39"/>
        <v>39056.159999999916</v>
      </c>
      <c r="M86" s="390">
        <f>IF(G86&lt;&gt;0,L86/G86,0)</f>
        <v>2.8273813240399563E-2</v>
      </c>
      <c r="N86" s="390"/>
      <c r="O86" s="395">
        <f t="shared" si="40"/>
        <v>1.3299999999999979E-3</v>
      </c>
    </row>
    <row r="87" spans="2:17" s="417" customFormat="1" x14ac:dyDescent="0.25">
      <c r="C87" s="423" t="s">
        <v>109</v>
      </c>
      <c r="D87" s="418"/>
      <c r="E87" s="446">
        <f>SUM(E84:E86)</f>
        <v>76582587.120000005</v>
      </c>
      <c r="F87" s="437"/>
      <c r="H87" s="448"/>
      <c r="I87" s="437"/>
      <c r="J87" s="443"/>
      <c r="L87" s="450"/>
    </row>
    <row r="88" spans="2:17" s="417" customFormat="1" x14ac:dyDescent="0.25">
      <c r="C88" s="397" t="s">
        <v>232</v>
      </c>
      <c r="D88" s="418"/>
      <c r="E88" s="428"/>
      <c r="F88" s="437"/>
      <c r="G88" s="442">
        <f>SUM(G79:G86)</f>
        <v>7037315.1900000004</v>
      </c>
      <c r="H88" s="448"/>
      <c r="I88" s="437"/>
      <c r="J88" s="455">
        <f>SUM(J79:J86)</f>
        <v>7243181.0999999996</v>
      </c>
      <c r="L88" s="389">
        <f t="shared" ref="L88" si="41">J88-G88</f>
        <v>205865.90999999922</v>
      </c>
      <c r="M88" s="390">
        <f>IF(G88&lt;&gt;0,L88/G88,0)</f>
        <v>2.9253473013761546E-2</v>
      </c>
      <c r="N88" s="390"/>
    </row>
    <row r="89" spans="2:17" s="417" customFormat="1" x14ac:dyDescent="0.25">
      <c r="C89" s="418"/>
      <c r="D89" s="418"/>
      <c r="E89" s="428"/>
      <c r="F89" s="437"/>
      <c r="G89" s="433"/>
      <c r="H89" s="448"/>
      <c r="I89" s="437"/>
      <c r="J89" s="453"/>
    </row>
    <row r="90" spans="2:17" s="417" customFormat="1" x14ac:dyDescent="0.25">
      <c r="B90" s="416" t="s">
        <v>250</v>
      </c>
      <c r="D90" s="418"/>
      <c r="E90" s="428"/>
      <c r="F90" s="437"/>
      <c r="G90" s="433"/>
      <c r="H90" s="448"/>
      <c r="I90" s="437"/>
      <c r="J90" s="453"/>
    </row>
    <row r="91" spans="2:17" s="417" customFormat="1" x14ac:dyDescent="0.25">
      <c r="C91" s="418" t="s">
        <v>73</v>
      </c>
      <c r="D91" s="418" t="s">
        <v>74</v>
      </c>
      <c r="E91" s="424">
        <v>2677.7055539223543</v>
      </c>
      <c r="F91" s="435">
        <v>139.36000000000001</v>
      </c>
      <c r="G91" s="433">
        <f>ROUND($E91*F91,2)</f>
        <v>373165.05</v>
      </c>
      <c r="H91" s="448"/>
      <c r="I91" s="406">
        <f>ROUND(F91*(1+Q96),2)</f>
        <v>148.82</v>
      </c>
      <c r="J91" s="453">
        <f>ROUND($E91*I91,2)</f>
        <v>398496.14</v>
      </c>
      <c r="L91" s="389">
        <f t="shared" ref="L91:L94" si="42">J91-G91</f>
        <v>25331.090000000026</v>
      </c>
      <c r="M91" s="390">
        <f t="shared" ref="M91:M94" si="43">IF(G91&lt;&gt;0,L91/G91,0)</f>
        <v>6.7881732225459027E-2</v>
      </c>
      <c r="N91" s="390"/>
      <c r="O91" s="391">
        <f t="shared" ref="O91:O93" si="44">I91-F91</f>
        <v>9.4599999999999795</v>
      </c>
      <c r="Q91" s="392" t="s">
        <v>251</v>
      </c>
    </row>
    <row r="92" spans="2:17" s="417" customFormat="1" x14ac:dyDescent="0.25">
      <c r="C92" s="426" t="s">
        <v>102</v>
      </c>
      <c r="D92" s="426" t="s">
        <v>103</v>
      </c>
      <c r="E92" s="424">
        <v>82161.953000000009</v>
      </c>
      <c r="F92" s="435">
        <v>1.22</v>
      </c>
      <c r="G92" s="433">
        <f>ROUND($E92*F92,2)</f>
        <v>100237.58</v>
      </c>
      <c r="H92" s="448"/>
      <c r="I92" s="437">
        <f>ROUND(F92*(1+$Q$96),2)</f>
        <v>1.3</v>
      </c>
      <c r="J92" s="453">
        <f>ROUND($E92*I92,2)</f>
        <v>106810.54</v>
      </c>
      <c r="L92" s="389">
        <f t="shared" si="42"/>
        <v>6572.9599999999919</v>
      </c>
      <c r="M92" s="390">
        <f t="shared" si="43"/>
        <v>6.5573809742812947E-2</v>
      </c>
      <c r="N92" s="390"/>
      <c r="O92" s="391">
        <f>I92-F92</f>
        <v>8.0000000000000071E-2</v>
      </c>
      <c r="Q92" s="396">
        <v>173839.080480075</v>
      </c>
    </row>
    <row r="93" spans="2:17" s="417" customFormat="1" x14ac:dyDescent="0.25">
      <c r="C93" s="426" t="s">
        <v>95</v>
      </c>
      <c r="D93" s="426" t="s">
        <v>76</v>
      </c>
      <c r="E93" s="428">
        <f>E99</f>
        <v>9107268.5420000013</v>
      </c>
      <c r="F93" s="427">
        <v>9.0699999999999999E-3</v>
      </c>
      <c r="G93" s="433">
        <f>ROUND($E93*F93,2)</f>
        <v>82602.929999999993</v>
      </c>
      <c r="H93" s="448"/>
      <c r="I93" s="445">
        <f>ROUND(F93*(1+$Q$96),5)</f>
        <v>9.6900000000000007E-3</v>
      </c>
      <c r="J93" s="453">
        <f>ROUND($E93*I93,2)</f>
        <v>88249.43</v>
      </c>
      <c r="L93" s="389">
        <f t="shared" si="42"/>
        <v>5646.5</v>
      </c>
      <c r="M93" s="390">
        <f t="shared" si="43"/>
        <v>6.8357139389607607E-2</v>
      </c>
      <c r="N93" s="390"/>
      <c r="O93" s="395">
        <f t="shared" si="44"/>
        <v>6.2000000000000076E-4</v>
      </c>
      <c r="Q93" s="400" t="s">
        <v>233</v>
      </c>
    </row>
    <row r="94" spans="2:17" s="417" customFormat="1" x14ac:dyDescent="0.25">
      <c r="C94" s="426" t="s">
        <v>123</v>
      </c>
      <c r="D94" s="426"/>
      <c r="E94" s="428"/>
      <c r="F94" s="445"/>
      <c r="G94" s="451">
        <v>28713.760000000002</v>
      </c>
      <c r="H94" s="448"/>
      <c r="I94" s="445"/>
      <c r="J94" s="494">
        <v>28713.760000000002</v>
      </c>
      <c r="L94" s="389">
        <f t="shared" si="42"/>
        <v>0</v>
      </c>
      <c r="M94" s="390">
        <f t="shared" si="43"/>
        <v>0</v>
      </c>
      <c r="N94" s="390"/>
      <c r="Q94" s="403">
        <f>L100-Q92</f>
        <v>-44014.080480075238</v>
      </c>
    </row>
    <row r="95" spans="2:17" s="417" customFormat="1" x14ac:dyDescent="0.25">
      <c r="C95" s="426"/>
      <c r="D95" s="426"/>
      <c r="E95" s="428"/>
      <c r="F95" s="445"/>
      <c r="G95" s="433"/>
      <c r="H95" s="448"/>
      <c r="I95" s="445"/>
      <c r="J95" s="453"/>
      <c r="Q95" s="400" t="s">
        <v>235</v>
      </c>
    </row>
    <row r="96" spans="2:17" s="417" customFormat="1" x14ac:dyDescent="0.25">
      <c r="C96" s="426" t="s">
        <v>104</v>
      </c>
      <c r="D96" s="426"/>
      <c r="E96" s="428"/>
      <c r="F96" s="445"/>
      <c r="G96" s="433"/>
      <c r="H96" s="448"/>
      <c r="I96" s="445"/>
      <c r="J96" s="453"/>
      <c r="Q96" s="409">
        <v>6.787E-2</v>
      </c>
    </row>
    <row r="97" spans="2:17" s="417" customFormat="1" x14ac:dyDescent="0.25">
      <c r="C97" s="419" t="s">
        <v>132</v>
      </c>
      <c r="D97" s="419" t="s">
        <v>76</v>
      </c>
      <c r="E97" s="424">
        <v>2060386.0149999999</v>
      </c>
      <c r="F97" s="427">
        <v>0.19273999999999999</v>
      </c>
      <c r="G97" s="433">
        <f>ROUND($E97*F97,2)</f>
        <v>397118.8</v>
      </c>
      <c r="H97" s="448"/>
      <c r="I97" s="445">
        <f>ROUND(F97*(1+$Q$96),5)</f>
        <v>0.20582</v>
      </c>
      <c r="J97" s="453">
        <f>ROUND($E97*I97,2)</f>
        <v>424068.65</v>
      </c>
      <c r="L97" s="389">
        <f t="shared" ref="L97:L98" si="45">J97-G97</f>
        <v>26949.850000000035</v>
      </c>
      <c r="M97" s="390">
        <f t="shared" ref="M97:M98" si="46">IF(G97&lt;&gt;0,L97/G97,0)</f>
        <v>6.786344539719609E-2</v>
      </c>
      <c r="N97" s="390"/>
      <c r="O97" s="395">
        <f t="shared" ref="O97:O98" si="47">I97-F97</f>
        <v>1.3080000000000008E-2</v>
      </c>
    </row>
    <row r="98" spans="2:17" s="417" customFormat="1" x14ac:dyDescent="0.25">
      <c r="C98" s="419" t="s">
        <v>133</v>
      </c>
      <c r="D98" s="419" t="s">
        <v>76</v>
      </c>
      <c r="E98" s="424">
        <v>7046882.5270000007</v>
      </c>
      <c r="F98" s="427">
        <v>0.13664000000000001</v>
      </c>
      <c r="G98" s="433">
        <f>ROUND($E98*F98,2)</f>
        <v>962886.03</v>
      </c>
      <c r="H98" s="448"/>
      <c r="I98" s="445">
        <f>ROUND(F98*(1+$Q$96),5)</f>
        <v>0.14591000000000001</v>
      </c>
      <c r="J98" s="453">
        <f>ROUND($E98*I98,2)</f>
        <v>1028210.63</v>
      </c>
      <c r="L98" s="389">
        <f t="shared" si="45"/>
        <v>65324.599999999977</v>
      </c>
      <c r="M98" s="390">
        <f t="shared" si="46"/>
        <v>6.7842504683550117E-2</v>
      </c>
      <c r="N98" s="390"/>
      <c r="O98" s="395">
        <f t="shared" si="47"/>
        <v>9.2700000000000005E-3</v>
      </c>
    </row>
    <row r="99" spans="2:17" s="417" customFormat="1" x14ac:dyDescent="0.25">
      <c r="C99" s="423" t="s">
        <v>109</v>
      </c>
      <c r="D99" s="426" t="s">
        <v>76</v>
      </c>
      <c r="E99" s="438">
        <f>SUM(E97:E98)</f>
        <v>9107268.5420000013</v>
      </c>
      <c r="F99" s="437"/>
      <c r="H99" s="448"/>
      <c r="I99" s="437"/>
      <c r="J99" s="443"/>
      <c r="L99" s="450"/>
    </row>
    <row r="100" spans="2:17" s="417" customFormat="1" x14ac:dyDescent="0.25">
      <c r="C100" s="397" t="s">
        <v>232</v>
      </c>
      <c r="D100" s="426"/>
      <c r="E100" s="428"/>
      <c r="F100" s="437"/>
      <c r="G100" s="442">
        <f>SUM(G91:G98)</f>
        <v>1944724.1500000001</v>
      </c>
      <c r="H100" s="448"/>
      <c r="I100" s="437"/>
      <c r="J100" s="455">
        <f>SUM(J91:J98)</f>
        <v>2074549.15</v>
      </c>
      <c r="L100" s="389">
        <f t="shared" ref="L100" si="48">J100-G100</f>
        <v>129824.99999999977</v>
      </c>
      <c r="M100" s="390">
        <f>IF(G100&lt;&gt;0,L100/G100,0)</f>
        <v>6.6757539880398856E-2</v>
      </c>
      <c r="N100" s="390"/>
      <c r="Q100" s="426"/>
    </row>
    <row r="101" spans="2:17" s="417" customFormat="1" x14ac:dyDescent="0.25">
      <c r="C101" s="418"/>
      <c r="D101" s="418"/>
      <c r="E101" s="428"/>
      <c r="F101" s="437"/>
      <c r="G101" s="433"/>
      <c r="H101" s="448"/>
      <c r="I101" s="437"/>
      <c r="J101" s="453"/>
      <c r="Q101" s="426"/>
    </row>
    <row r="102" spans="2:17" s="417" customFormat="1" x14ac:dyDescent="0.25">
      <c r="B102" s="416" t="s">
        <v>252</v>
      </c>
      <c r="D102" s="418"/>
      <c r="E102" s="428"/>
      <c r="F102" s="437"/>
      <c r="G102" s="433"/>
      <c r="H102" s="448"/>
      <c r="I102" s="437"/>
      <c r="J102" s="453"/>
      <c r="Q102" s="426"/>
    </row>
    <row r="103" spans="2:17" s="417" customFormat="1" x14ac:dyDescent="0.25">
      <c r="B103" s="426"/>
      <c r="C103" s="418" t="s">
        <v>73</v>
      </c>
      <c r="D103" s="418" t="s">
        <v>74</v>
      </c>
      <c r="E103" s="424">
        <v>31.999971930109631</v>
      </c>
      <c r="F103" s="435">
        <v>443.44</v>
      </c>
      <c r="G103" s="433">
        <f>ROUND($E103*F103,2)</f>
        <v>14190.07</v>
      </c>
      <c r="H103" s="448"/>
      <c r="I103" s="406">
        <f>ROUND(F103*(1+Q108),2)</f>
        <v>457.76</v>
      </c>
      <c r="J103" s="453">
        <f>ROUND($E103*I103,2)</f>
        <v>14648.31</v>
      </c>
      <c r="L103" s="389">
        <f t="shared" ref="L103:L105" si="49">J103-G103</f>
        <v>458.23999999999978</v>
      </c>
      <c r="M103" s="390">
        <f t="shared" ref="M103:M105" si="50">IF(G103&lt;&gt;0,L103/G103,0)</f>
        <v>3.2293004897086468E-2</v>
      </c>
      <c r="N103" s="390"/>
      <c r="O103" s="391">
        <f t="shared" ref="O103:O104" si="51">I103-F103</f>
        <v>14.319999999999993</v>
      </c>
      <c r="Q103" s="392" t="s">
        <v>253</v>
      </c>
    </row>
    <row r="104" spans="2:17" s="417" customFormat="1" x14ac:dyDescent="0.25">
      <c r="B104" s="426"/>
      <c r="C104" s="426" t="s">
        <v>102</v>
      </c>
      <c r="D104" s="426" t="s">
        <v>103</v>
      </c>
      <c r="E104" s="424">
        <v>9750</v>
      </c>
      <c r="F104" s="435">
        <v>1.22</v>
      </c>
      <c r="G104" s="433">
        <f>ROUND($E104*F104,2)</f>
        <v>11895</v>
      </c>
      <c r="H104" s="448"/>
      <c r="I104" s="437">
        <f>ROUND(F104*(1+$Q$108),2)</f>
        <v>1.26</v>
      </c>
      <c r="J104" s="453">
        <f>ROUND($E104*I104,2)</f>
        <v>12285</v>
      </c>
      <c r="L104" s="389">
        <f t="shared" si="49"/>
        <v>390</v>
      </c>
      <c r="M104" s="390">
        <f t="shared" si="50"/>
        <v>3.2786885245901641E-2</v>
      </c>
      <c r="N104" s="390"/>
      <c r="O104" s="391">
        <f t="shared" si="51"/>
        <v>4.0000000000000036E-2</v>
      </c>
      <c r="Q104" s="396">
        <v>7545.3055113022911</v>
      </c>
    </row>
    <row r="105" spans="2:17" s="417" customFormat="1" x14ac:dyDescent="0.25">
      <c r="B105" s="426"/>
      <c r="C105" s="426" t="s">
        <v>123</v>
      </c>
      <c r="D105" s="426"/>
      <c r="E105" s="428"/>
      <c r="F105" s="445"/>
      <c r="G105" s="451">
        <v>8523.59</v>
      </c>
      <c r="H105" s="448"/>
      <c r="I105" s="445"/>
      <c r="J105" s="494">
        <v>8523.59</v>
      </c>
      <c r="L105" s="389">
        <f t="shared" si="49"/>
        <v>0</v>
      </c>
      <c r="M105" s="390">
        <f t="shared" si="50"/>
        <v>0</v>
      </c>
      <c r="N105" s="390"/>
      <c r="Q105" s="400" t="s">
        <v>233</v>
      </c>
    </row>
    <row r="106" spans="2:17" s="417" customFormat="1" x14ac:dyDescent="0.25">
      <c r="B106" s="426"/>
      <c r="C106" s="426"/>
      <c r="D106" s="426"/>
      <c r="E106" s="428"/>
      <c r="F106" s="445"/>
      <c r="G106" s="433"/>
      <c r="H106" s="448"/>
      <c r="I106" s="445"/>
      <c r="J106" s="453"/>
      <c r="Q106" s="403">
        <f>L111-Q104</f>
        <v>-5089.5655113023004</v>
      </c>
    </row>
    <row r="107" spans="2:17" s="417" customFormat="1" x14ac:dyDescent="0.25">
      <c r="B107" s="426"/>
      <c r="C107" s="426" t="s">
        <v>104</v>
      </c>
      <c r="D107" s="426"/>
      <c r="E107" s="428"/>
      <c r="F107" s="445"/>
      <c r="G107" s="433"/>
      <c r="H107" s="448"/>
      <c r="I107" s="445"/>
      <c r="J107" s="453"/>
      <c r="Q107" s="400" t="s">
        <v>235</v>
      </c>
    </row>
    <row r="108" spans="2:17" s="417" customFormat="1" x14ac:dyDescent="0.25">
      <c r="B108" s="426"/>
      <c r="C108" s="419" t="s">
        <v>132</v>
      </c>
      <c r="D108" s="419" t="s">
        <v>76</v>
      </c>
      <c r="E108" s="424">
        <v>23930.91</v>
      </c>
      <c r="F108" s="445">
        <f>F97</f>
        <v>0.19273999999999999</v>
      </c>
      <c r="G108" s="433">
        <f>ROUND($E108*F108,2)</f>
        <v>4612.4399999999996</v>
      </c>
      <c r="H108" s="448"/>
      <c r="I108" s="445">
        <f>ROUND(F108*(1+$Q$108),5)</f>
        <v>0.19897000000000001</v>
      </c>
      <c r="J108" s="453">
        <f>ROUND($E108*I108,2)</f>
        <v>4761.53</v>
      </c>
      <c r="L108" s="389">
        <f t="shared" ref="L108:L109" si="52">J108-G108</f>
        <v>149.09000000000015</v>
      </c>
      <c r="M108" s="390">
        <f t="shared" ref="M108:M109" si="53">IF(G108&lt;&gt;0,L108/G108,0)</f>
        <v>3.2323455698068736E-2</v>
      </c>
      <c r="N108" s="390"/>
      <c r="O108" s="395">
        <f>I108-F108</f>
        <v>6.2300000000000133E-3</v>
      </c>
      <c r="Q108" s="409">
        <v>3.2300000000000002E-2</v>
      </c>
    </row>
    <row r="109" spans="2:17" s="417" customFormat="1" x14ac:dyDescent="0.25">
      <c r="B109" s="426"/>
      <c r="C109" s="419" t="s">
        <v>133</v>
      </c>
      <c r="D109" s="419" t="s">
        <v>76</v>
      </c>
      <c r="E109" s="424">
        <v>330705.78999999998</v>
      </c>
      <c r="F109" s="445">
        <f>F98</f>
        <v>0.13664000000000001</v>
      </c>
      <c r="G109" s="433">
        <f>ROUND($E109*F109,2)</f>
        <v>45187.64</v>
      </c>
      <c r="H109" s="448"/>
      <c r="I109" s="445">
        <f>ROUND(F109*(1+$Q$108),5)</f>
        <v>0.14105000000000001</v>
      </c>
      <c r="J109" s="453">
        <f>ROUND($E109*I109,2)</f>
        <v>46646.05</v>
      </c>
      <c r="L109" s="389">
        <f t="shared" si="52"/>
        <v>1458.4100000000035</v>
      </c>
      <c r="M109" s="390">
        <f t="shared" si="53"/>
        <v>3.2274533478623878E-2</v>
      </c>
      <c r="N109" s="390"/>
      <c r="O109" s="395">
        <f t="shared" ref="O109" si="54">I109-F109</f>
        <v>4.4099999999999973E-3</v>
      </c>
      <c r="Q109" s="426"/>
    </row>
    <row r="110" spans="2:17" s="417" customFormat="1" x14ac:dyDescent="0.25">
      <c r="C110" s="423" t="s">
        <v>109</v>
      </c>
      <c r="D110" s="426" t="s">
        <v>76</v>
      </c>
      <c r="E110" s="446">
        <f>SUM(E108:E109)</f>
        <v>354636.69999999995</v>
      </c>
      <c r="F110" s="437"/>
      <c r="H110" s="448"/>
      <c r="I110" s="437"/>
      <c r="J110" s="443"/>
      <c r="L110" s="450"/>
    </row>
    <row r="111" spans="2:17" s="417" customFormat="1" x14ac:dyDescent="0.25">
      <c r="C111" s="397" t="s">
        <v>232</v>
      </c>
      <c r="D111" s="426"/>
      <c r="E111" s="428"/>
      <c r="F111" s="437"/>
      <c r="G111" s="442">
        <f>SUM(G103:G109)</f>
        <v>84408.74</v>
      </c>
      <c r="H111" s="448"/>
      <c r="I111" s="437"/>
      <c r="J111" s="455">
        <f>SUM(J103:J109)</f>
        <v>86864.48</v>
      </c>
      <c r="L111" s="389">
        <f t="shared" ref="L111" si="55">J111-G111</f>
        <v>2455.7399999999907</v>
      </c>
      <c r="M111" s="390">
        <f>IF(G111&lt;&gt;0,L111/G111,0)</f>
        <v>2.9093432741680428E-2</v>
      </c>
      <c r="N111" s="390"/>
    </row>
    <row r="112" spans="2:17" s="417" customFormat="1" x14ac:dyDescent="0.25">
      <c r="B112" s="426"/>
      <c r="C112" s="418"/>
      <c r="D112" s="418"/>
      <c r="E112" s="428"/>
      <c r="F112" s="437"/>
      <c r="G112" s="433"/>
      <c r="H112" s="448"/>
      <c r="I112" s="437"/>
      <c r="J112" s="453"/>
    </row>
    <row r="113" spans="2:17" s="417" customFormat="1" x14ac:dyDescent="0.25">
      <c r="B113" s="416" t="s">
        <v>254</v>
      </c>
      <c r="D113" s="418"/>
      <c r="E113" s="428"/>
      <c r="F113" s="437"/>
      <c r="G113" s="433"/>
      <c r="H113" s="448"/>
      <c r="I113" s="437"/>
      <c r="J113" s="453"/>
    </row>
    <row r="114" spans="2:17" s="417" customFormat="1" x14ac:dyDescent="0.25">
      <c r="C114" s="418" t="s">
        <v>73</v>
      </c>
      <c r="D114" s="418" t="s">
        <v>74</v>
      </c>
      <c r="E114" s="424">
        <v>60.132496118726415</v>
      </c>
      <c r="F114" s="435">
        <v>557.39</v>
      </c>
      <c r="G114" s="433">
        <f>ROUND($E114*F114,2)</f>
        <v>33517.25</v>
      </c>
      <c r="H114" s="448"/>
      <c r="I114" s="406">
        <f>ROUND(F114*(1+Q119),2)</f>
        <v>606.5</v>
      </c>
      <c r="J114" s="453">
        <f>ROUND($E114*I114,2)</f>
        <v>36470.36</v>
      </c>
      <c r="L114" s="389">
        <f>J114-G114</f>
        <v>2953.1100000000006</v>
      </c>
      <c r="M114" s="390">
        <f>IF(G114&lt;&gt;0,L114/G114,0)</f>
        <v>8.8107168696715893E-2</v>
      </c>
      <c r="N114" s="390"/>
      <c r="O114" s="391">
        <f t="shared" ref="O114:O116" si="56">I114-F114</f>
        <v>49.110000000000014</v>
      </c>
      <c r="Q114" s="392" t="s">
        <v>255</v>
      </c>
    </row>
    <row r="115" spans="2:17" s="417" customFormat="1" x14ac:dyDescent="0.25">
      <c r="C115" s="426" t="s">
        <v>102</v>
      </c>
      <c r="D115" s="426" t="s">
        <v>103</v>
      </c>
      <c r="E115" s="424">
        <v>0</v>
      </c>
      <c r="F115" s="435">
        <v>1.38</v>
      </c>
      <c r="G115" s="433">
        <f>ROUND($E115*F115,2)</f>
        <v>0</v>
      </c>
      <c r="H115" s="448"/>
      <c r="I115" s="437">
        <f>ROUND(F115*(1+$Q$119),2)</f>
        <v>1.5</v>
      </c>
      <c r="J115" s="453">
        <f>ROUND($E115*I115,2)</f>
        <v>0</v>
      </c>
      <c r="L115" s="389">
        <f t="shared" ref="L115:L117" si="57">J115-G115</f>
        <v>0</v>
      </c>
      <c r="M115" s="390">
        <f t="shared" ref="M115:M117" si="58">IF(G115&lt;&gt;0,L115/G115,0)</f>
        <v>0</v>
      </c>
      <c r="N115" s="390"/>
      <c r="O115" s="391">
        <f t="shared" si="56"/>
        <v>0.12000000000000011</v>
      </c>
      <c r="Q115" s="396">
        <v>97747.749547424202</v>
      </c>
    </row>
    <row r="116" spans="2:17" s="417" customFormat="1" x14ac:dyDescent="0.25">
      <c r="C116" s="426" t="s">
        <v>95</v>
      </c>
      <c r="D116" s="426"/>
      <c r="E116" s="428">
        <f>E126</f>
        <v>23273158.627999999</v>
      </c>
      <c r="F116" s="427">
        <v>5.94E-3</v>
      </c>
      <c r="G116" s="433">
        <f>ROUND($E116*F116,2)</f>
        <v>138242.56</v>
      </c>
      <c r="H116" s="448"/>
      <c r="I116" s="445">
        <f>ROUND(F116*(1+$Q$119),5)</f>
        <v>6.4599999999999996E-3</v>
      </c>
      <c r="J116" s="453">
        <f>ROUND($E116*I116,2)</f>
        <v>150344.6</v>
      </c>
      <c r="L116" s="389">
        <f t="shared" si="57"/>
        <v>12102.040000000008</v>
      </c>
      <c r="M116" s="390">
        <f t="shared" si="58"/>
        <v>8.75420709801671E-2</v>
      </c>
      <c r="N116" s="390"/>
      <c r="O116" s="395">
        <f t="shared" si="56"/>
        <v>5.1999999999999963E-4</v>
      </c>
      <c r="Q116" s="400" t="s">
        <v>233</v>
      </c>
    </row>
    <row r="117" spans="2:17" s="417" customFormat="1" x14ac:dyDescent="0.25">
      <c r="C117" s="419" t="s">
        <v>123</v>
      </c>
      <c r="D117" s="419"/>
      <c r="E117" s="428"/>
      <c r="F117" s="445" t="s">
        <v>60</v>
      </c>
      <c r="G117" s="451">
        <v>42191.22</v>
      </c>
      <c r="H117" s="448"/>
      <c r="I117" s="445" t="s">
        <v>60</v>
      </c>
      <c r="J117" s="494">
        <v>42191.22</v>
      </c>
      <c r="L117" s="389">
        <f t="shared" si="57"/>
        <v>0</v>
      </c>
      <c r="M117" s="390">
        <f t="shared" si="58"/>
        <v>0</v>
      </c>
      <c r="N117" s="390"/>
      <c r="Q117" s="403">
        <f>L127-Q115</f>
        <v>-5197.1195474240812</v>
      </c>
    </row>
    <row r="118" spans="2:17" s="417" customFormat="1" x14ac:dyDescent="0.25">
      <c r="C118" s="426"/>
      <c r="D118" s="426"/>
      <c r="E118" s="428"/>
      <c r="F118" s="445"/>
      <c r="G118" s="433"/>
      <c r="H118" s="448"/>
      <c r="I118" s="445"/>
      <c r="J118" s="453"/>
      <c r="Q118" s="400" t="s">
        <v>235</v>
      </c>
    </row>
    <row r="119" spans="2:17" s="417" customFormat="1" x14ac:dyDescent="0.25">
      <c r="C119" s="426" t="s">
        <v>104</v>
      </c>
      <c r="D119" s="426"/>
      <c r="E119" s="428"/>
      <c r="F119" s="445"/>
      <c r="G119" s="433"/>
      <c r="H119" s="448"/>
      <c r="I119" s="445"/>
      <c r="J119" s="453"/>
      <c r="Q119" s="409">
        <v>8.8100770546344992E-2</v>
      </c>
    </row>
    <row r="120" spans="2:17" s="417" customFormat="1" x14ac:dyDescent="0.25">
      <c r="C120" s="426" t="s">
        <v>124</v>
      </c>
      <c r="D120" s="426" t="s">
        <v>76</v>
      </c>
      <c r="E120" s="424">
        <v>1503311.6719999998</v>
      </c>
      <c r="F120" s="427">
        <v>0.1391</v>
      </c>
      <c r="G120" s="433">
        <f>ROUND($E120*F120,2)</f>
        <v>209110.65</v>
      </c>
      <c r="H120" s="448"/>
      <c r="I120" s="445">
        <f t="shared" ref="I120:I125" si="59">ROUND(F120*(1+$Q$119),5)</f>
        <v>0.15135000000000001</v>
      </c>
      <c r="J120" s="453">
        <f>ROUND($E120*I120,2)</f>
        <v>227526.22</v>
      </c>
      <c r="L120" s="389">
        <f t="shared" ref="L120:L125" si="60">J120-G120</f>
        <v>18415.570000000007</v>
      </c>
      <c r="M120" s="390">
        <f t="shared" ref="M120:M125" si="61">IF(G120&lt;&gt;0,L120/G120,0)</f>
        <v>8.8066150624083503E-2</v>
      </c>
      <c r="N120" s="390"/>
      <c r="O120" s="395">
        <f t="shared" ref="O120:O125" si="62">I120-F120</f>
        <v>1.2250000000000011E-2</v>
      </c>
    </row>
    <row r="121" spans="2:17" s="417" customFormat="1" x14ac:dyDescent="0.25">
      <c r="C121" s="426" t="s">
        <v>125</v>
      </c>
      <c r="D121" s="426" t="s">
        <v>76</v>
      </c>
      <c r="E121" s="424">
        <v>1455588.43</v>
      </c>
      <c r="F121" s="427">
        <v>8.4059999999999996E-2</v>
      </c>
      <c r="G121" s="433">
        <f t="shared" ref="G121:G125" si="63">ROUND($E121*F121,2)</f>
        <v>122356.76</v>
      </c>
      <c r="H121" s="448"/>
      <c r="I121" s="445">
        <f t="shared" si="59"/>
        <v>9.1469999999999996E-2</v>
      </c>
      <c r="J121" s="453">
        <f t="shared" ref="J121:J125" si="64">ROUND($E121*I121,2)</f>
        <v>133142.67000000001</v>
      </c>
      <c r="L121" s="389">
        <f t="shared" si="60"/>
        <v>10785.910000000018</v>
      </c>
      <c r="M121" s="390">
        <f t="shared" si="61"/>
        <v>8.8151320777045905E-2</v>
      </c>
      <c r="N121" s="390"/>
      <c r="O121" s="395">
        <f t="shared" si="62"/>
        <v>7.4099999999999999E-3</v>
      </c>
    </row>
    <row r="122" spans="2:17" s="417" customFormat="1" x14ac:dyDescent="0.25">
      <c r="C122" s="426" t="s">
        <v>128</v>
      </c>
      <c r="D122" s="426" t="s">
        <v>76</v>
      </c>
      <c r="E122" s="424">
        <v>2640466.9439999997</v>
      </c>
      <c r="F122" s="427">
        <v>5.3490000000000003E-2</v>
      </c>
      <c r="G122" s="433">
        <f t="shared" si="63"/>
        <v>141238.57999999999</v>
      </c>
      <c r="H122" s="448"/>
      <c r="I122" s="445">
        <f t="shared" si="59"/>
        <v>5.8200000000000002E-2</v>
      </c>
      <c r="J122" s="453">
        <f t="shared" si="64"/>
        <v>153675.18</v>
      </c>
      <c r="L122" s="389">
        <f t="shared" si="60"/>
        <v>12436.600000000006</v>
      </c>
      <c r="M122" s="390">
        <f t="shared" si="61"/>
        <v>8.8053844778105295E-2</v>
      </c>
      <c r="N122" s="390"/>
      <c r="O122" s="395">
        <f t="shared" si="62"/>
        <v>4.7099999999999989E-3</v>
      </c>
    </row>
    <row r="123" spans="2:17" s="417" customFormat="1" x14ac:dyDescent="0.25">
      <c r="C123" s="426" t="s">
        <v>138</v>
      </c>
      <c r="D123" s="426" t="s">
        <v>76</v>
      </c>
      <c r="E123" s="424">
        <v>3226287.8670000001</v>
      </c>
      <c r="F123" s="427">
        <v>3.4299999999999997E-2</v>
      </c>
      <c r="G123" s="433">
        <f t="shared" si="63"/>
        <v>110661.67</v>
      </c>
      <c r="H123" s="448"/>
      <c r="I123" s="445">
        <f t="shared" si="59"/>
        <v>3.7319999999999999E-2</v>
      </c>
      <c r="J123" s="453">
        <f t="shared" si="64"/>
        <v>120405.06</v>
      </c>
      <c r="L123" s="389">
        <f t="shared" si="60"/>
        <v>9743.39</v>
      </c>
      <c r="M123" s="390">
        <f t="shared" si="61"/>
        <v>8.8046656082453836E-2</v>
      </c>
      <c r="N123" s="390"/>
      <c r="O123" s="395">
        <f t="shared" si="62"/>
        <v>3.0200000000000018E-3</v>
      </c>
    </row>
    <row r="124" spans="2:17" s="417" customFormat="1" x14ac:dyDescent="0.25">
      <c r="C124" s="426" t="s">
        <v>139</v>
      </c>
      <c r="D124" s="426" t="s">
        <v>76</v>
      </c>
      <c r="E124" s="424">
        <v>3759593.1549999998</v>
      </c>
      <c r="F124" s="427">
        <v>2.4680000000000001E-2</v>
      </c>
      <c r="G124" s="433">
        <f t="shared" si="63"/>
        <v>92786.76</v>
      </c>
      <c r="H124" s="448"/>
      <c r="I124" s="445">
        <f t="shared" si="59"/>
        <v>2.6849999999999999E-2</v>
      </c>
      <c r="J124" s="453">
        <f t="shared" si="64"/>
        <v>100945.08</v>
      </c>
      <c r="L124" s="389">
        <f t="shared" si="60"/>
        <v>8158.320000000007</v>
      </c>
      <c r="M124" s="390">
        <f t="shared" si="61"/>
        <v>8.792547557431693E-2</v>
      </c>
      <c r="N124" s="390"/>
      <c r="O124" s="395">
        <f t="shared" si="62"/>
        <v>2.1699999999999983E-3</v>
      </c>
    </row>
    <row r="125" spans="2:17" s="417" customFormat="1" x14ac:dyDescent="0.25">
      <c r="C125" s="426" t="s">
        <v>140</v>
      </c>
      <c r="D125" s="426" t="s">
        <v>76</v>
      </c>
      <c r="E125" s="424">
        <v>10687910.560000001</v>
      </c>
      <c r="F125" s="427">
        <v>1.9029999999999998E-2</v>
      </c>
      <c r="G125" s="433">
        <f t="shared" si="63"/>
        <v>203390.94</v>
      </c>
      <c r="H125" s="448"/>
      <c r="I125" s="445">
        <f t="shared" si="59"/>
        <v>2.0709999999999999E-2</v>
      </c>
      <c r="J125" s="453">
        <f t="shared" si="64"/>
        <v>221346.63</v>
      </c>
      <c r="L125" s="389">
        <f t="shared" si="60"/>
        <v>17955.690000000002</v>
      </c>
      <c r="M125" s="390">
        <f t="shared" si="61"/>
        <v>8.8281660923539673E-2</v>
      </c>
      <c r="N125" s="390"/>
      <c r="O125" s="395">
        <f t="shared" si="62"/>
        <v>1.6800000000000009E-3</v>
      </c>
    </row>
    <row r="126" spans="2:17" s="417" customFormat="1" x14ac:dyDescent="0.25">
      <c r="C126" s="423" t="s">
        <v>109</v>
      </c>
      <c r="D126" s="426" t="s">
        <v>76</v>
      </c>
      <c r="E126" s="438">
        <f>SUM(E120:E125)</f>
        <v>23273158.627999999</v>
      </c>
      <c r="F126" s="437"/>
      <c r="H126" s="448"/>
      <c r="I126" s="437"/>
      <c r="J126" s="443"/>
      <c r="L126" s="450"/>
    </row>
    <row r="127" spans="2:17" s="417" customFormat="1" x14ac:dyDescent="0.25">
      <c r="C127" s="397" t="s">
        <v>232</v>
      </c>
      <c r="D127" s="426"/>
      <c r="E127" s="428"/>
      <c r="F127" s="437"/>
      <c r="G127" s="442">
        <f>SUM(G114:G125)</f>
        <v>1093496.3899999999</v>
      </c>
      <c r="H127" s="448"/>
      <c r="I127" s="437"/>
      <c r="J127" s="455">
        <f>SUM(J114:J125)</f>
        <v>1186047.02</v>
      </c>
      <c r="L127" s="389">
        <f>J127-G127</f>
        <v>92550.630000000121</v>
      </c>
      <c r="M127" s="390">
        <f>IF(G127&lt;&gt;0,L127/G127,0)</f>
        <v>8.4637343887344826E-2</v>
      </c>
      <c r="N127" s="390"/>
    </row>
    <row r="128" spans="2:17" s="417" customFormat="1" x14ac:dyDescent="0.25">
      <c r="C128" s="418"/>
      <c r="D128" s="418"/>
      <c r="E128" s="428"/>
      <c r="F128" s="437"/>
      <c r="G128" s="433"/>
      <c r="H128" s="448"/>
      <c r="I128" s="437"/>
      <c r="J128" s="453"/>
    </row>
    <row r="129" spans="2:17" s="417" customFormat="1" x14ac:dyDescent="0.25">
      <c r="B129" s="416" t="s">
        <v>256</v>
      </c>
      <c r="D129" s="418"/>
      <c r="E129" s="428"/>
      <c r="F129" s="437"/>
      <c r="G129" s="433"/>
      <c r="H129" s="448"/>
      <c r="I129" s="437"/>
      <c r="J129" s="453"/>
      <c r="Q129" s="426"/>
    </row>
    <row r="130" spans="2:17" s="417" customFormat="1" x14ac:dyDescent="0.25">
      <c r="B130" s="426"/>
      <c r="C130" s="418" t="s">
        <v>73</v>
      </c>
      <c r="D130" s="418" t="s">
        <v>74</v>
      </c>
      <c r="E130" s="424">
        <v>112.76670855311828</v>
      </c>
      <c r="F130" s="435">
        <v>891.83</v>
      </c>
      <c r="G130" s="433">
        <f>ROUND($E130*F130,2)</f>
        <v>100568.73</v>
      </c>
      <c r="H130" s="448"/>
      <c r="I130" s="406">
        <f>ROUND(F130*(1+Q135),2)</f>
        <v>918.31</v>
      </c>
      <c r="J130" s="453">
        <f>ROUND($E130*I130,2)</f>
        <v>103554.8</v>
      </c>
      <c r="L130" s="389">
        <f t="shared" ref="L130:L132" si="65">J130-G130</f>
        <v>2986.070000000007</v>
      </c>
      <c r="M130" s="390">
        <f>IF(G130&lt;&gt;0,L130/G130,0)</f>
        <v>2.9691833634570178E-2</v>
      </c>
      <c r="N130" s="390"/>
      <c r="O130" s="391">
        <f t="shared" ref="O130:O131" si="66">I130-F130</f>
        <v>26.479999999999905</v>
      </c>
      <c r="Q130" s="392" t="s">
        <v>257</v>
      </c>
    </row>
    <row r="131" spans="2:17" s="417" customFormat="1" x14ac:dyDescent="0.25">
      <c r="B131" s="426"/>
      <c r="C131" s="426" t="s">
        <v>102</v>
      </c>
      <c r="D131" s="426" t="s">
        <v>103</v>
      </c>
      <c r="E131" s="424">
        <v>287412</v>
      </c>
      <c r="F131" s="435">
        <v>1.38</v>
      </c>
      <c r="G131" s="433">
        <f>ROUND($E131*F131,2)</f>
        <v>396628.56</v>
      </c>
      <c r="H131" s="448"/>
      <c r="I131" s="437">
        <f>ROUND(F131*(1+$Q$135),2)</f>
        <v>1.42</v>
      </c>
      <c r="J131" s="453">
        <f>ROUND($E131*I131,2)</f>
        <v>408125.04</v>
      </c>
      <c r="L131" s="389">
        <f t="shared" si="65"/>
        <v>11496.479999999981</v>
      </c>
      <c r="M131" s="390">
        <f>IF(G131&lt;&gt;0,L131/G131,0)</f>
        <v>2.8985507246376763E-2</v>
      </c>
      <c r="N131" s="390"/>
      <c r="O131" s="391">
        <f t="shared" si="66"/>
        <v>4.0000000000000036E-2</v>
      </c>
      <c r="Q131" s="396">
        <v>318618.36816249572</v>
      </c>
    </row>
    <row r="132" spans="2:17" s="417" customFormat="1" x14ac:dyDescent="0.25">
      <c r="B132" s="426"/>
      <c r="C132" s="426" t="s">
        <v>123</v>
      </c>
      <c r="D132" s="426"/>
      <c r="E132" s="434"/>
      <c r="F132" s="437"/>
      <c r="G132" s="451">
        <v>0</v>
      </c>
      <c r="H132" s="448"/>
      <c r="I132" s="437"/>
      <c r="J132" s="494">
        <v>0</v>
      </c>
      <c r="L132" s="389">
        <f t="shared" si="65"/>
        <v>0</v>
      </c>
      <c r="M132" s="390">
        <f>IF(G132&lt;&gt;0,L132/G132,0)</f>
        <v>0</v>
      </c>
      <c r="N132" s="390"/>
      <c r="Q132" s="400" t="s">
        <v>233</v>
      </c>
    </row>
    <row r="133" spans="2:17" s="417" customFormat="1" x14ac:dyDescent="0.25">
      <c r="B133" s="426"/>
      <c r="C133" s="419"/>
      <c r="D133" s="426"/>
      <c r="E133" s="428"/>
      <c r="F133" s="452"/>
      <c r="G133" s="433"/>
      <c r="H133" s="448"/>
      <c r="I133" s="445"/>
      <c r="J133" s="453"/>
      <c r="Q133" s="403">
        <f>L142-Q131</f>
        <v>-213369.60816249595</v>
      </c>
    </row>
    <row r="134" spans="2:17" s="417" customFormat="1" x14ac:dyDescent="0.25">
      <c r="B134" s="426"/>
      <c r="C134" s="426" t="s">
        <v>104</v>
      </c>
      <c r="D134" s="426"/>
      <c r="E134" s="428"/>
      <c r="F134" s="445"/>
      <c r="G134" s="453"/>
      <c r="H134" s="448"/>
      <c r="I134" s="445"/>
      <c r="J134" s="453"/>
      <c r="Q134" s="400" t="s">
        <v>235</v>
      </c>
    </row>
    <row r="135" spans="2:17" s="417" customFormat="1" x14ac:dyDescent="0.25">
      <c r="B135" s="426"/>
      <c r="C135" s="426" t="s">
        <v>124</v>
      </c>
      <c r="D135" s="426" t="s">
        <v>76</v>
      </c>
      <c r="E135" s="424">
        <v>3000000</v>
      </c>
      <c r="F135" s="445">
        <f t="shared" ref="F135:F140" si="67">F120</f>
        <v>0.1391</v>
      </c>
      <c r="G135" s="453">
        <f t="shared" ref="G135:G140" si="68">ROUND($E135*F135,2)</f>
        <v>417300</v>
      </c>
      <c r="H135" s="448"/>
      <c r="I135" s="445">
        <f t="shared" ref="I135:I139" si="69">ROUND(F135*(1+$Q$135),5)</f>
        <v>0.14323</v>
      </c>
      <c r="J135" s="453">
        <f t="shared" ref="J135:J140" si="70">ROUND($E135*I135,2)</f>
        <v>429690</v>
      </c>
      <c r="L135" s="389">
        <f t="shared" ref="L135:L140" si="71">J135-G135</f>
        <v>12390</v>
      </c>
      <c r="M135" s="390">
        <f t="shared" ref="M135:M140" si="72">IF(G135&lt;&gt;0,L135/G135,0)</f>
        <v>2.9690869877785766E-2</v>
      </c>
      <c r="N135" s="390"/>
      <c r="O135" s="395">
        <f t="shared" ref="O135:O140" si="73">I135-F135</f>
        <v>4.1299999999999948E-3</v>
      </c>
      <c r="P135" s="454"/>
      <c r="Q135" s="409">
        <v>2.9689960000000001E-2</v>
      </c>
    </row>
    <row r="136" spans="2:17" s="417" customFormat="1" x14ac:dyDescent="0.25">
      <c r="B136" s="426"/>
      <c r="C136" s="426" t="s">
        <v>125</v>
      </c>
      <c r="D136" s="426" t="s">
        <v>76</v>
      </c>
      <c r="E136" s="424">
        <v>3000000</v>
      </c>
      <c r="F136" s="445">
        <f t="shared" si="67"/>
        <v>8.4059999999999996E-2</v>
      </c>
      <c r="G136" s="453">
        <f t="shared" si="68"/>
        <v>252180</v>
      </c>
      <c r="H136" s="448"/>
      <c r="I136" s="445">
        <f t="shared" si="69"/>
        <v>8.6559999999999998E-2</v>
      </c>
      <c r="J136" s="453">
        <f t="shared" si="70"/>
        <v>259680</v>
      </c>
      <c r="L136" s="389">
        <f t="shared" si="71"/>
        <v>7500</v>
      </c>
      <c r="M136" s="390">
        <f t="shared" si="72"/>
        <v>2.9740661432310255E-2</v>
      </c>
      <c r="N136" s="390"/>
      <c r="O136" s="395">
        <f t="shared" si="73"/>
        <v>2.5000000000000022E-3</v>
      </c>
      <c r="P136" s="454"/>
      <c r="Q136" s="445"/>
    </row>
    <row r="137" spans="2:17" s="417" customFormat="1" x14ac:dyDescent="0.25">
      <c r="B137" s="426"/>
      <c r="C137" s="426" t="s">
        <v>128</v>
      </c>
      <c r="D137" s="426" t="s">
        <v>76</v>
      </c>
      <c r="E137" s="424">
        <v>6000000</v>
      </c>
      <c r="F137" s="445">
        <f t="shared" si="67"/>
        <v>5.3490000000000003E-2</v>
      </c>
      <c r="G137" s="453">
        <f t="shared" si="68"/>
        <v>320940</v>
      </c>
      <c r="H137" s="448"/>
      <c r="I137" s="445">
        <f t="shared" si="69"/>
        <v>5.5079999999999997E-2</v>
      </c>
      <c r="J137" s="453">
        <f t="shared" si="70"/>
        <v>330480</v>
      </c>
      <c r="L137" s="389">
        <f t="shared" si="71"/>
        <v>9540</v>
      </c>
      <c r="M137" s="390">
        <f t="shared" si="72"/>
        <v>2.9725182277061134E-2</v>
      </c>
      <c r="N137" s="390"/>
      <c r="O137" s="395">
        <f t="shared" si="73"/>
        <v>1.5899999999999942E-3</v>
      </c>
      <c r="P137" s="454"/>
      <c r="Q137" s="445"/>
    </row>
    <row r="138" spans="2:17" s="417" customFormat="1" x14ac:dyDescent="0.25">
      <c r="B138" s="426"/>
      <c r="C138" s="426" t="s">
        <v>138</v>
      </c>
      <c r="D138" s="426" t="s">
        <v>76</v>
      </c>
      <c r="E138" s="424">
        <v>11777991.880000001</v>
      </c>
      <c r="F138" s="445">
        <f t="shared" si="67"/>
        <v>3.4299999999999997E-2</v>
      </c>
      <c r="G138" s="453">
        <f t="shared" si="68"/>
        <v>403985.12</v>
      </c>
      <c r="H138" s="448"/>
      <c r="I138" s="445">
        <f t="shared" si="69"/>
        <v>3.5319999999999997E-2</v>
      </c>
      <c r="J138" s="453">
        <f t="shared" si="70"/>
        <v>415998.67</v>
      </c>
      <c r="L138" s="389">
        <f t="shared" si="71"/>
        <v>12013.549999999988</v>
      </c>
      <c r="M138" s="390">
        <f t="shared" si="72"/>
        <v>2.9737605187042503E-2</v>
      </c>
      <c r="N138" s="390"/>
      <c r="O138" s="395">
        <f t="shared" si="73"/>
        <v>1.0200000000000001E-3</v>
      </c>
      <c r="P138" s="454"/>
      <c r="Q138" s="445"/>
    </row>
    <row r="139" spans="2:17" s="417" customFormat="1" x14ac:dyDescent="0.25">
      <c r="B139" s="426"/>
      <c r="C139" s="426" t="s">
        <v>139</v>
      </c>
      <c r="D139" s="426" t="s">
        <v>76</v>
      </c>
      <c r="E139" s="424">
        <v>26253593.52</v>
      </c>
      <c r="F139" s="445">
        <f t="shared" si="67"/>
        <v>2.4680000000000001E-2</v>
      </c>
      <c r="G139" s="453">
        <f t="shared" si="68"/>
        <v>647938.68999999994</v>
      </c>
      <c r="H139" s="448"/>
      <c r="I139" s="445">
        <f t="shared" si="69"/>
        <v>2.5409999999999999E-2</v>
      </c>
      <c r="J139" s="453">
        <f t="shared" si="70"/>
        <v>667103.81000000006</v>
      </c>
      <c r="L139" s="389">
        <f t="shared" si="71"/>
        <v>19165.120000000112</v>
      </c>
      <c r="M139" s="390">
        <f t="shared" si="72"/>
        <v>2.9578601024736018E-2</v>
      </c>
      <c r="N139" s="390"/>
      <c r="O139" s="395">
        <f t="shared" si="73"/>
        <v>7.2999999999999801E-4</v>
      </c>
      <c r="P139" s="454"/>
      <c r="Q139" s="445"/>
    </row>
    <row r="140" spans="2:17" s="417" customFormat="1" x14ac:dyDescent="0.25">
      <c r="B140" s="426"/>
      <c r="C140" s="426" t="s">
        <v>140</v>
      </c>
      <c r="D140" s="426" t="s">
        <v>76</v>
      </c>
      <c r="E140" s="424">
        <v>53852735.850000009</v>
      </c>
      <c r="F140" s="445">
        <f t="shared" si="67"/>
        <v>1.9029999999999998E-2</v>
      </c>
      <c r="G140" s="453">
        <f t="shared" si="68"/>
        <v>1024817.56</v>
      </c>
      <c r="H140" s="448"/>
      <c r="I140" s="445">
        <f>ROUND(F140*(1+$Q$135),5)</f>
        <v>1.959E-2</v>
      </c>
      <c r="J140" s="453">
        <f t="shared" si="70"/>
        <v>1054975.1000000001</v>
      </c>
      <c r="L140" s="389">
        <f t="shared" si="71"/>
        <v>30157.540000000037</v>
      </c>
      <c r="M140" s="390">
        <f t="shared" si="72"/>
        <v>2.9427228003392172E-2</v>
      </c>
      <c r="N140" s="390"/>
      <c r="O140" s="395">
        <f t="shared" si="73"/>
        <v>5.6000000000000147E-4</v>
      </c>
      <c r="P140" s="454"/>
      <c r="Q140" s="445"/>
    </row>
    <row r="141" spans="2:17" s="417" customFormat="1" x14ac:dyDescent="0.25">
      <c r="C141" s="423" t="s">
        <v>109</v>
      </c>
      <c r="D141" s="426"/>
      <c r="E141" s="438">
        <f>SUM(E135:E140)</f>
        <v>103884321.25000001</v>
      </c>
      <c r="F141" s="445"/>
      <c r="G141" s="443"/>
      <c r="H141" s="448"/>
      <c r="I141" s="445"/>
      <c r="J141" s="443"/>
      <c r="L141" s="450"/>
      <c r="O141" s="454"/>
      <c r="P141" s="454"/>
    </row>
    <row r="142" spans="2:17" s="417" customFormat="1" x14ac:dyDescent="0.25">
      <c r="C142" s="397" t="s">
        <v>232</v>
      </c>
      <c r="D142" s="426"/>
      <c r="E142" s="428"/>
      <c r="F142" s="445"/>
      <c r="G142" s="455">
        <f>SUM(G130:G140)</f>
        <v>3564358.66</v>
      </c>
      <c r="H142" s="448"/>
      <c r="I142" s="445"/>
      <c r="J142" s="455">
        <f>SUM(J130:J140)</f>
        <v>3669607.42</v>
      </c>
      <c r="L142" s="389">
        <f t="shared" ref="L142" si="74">J142-G142</f>
        <v>105248.75999999978</v>
      </c>
      <c r="M142" s="390">
        <f>IF(G142&lt;&gt;0,L142/G142,0)</f>
        <v>2.9528105906154734E-2</v>
      </c>
      <c r="N142" s="390"/>
      <c r="O142" s="454"/>
      <c r="P142" s="454"/>
    </row>
    <row r="143" spans="2:17" s="417" customFormat="1" x14ac:dyDescent="0.25">
      <c r="B143" s="426"/>
      <c r="C143" s="426"/>
      <c r="D143" s="418"/>
      <c r="E143" s="428"/>
      <c r="F143" s="437"/>
      <c r="G143" s="433"/>
      <c r="H143" s="448"/>
      <c r="I143" s="437"/>
      <c r="J143" s="453"/>
    </row>
    <row r="144" spans="2:17" x14ac:dyDescent="0.25">
      <c r="B144" s="416" t="s">
        <v>258</v>
      </c>
      <c r="E144" s="457"/>
      <c r="I144" s="383"/>
      <c r="J144" s="457"/>
    </row>
    <row r="145" spans="2:17" x14ac:dyDescent="0.25">
      <c r="B145" s="443" t="s">
        <v>158</v>
      </c>
      <c r="C145" s="443" t="s">
        <v>159</v>
      </c>
      <c r="D145" s="357"/>
      <c r="E145" s="458">
        <v>12480.465045003857</v>
      </c>
      <c r="F145" s="459">
        <v>7.37</v>
      </c>
      <c r="G145" s="433">
        <f t="shared" ref="G145:G150" si="75">ROUND($E145*F145,2)</f>
        <v>91981.03</v>
      </c>
      <c r="I145" s="492">
        <f>ROUND(F145*(1+$Q$150),2)</f>
        <v>7.58</v>
      </c>
      <c r="J145" s="453">
        <f t="shared" ref="J145:J150" si="76">ROUND($E145*I145,2)</f>
        <v>94601.93</v>
      </c>
      <c r="L145" s="389">
        <f t="shared" ref="L145:L150" si="77">J145-G145</f>
        <v>2620.8999999999942</v>
      </c>
      <c r="M145" s="390">
        <f t="shared" ref="M145:M151" si="78">IF(G145&lt;&gt;0,L145/G145,0)</f>
        <v>2.8493918800430854E-2</v>
      </c>
      <c r="N145" s="390"/>
      <c r="O145" s="391">
        <f t="shared" ref="O145:O150" si="79">I145-F145</f>
        <v>0.20999999999999996</v>
      </c>
      <c r="Q145" s="392" t="s">
        <v>259</v>
      </c>
    </row>
    <row r="146" spans="2:17" x14ac:dyDescent="0.25">
      <c r="B146" s="443" t="s">
        <v>160</v>
      </c>
      <c r="C146" s="443" t="s">
        <v>161</v>
      </c>
      <c r="E146" s="458">
        <v>193906.38286551557</v>
      </c>
      <c r="F146" s="459">
        <v>12.09</v>
      </c>
      <c r="G146" s="433">
        <f t="shared" si="75"/>
        <v>2344328.17</v>
      </c>
      <c r="I146" s="492">
        <f t="shared" ref="I146:I150" si="80">ROUND(F146*(1+$Q$150),2)</f>
        <v>12.44</v>
      </c>
      <c r="J146" s="453">
        <f t="shared" si="76"/>
        <v>2412195.4</v>
      </c>
      <c r="L146" s="389">
        <f t="shared" si="77"/>
        <v>67867.229999999981</v>
      </c>
      <c r="M146" s="390">
        <f t="shared" si="78"/>
        <v>2.8949543356807415E-2</v>
      </c>
      <c r="N146" s="390"/>
      <c r="O146" s="391">
        <f t="shared" si="79"/>
        <v>0.34999999999999964</v>
      </c>
      <c r="Q146" s="396">
        <v>479521.17403291765</v>
      </c>
    </row>
    <row r="147" spans="2:17" x14ac:dyDescent="0.25">
      <c r="B147" s="443" t="s">
        <v>162</v>
      </c>
      <c r="C147" s="443" t="s">
        <v>163</v>
      </c>
      <c r="E147" s="458">
        <v>36640.184380349841</v>
      </c>
      <c r="F147" s="459">
        <v>17.149999999999999</v>
      </c>
      <c r="G147" s="433">
        <f t="shared" si="75"/>
        <v>628379.16</v>
      </c>
      <c r="I147" s="492">
        <f t="shared" si="80"/>
        <v>17.649999999999999</v>
      </c>
      <c r="J147" s="453">
        <f t="shared" si="76"/>
        <v>646699.25</v>
      </c>
      <c r="L147" s="389">
        <f t="shared" si="77"/>
        <v>18320.089999999967</v>
      </c>
      <c r="M147" s="390">
        <f t="shared" si="78"/>
        <v>2.9154515563501449E-2</v>
      </c>
      <c r="N147" s="390"/>
      <c r="O147" s="391">
        <f t="shared" si="79"/>
        <v>0.5</v>
      </c>
      <c r="Q147" s="400" t="s">
        <v>233</v>
      </c>
    </row>
    <row r="148" spans="2:17" x14ac:dyDescent="0.25">
      <c r="B148" s="443" t="s">
        <v>164</v>
      </c>
      <c r="C148" s="443" t="s">
        <v>165</v>
      </c>
      <c r="E148" s="458">
        <v>8166.0570112435507</v>
      </c>
      <c r="F148" s="459">
        <v>16.78</v>
      </c>
      <c r="G148" s="433">
        <f t="shared" si="75"/>
        <v>137026.44</v>
      </c>
      <c r="I148" s="492">
        <f t="shared" si="80"/>
        <v>17.27</v>
      </c>
      <c r="J148" s="453">
        <f t="shared" si="76"/>
        <v>141027.79999999999</v>
      </c>
      <c r="L148" s="389">
        <f t="shared" si="77"/>
        <v>4001.359999999986</v>
      </c>
      <c r="M148" s="390">
        <f t="shared" si="78"/>
        <v>2.9201371647690665E-2</v>
      </c>
      <c r="N148" s="390"/>
      <c r="O148" s="391">
        <f t="shared" si="79"/>
        <v>0.48999999999999844</v>
      </c>
      <c r="Q148" s="403">
        <f>L151+L161+L168-Q146</f>
        <v>-323810.18403291772</v>
      </c>
    </row>
    <row r="149" spans="2:17" x14ac:dyDescent="0.25">
      <c r="B149" s="443" t="s">
        <v>166</v>
      </c>
      <c r="C149" s="443" t="s">
        <v>167</v>
      </c>
      <c r="E149" s="458">
        <v>40969.207236776536</v>
      </c>
      <c r="F149" s="459">
        <v>5.83</v>
      </c>
      <c r="G149" s="433">
        <f t="shared" si="75"/>
        <v>238850.48</v>
      </c>
      <c r="I149" s="492">
        <f t="shared" si="80"/>
        <v>6</v>
      </c>
      <c r="J149" s="453">
        <f t="shared" si="76"/>
        <v>245815.24</v>
      </c>
      <c r="L149" s="389">
        <f t="shared" si="77"/>
        <v>6964.7599999999802</v>
      </c>
      <c r="M149" s="390">
        <f t="shared" si="78"/>
        <v>2.9159497607038429E-2</v>
      </c>
      <c r="N149" s="390"/>
      <c r="O149" s="391">
        <f t="shared" si="79"/>
        <v>0.16999999999999993</v>
      </c>
      <c r="Q149" s="400" t="s">
        <v>235</v>
      </c>
    </row>
    <row r="150" spans="2:17" x14ac:dyDescent="0.25">
      <c r="B150" s="443" t="s">
        <v>168</v>
      </c>
      <c r="C150" s="443" t="s">
        <v>169</v>
      </c>
      <c r="E150" s="458">
        <v>2378.5021946803395</v>
      </c>
      <c r="F150" s="459">
        <v>10.57</v>
      </c>
      <c r="G150" s="433">
        <f t="shared" si="75"/>
        <v>25140.77</v>
      </c>
      <c r="I150" s="492">
        <f t="shared" si="80"/>
        <v>10.88</v>
      </c>
      <c r="J150" s="453">
        <f t="shared" si="76"/>
        <v>25878.1</v>
      </c>
      <c r="L150" s="389">
        <f t="shared" si="77"/>
        <v>737.32999999999811</v>
      </c>
      <c r="M150" s="390">
        <f t="shared" si="78"/>
        <v>2.9328059562216992E-2</v>
      </c>
      <c r="N150" s="390"/>
      <c r="O150" s="391">
        <f t="shared" si="79"/>
        <v>0.3100000000000005</v>
      </c>
      <c r="Q150" s="409">
        <v>2.9047396867454601E-2</v>
      </c>
    </row>
    <row r="151" spans="2:17" x14ac:dyDescent="0.25">
      <c r="C151" s="397" t="s">
        <v>232</v>
      </c>
      <c r="E151" s="460"/>
      <c r="F151" s="459"/>
      <c r="G151" s="442">
        <f>SUM(G145:G150)</f>
        <v>3465706.05</v>
      </c>
      <c r="I151" s="492"/>
      <c r="J151" s="455">
        <f>SUM(J145:J150)</f>
        <v>3566217.72</v>
      </c>
      <c r="L151" s="442">
        <f>SUM(L145:L150)</f>
        <v>100511.66999999991</v>
      </c>
      <c r="M151" s="390">
        <f t="shared" si="78"/>
        <v>2.9001787384709075E-2</v>
      </c>
      <c r="N151" s="390"/>
    </row>
    <row r="152" spans="2:17" x14ac:dyDescent="0.25">
      <c r="C152" s="443"/>
      <c r="E152" s="457"/>
      <c r="F152" s="459"/>
      <c r="G152" s="433"/>
      <c r="I152" s="492"/>
      <c r="J152" s="453"/>
    </row>
    <row r="153" spans="2:17" x14ac:dyDescent="0.25">
      <c r="B153" s="416" t="s">
        <v>260</v>
      </c>
      <c r="C153" s="443"/>
      <c r="E153" s="457"/>
      <c r="F153" s="459"/>
      <c r="G153" s="433"/>
      <c r="I153" s="492"/>
      <c r="J153" s="453"/>
    </row>
    <row r="154" spans="2:17" x14ac:dyDescent="0.25">
      <c r="B154" s="443" t="s">
        <v>170</v>
      </c>
      <c r="C154" s="443" t="s">
        <v>171</v>
      </c>
      <c r="E154" s="458">
        <v>1385.380082485219</v>
      </c>
      <c r="F154" s="459">
        <v>14.9</v>
      </c>
      <c r="G154" s="433">
        <f t="shared" ref="G154:G160" si="81">ROUND($E154*F154,2)</f>
        <v>20642.16</v>
      </c>
      <c r="I154" s="492">
        <f t="shared" ref="I154:I160" si="82">ROUND(F154*(1+$Q$150),2)</f>
        <v>15.33</v>
      </c>
      <c r="J154" s="453">
        <f t="shared" ref="J154:J160" si="83">ROUND($E154*I154,2)</f>
        <v>21237.88</v>
      </c>
      <c r="L154" s="389">
        <f t="shared" ref="L154:L160" si="84">J154-G154</f>
        <v>595.72000000000116</v>
      </c>
      <c r="M154" s="390">
        <f t="shared" ref="M154:M161" si="85">IF(G154&lt;&gt;0,L154/G154,0)</f>
        <v>2.8859382932793911E-2</v>
      </c>
      <c r="N154" s="390"/>
      <c r="O154" s="391">
        <f t="shared" ref="O154:O160" si="86">I154-F154</f>
        <v>0.42999999999999972</v>
      </c>
    </row>
    <row r="155" spans="2:17" x14ac:dyDescent="0.25">
      <c r="B155" s="443" t="s">
        <v>172</v>
      </c>
      <c r="C155" s="443" t="s">
        <v>173</v>
      </c>
      <c r="E155" s="458">
        <v>1037.5582075779919</v>
      </c>
      <c r="F155" s="459">
        <v>19.600000000000001</v>
      </c>
      <c r="G155" s="433">
        <f t="shared" si="81"/>
        <v>20336.14</v>
      </c>
      <c r="I155" s="492">
        <f t="shared" si="82"/>
        <v>20.170000000000002</v>
      </c>
      <c r="J155" s="453">
        <f t="shared" si="83"/>
        <v>20927.55</v>
      </c>
      <c r="L155" s="389">
        <f t="shared" si="84"/>
        <v>591.40999999999985</v>
      </c>
      <c r="M155" s="390">
        <f t="shared" si="85"/>
        <v>2.9081723473579544E-2</v>
      </c>
      <c r="N155" s="390"/>
      <c r="O155" s="391">
        <f t="shared" si="86"/>
        <v>0.57000000000000028</v>
      </c>
    </row>
    <row r="156" spans="2:17" x14ac:dyDescent="0.25">
      <c r="B156" s="443" t="s">
        <v>174</v>
      </c>
      <c r="C156" s="443" t="s">
        <v>175</v>
      </c>
      <c r="E156" s="458">
        <v>2771.9403299097144</v>
      </c>
      <c r="F156" s="459">
        <v>19.600000000000001</v>
      </c>
      <c r="G156" s="433">
        <f t="shared" si="81"/>
        <v>54330.03</v>
      </c>
      <c r="I156" s="492">
        <f t="shared" si="82"/>
        <v>20.170000000000002</v>
      </c>
      <c r="J156" s="453">
        <f t="shared" si="83"/>
        <v>55910.04</v>
      </c>
      <c r="L156" s="389">
        <f t="shared" si="84"/>
        <v>1580.010000000002</v>
      </c>
      <c r="M156" s="390">
        <f t="shared" si="85"/>
        <v>2.9081706746710834E-2</v>
      </c>
      <c r="N156" s="390"/>
      <c r="O156" s="391">
        <f t="shared" si="86"/>
        <v>0.57000000000000028</v>
      </c>
    </row>
    <row r="157" spans="2:17" x14ac:dyDescent="0.25">
      <c r="B157" s="443" t="s">
        <v>176</v>
      </c>
      <c r="C157" s="443" t="s">
        <v>177</v>
      </c>
      <c r="E157" s="458">
        <v>156.42359935012365</v>
      </c>
      <c r="F157" s="459">
        <v>30.95</v>
      </c>
      <c r="G157" s="433">
        <f t="shared" si="81"/>
        <v>4841.3100000000004</v>
      </c>
      <c r="I157" s="492">
        <f t="shared" si="82"/>
        <v>31.85</v>
      </c>
      <c r="J157" s="453">
        <f t="shared" si="83"/>
        <v>4982.09</v>
      </c>
      <c r="L157" s="389">
        <f t="shared" si="84"/>
        <v>140.77999999999975</v>
      </c>
      <c r="M157" s="390">
        <f t="shared" si="85"/>
        <v>2.9078906329072035E-2</v>
      </c>
      <c r="N157" s="390"/>
      <c r="O157" s="391">
        <f t="shared" si="86"/>
        <v>0.90000000000000213</v>
      </c>
    </row>
    <row r="158" spans="2:17" x14ac:dyDescent="0.25">
      <c r="B158" s="443" t="s">
        <v>178</v>
      </c>
      <c r="C158" s="443" t="s">
        <v>179</v>
      </c>
      <c r="E158" s="458">
        <v>6653.0909836922901</v>
      </c>
      <c r="F158" s="459">
        <v>40.51</v>
      </c>
      <c r="G158" s="433">
        <f t="shared" si="81"/>
        <v>269516.71999999997</v>
      </c>
      <c r="I158" s="492">
        <f t="shared" si="82"/>
        <v>41.69</v>
      </c>
      <c r="J158" s="453">
        <f t="shared" si="83"/>
        <v>277367.36</v>
      </c>
      <c r="L158" s="389">
        <f t="shared" si="84"/>
        <v>7850.640000000014</v>
      </c>
      <c r="M158" s="390">
        <f t="shared" si="85"/>
        <v>2.9128582449356073E-2</v>
      </c>
      <c r="N158" s="390"/>
      <c r="O158" s="391">
        <f t="shared" si="86"/>
        <v>1.1799999999999997</v>
      </c>
    </row>
    <row r="159" spans="2:17" x14ac:dyDescent="0.25">
      <c r="B159" s="443" t="s">
        <v>180</v>
      </c>
      <c r="C159" s="443" t="s">
        <v>181</v>
      </c>
      <c r="E159" s="458">
        <v>4493.0155629840601</v>
      </c>
      <c r="F159" s="459">
        <v>54.25</v>
      </c>
      <c r="G159" s="433">
        <f t="shared" si="81"/>
        <v>243746.09</v>
      </c>
      <c r="I159" s="492">
        <f t="shared" si="82"/>
        <v>55.83</v>
      </c>
      <c r="J159" s="453">
        <f t="shared" si="83"/>
        <v>250845.06</v>
      </c>
      <c r="L159" s="389">
        <f t="shared" si="84"/>
        <v>7098.9700000000012</v>
      </c>
      <c r="M159" s="390">
        <f t="shared" si="85"/>
        <v>2.9124446673175357E-2</v>
      </c>
      <c r="N159" s="390"/>
      <c r="O159" s="391">
        <f t="shared" si="86"/>
        <v>1.5799999999999983</v>
      </c>
    </row>
    <row r="160" spans="2:17" x14ac:dyDescent="0.25">
      <c r="B160" s="443" t="s">
        <v>182</v>
      </c>
      <c r="C160" s="443" t="s">
        <v>183</v>
      </c>
      <c r="E160" s="458">
        <v>12979.72487632374</v>
      </c>
      <c r="F160" s="459">
        <v>63.09</v>
      </c>
      <c r="G160" s="433">
        <f t="shared" si="81"/>
        <v>818890.84</v>
      </c>
      <c r="I160" s="492">
        <f t="shared" si="82"/>
        <v>64.92</v>
      </c>
      <c r="J160" s="453">
        <f t="shared" si="83"/>
        <v>842643.74</v>
      </c>
      <c r="L160" s="389">
        <f t="shared" si="84"/>
        <v>23752.900000000023</v>
      </c>
      <c r="M160" s="390">
        <f t="shared" si="85"/>
        <v>2.9006185977120007E-2</v>
      </c>
      <c r="N160" s="390"/>
      <c r="O160" s="391">
        <f t="shared" si="86"/>
        <v>1.8299999999999983</v>
      </c>
    </row>
    <row r="161" spans="2:17" x14ac:dyDescent="0.25">
      <c r="C161" s="397" t="s">
        <v>232</v>
      </c>
      <c r="E161" s="457"/>
      <c r="F161" s="459"/>
      <c r="G161" s="442">
        <f>SUM(G154:G160)</f>
        <v>1432303.29</v>
      </c>
      <c r="I161" s="492"/>
      <c r="J161" s="455">
        <f>SUM(J154:J160)</f>
        <v>1473913.72</v>
      </c>
      <c r="L161" s="442">
        <f>SUM(L154:L160)</f>
        <v>41610.430000000037</v>
      </c>
      <c r="M161" s="390">
        <f t="shared" si="85"/>
        <v>2.9051409914725556E-2</v>
      </c>
      <c r="N161" s="390"/>
    </row>
    <row r="162" spans="2:17" x14ac:dyDescent="0.25">
      <c r="B162" s="397"/>
      <c r="E162" s="457"/>
      <c r="F162" s="459"/>
      <c r="G162" s="433"/>
      <c r="I162" s="492"/>
      <c r="J162" s="453"/>
    </row>
    <row r="163" spans="2:17" x14ac:dyDescent="0.25">
      <c r="B163" s="416" t="s">
        <v>261</v>
      </c>
      <c r="E163" s="457"/>
      <c r="F163" s="459"/>
      <c r="G163" s="433"/>
      <c r="I163" s="492"/>
      <c r="J163" s="453"/>
    </row>
    <row r="164" spans="2:17" x14ac:dyDescent="0.25">
      <c r="B164" s="443" t="s">
        <v>184</v>
      </c>
      <c r="C164" s="443" t="s">
        <v>185</v>
      </c>
      <c r="E164" s="458">
        <v>11826.912573528694</v>
      </c>
      <c r="F164" s="459">
        <v>10.16</v>
      </c>
      <c r="G164" s="433">
        <f t="shared" ref="G164:G167" si="87">ROUND($E164*F164,2)</f>
        <v>120161.43</v>
      </c>
      <c r="I164" s="492">
        <f t="shared" ref="I164:I167" si="88">ROUND(F164*(1+$Q$150),2)</f>
        <v>10.46</v>
      </c>
      <c r="J164" s="453">
        <f t="shared" ref="J164:J167" si="89">ROUND($E164*I164,2)</f>
        <v>123709.51</v>
      </c>
      <c r="L164" s="389">
        <f t="shared" ref="L164:L167" si="90">J164-G164</f>
        <v>3548.0800000000017</v>
      </c>
      <c r="M164" s="390">
        <f t="shared" ref="M164:M168" si="91">IF(G164&lt;&gt;0,L164/G164,0)</f>
        <v>2.9527611314212904E-2</v>
      </c>
      <c r="N164" s="390"/>
      <c r="O164" s="391">
        <f t="shared" ref="O164:O167" si="92">I164-F164</f>
        <v>0.30000000000000071</v>
      </c>
      <c r="Q164" s="461"/>
    </row>
    <row r="165" spans="2:17" x14ac:dyDescent="0.25">
      <c r="B165" s="443" t="s">
        <v>186</v>
      </c>
      <c r="C165" s="443" t="s">
        <v>187</v>
      </c>
      <c r="E165" s="458">
        <v>845.66294824016904</v>
      </c>
      <c r="F165" s="459">
        <v>27.71</v>
      </c>
      <c r="G165" s="433">
        <f t="shared" si="87"/>
        <v>23433.32</v>
      </c>
      <c r="I165" s="492">
        <f t="shared" si="88"/>
        <v>28.51</v>
      </c>
      <c r="J165" s="453">
        <f t="shared" si="89"/>
        <v>24109.85</v>
      </c>
      <c r="L165" s="389">
        <f t="shared" si="90"/>
        <v>676.52999999999884</v>
      </c>
      <c r="M165" s="390">
        <f t="shared" si="91"/>
        <v>2.8870428944767487E-2</v>
      </c>
      <c r="N165" s="390"/>
      <c r="O165" s="391">
        <f t="shared" si="92"/>
        <v>0.80000000000000071</v>
      </c>
      <c r="Q165" s="461"/>
    </row>
    <row r="166" spans="2:17" x14ac:dyDescent="0.25">
      <c r="B166" s="443" t="s">
        <v>188</v>
      </c>
      <c r="C166" s="443" t="s">
        <v>189</v>
      </c>
      <c r="E166" s="458">
        <v>535.50948516824371</v>
      </c>
      <c r="F166" s="459">
        <v>37.58</v>
      </c>
      <c r="G166" s="433">
        <f t="shared" si="87"/>
        <v>20124.45</v>
      </c>
      <c r="I166" s="492">
        <f t="shared" si="88"/>
        <v>38.67</v>
      </c>
      <c r="J166" s="453">
        <f t="shared" si="89"/>
        <v>20708.150000000001</v>
      </c>
      <c r="L166" s="389">
        <f t="shared" si="90"/>
        <v>583.70000000000073</v>
      </c>
      <c r="M166" s="390">
        <f t="shared" si="91"/>
        <v>2.9004519378169377E-2</v>
      </c>
      <c r="N166" s="390"/>
      <c r="O166" s="391">
        <f t="shared" si="92"/>
        <v>1.0900000000000034</v>
      </c>
      <c r="Q166" s="461"/>
    </row>
    <row r="167" spans="2:17" x14ac:dyDescent="0.25">
      <c r="B167" s="443" t="s">
        <v>190</v>
      </c>
      <c r="C167" s="443" t="s">
        <v>191</v>
      </c>
      <c r="E167" s="458">
        <v>19512.390986324594</v>
      </c>
      <c r="F167" s="459">
        <v>15.51</v>
      </c>
      <c r="G167" s="433">
        <f t="shared" si="87"/>
        <v>302637.18</v>
      </c>
      <c r="I167" s="492">
        <f t="shared" si="88"/>
        <v>15.96</v>
      </c>
      <c r="J167" s="453">
        <f t="shared" si="89"/>
        <v>311417.76</v>
      </c>
      <c r="L167" s="389">
        <f t="shared" si="90"/>
        <v>8780.5800000000163</v>
      </c>
      <c r="M167" s="390">
        <f t="shared" si="91"/>
        <v>2.9013553456981117E-2</v>
      </c>
      <c r="N167" s="390"/>
      <c r="O167" s="391">
        <f t="shared" si="92"/>
        <v>0.45000000000000107</v>
      </c>
      <c r="Q167" s="461"/>
    </row>
    <row r="168" spans="2:17" x14ac:dyDescent="0.25">
      <c r="C168" s="397" t="s">
        <v>232</v>
      </c>
      <c r="E168" s="457"/>
      <c r="G168" s="462">
        <f>SUM(G164:G167)</f>
        <v>466356.38</v>
      </c>
      <c r="I168" s="383"/>
      <c r="J168" s="495">
        <f>SUM(J164:J167)</f>
        <v>479945.27</v>
      </c>
      <c r="L168" s="462">
        <f>SUM(L164:L167)</f>
        <v>13588.890000000018</v>
      </c>
      <c r="M168" s="390">
        <f t="shared" si="91"/>
        <v>2.9138424138209534E-2</v>
      </c>
      <c r="N168" s="390"/>
    </row>
    <row r="169" spans="2:17" x14ac:dyDescent="0.25">
      <c r="E169" s="457"/>
      <c r="I169" s="383"/>
      <c r="J169" s="457"/>
    </row>
    <row r="170" spans="2:17" x14ac:dyDescent="0.25">
      <c r="B170" s="463" t="s">
        <v>26</v>
      </c>
      <c r="D170" s="426" t="s">
        <v>76</v>
      </c>
      <c r="E170" s="458">
        <v>37275691.68</v>
      </c>
      <c r="G170" s="464">
        <v>1726553.2512827553</v>
      </c>
      <c r="H170" s="465"/>
      <c r="I170" s="383"/>
      <c r="J170" s="496">
        <v>1750165.3479455719</v>
      </c>
      <c r="L170" s="389">
        <f t="shared" ref="L170" si="93">J170-G170</f>
        <v>23612.096662816592</v>
      </c>
      <c r="M170" s="390">
        <f>IF(G170&lt;&gt;0,L170/G170,0)</f>
        <v>1.3675857750274318E-2</v>
      </c>
      <c r="N170" s="390"/>
    </row>
    <row r="171" spans="2:17" x14ac:dyDescent="0.25">
      <c r="I171" s="383"/>
      <c r="J171" s="457"/>
    </row>
    <row r="172" spans="2:17" x14ac:dyDescent="0.25">
      <c r="B172" s="463" t="s">
        <v>262</v>
      </c>
      <c r="E172" s="466"/>
      <c r="I172" s="383"/>
      <c r="J172" s="457"/>
    </row>
    <row r="173" spans="2:17" x14ac:dyDescent="0.25">
      <c r="B173" s="467" t="s">
        <v>46</v>
      </c>
      <c r="C173" s="357"/>
      <c r="E173" s="466">
        <f>E10+E15+E19*19</f>
        <v>603115440.25499988</v>
      </c>
      <c r="G173" s="468">
        <f>SUM(G11,G16,G19)</f>
        <v>311324127.59367347</v>
      </c>
      <c r="I173" s="383"/>
      <c r="J173" s="497">
        <f>SUM(J11,J16,J19)</f>
        <v>326090855.42058766</v>
      </c>
      <c r="L173" s="389">
        <f t="shared" ref="L173:L186" si="94">J173-G173</f>
        <v>14766727.826914191</v>
      </c>
      <c r="M173" s="390">
        <f>IF(G173&lt;&gt;0,L173/G173,0)</f>
        <v>4.7432005803890259E-2</v>
      </c>
      <c r="N173" s="390"/>
    </row>
    <row r="174" spans="2:17" x14ac:dyDescent="0.25">
      <c r="B174" s="469" t="s">
        <v>263</v>
      </c>
      <c r="C174" s="357"/>
      <c r="E174" s="466">
        <f>E24</f>
        <v>228604732.46999997</v>
      </c>
      <c r="G174" s="468">
        <f>SUM(G26,G36)</f>
        <v>91578256.929999992</v>
      </c>
      <c r="I174" s="383"/>
      <c r="J174" s="497">
        <f>SUM(J26,J36)</f>
        <v>96351191.99000001</v>
      </c>
      <c r="L174" s="389">
        <f t="shared" si="94"/>
        <v>4772935.0600000173</v>
      </c>
      <c r="M174" s="390">
        <f t="shared" ref="M174:M186" si="95">IF(G174&lt;&gt;0,L174/G174,0)</f>
        <v>5.2118649338874438E-2</v>
      </c>
      <c r="N174" s="390"/>
    </row>
    <row r="175" spans="2:17" x14ac:dyDescent="0.25">
      <c r="B175" s="469" t="s">
        <v>264</v>
      </c>
      <c r="C175" s="357"/>
      <c r="E175" s="466">
        <f>E30</f>
        <v>43413.770000000004</v>
      </c>
      <c r="G175" s="468">
        <f>SUM(G32)</f>
        <v>25885.71</v>
      </c>
      <c r="I175" s="383"/>
      <c r="J175" s="497">
        <f>SUM(J32)</f>
        <v>26637.32</v>
      </c>
      <c r="L175" s="389">
        <f t="shared" si="94"/>
        <v>751.61000000000058</v>
      </c>
      <c r="M175" s="390">
        <f t="shared" si="95"/>
        <v>2.9035711209002984E-2</v>
      </c>
      <c r="N175" s="390"/>
    </row>
    <row r="176" spans="2:17" x14ac:dyDescent="0.25">
      <c r="B176" s="470" t="s">
        <v>265</v>
      </c>
      <c r="C176" s="357"/>
      <c r="E176" s="466">
        <f>E47</f>
        <v>63966868.017000005</v>
      </c>
      <c r="G176" s="468">
        <f>SUM(G50)</f>
        <v>14456233.310000002</v>
      </c>
      <c r="I176" s="383"/>
      <c r="J176" s="497">
        <f>SUM(J50)</f>
        <v>15416671.630000001</v>
      </c>
      <c r="L176" s="389">
        <f t="shared" si="94"/>
        <v>960438.31999999844</v>
      </c>
      <c r="M176" s="390">
        <f t="shared" si="95"/>
        <v>6.6437660447526234E-2</v>
      </c>
      <c r="N176" s="390"/>
    </row>
    <row r="177" spans="2:14" x14ac:dyDescent="0.25">
      <c r="B177" s="470" t="s">
        <v>266</v>
      </c>
      <c r="C177" s="357"/>
      <c r="E177" s="466">
        <f>E61</f>
        <v>19254249.518999998</v>
      </c>
      <c r="G177" s="468">
        <f>SUM(G63)</f>
        <v>3995567.74</v>
      </c>
      <c r="I177" s="383"/>
      <c r="J177" s="497">
        <f>SUM(J63)</f>
        <v>4111810.21</v>
      </c>
      <c r="L177" s="389">
        <f t="shared" si="94"/>
        <v>116242.46999999974</v>
      </c>
      <c r="M177" s="390">
        <f t="shared" si="95"/>
        <v>2.9092854273570577E-2</v>
      </c>
      <c r="N177" s="390"/>
    </row>
    <row r="178" spans="2:14" x14ac:dyDescent="0.25">
      <c r="B178" s="467" t="s">
        <v>267</v>
      </c>
      <c r="C178" s="357"/>
      <c r="E178" s="466">
        <f>E75</f>
        <v>16307789.426000001</v>
      </c>
      <c r="G178" s="468">
        <f>SUM(G76)</f>
        <v>1589956.26</v>
      </c>
      <c r="I178" s="383"/>
      <c r="J178" s="497">
        <f>SUM(J76)</f>
        <v>1724544.4</v>
      </c>
      <c r="L178" s="389">
        <f t="shared" si="94"/>
        <v>134588.1399999999</v>
      </c>
      <c r="M178" s="390">
        <f t="shared" si="95"/>
        <v>8.464895757572595E-2</v>
      </c>
      <c r="N178" s="390"/>
    </row>
    <row r="179" spans="2:14" x14ac:dyDescent="0.25">
      <c r="B179" s="467" t="s">
        <v>268</v>
      </c>
      <c r="C179" s="357"/>
      <c r="E179" s="466">
        <f>E87</f>
        <v>76582587.120000005</v>
      </c>
      <c r="G179" s="468">
        <f>SUM(G88)</f>
        <v>7037315.1900000004</v>
      </c>
      <c r="I179" s="383"/>
      <c r="J179" s="497">
        <f>SUM(J88)</f>
        <v>7243181.0999999996</v>
      </c>
      <c r="L179" s="389">
        <f t="shared" si="94"/>
        <v>205865.90999999922</v>
      </c>
      <c r="M179" s="390">
        <f t="shared" si="95"/>
        <v>2.9253473013761546E-2</v>
      </c>
      <c r="N179" s="390"/>
    </row>
    <row r="180" spans="2:14" x14ac:dyDescent="0.25">
      <c r="B180" s="470" t="s">
        <v>269</v>
      </c>
      <c r="C180" s="357"/>
      <c r="E180" s="466">
        <f>E99</f>
        <v>9107268.5420000013</v>
      </c>
      <c r="G180" s="468">
        <f>SUM(G100)</f>
        <v>1944724.1500000001</v>
      </c>
      <c r="I180" s="383"/>
      <c r="J180" s="497">
        <f>SUM(J100)</f>
        <v>2074549.15</v>
      </c>
      <c r="L180" s="389">
        <f t="shared" si="94"/>
        <v>129824.99999999977</v>
      </c>
      <c r="M180" s="390">
        <f t="shared" si="95"/>
        <v>6.6757539880398856E-2</v>
      </c>
      <c r="N180" s="390"/>
    </row>
    <row r="181" spans="2:14" x14ac:dyDescent="0.25">
      <c r="B181" s="470" t="s">
        <v>270</v>
      </c>
      <c r="C181" s="357"/>
      <c r="E181" s="466">
        <f>E110</f>
        <v>354636.69999999995</v>
      </c>
      <c r="G181" s="468">
        <f>SUM(G111)</f>
        <v>84408.74</v>
      </c>
      <c r="I181" s="383"/>
      <c r="J181" s="497">
        <f>SUM(J111)</f>
        <v>86864.48</v>
      </c>
      <c r="L181" s="389">
        <f t="shared" si="94"/>
        <v>2455.7399999999907</v>
      </c>
      <c r="M181" s="390">
        <f t="shared" si="95"/>
        <v>2.9093432741680428E-2</v>
      </c>
      <c r="N181" s="390"/>
    </row>
    <row r="182" spans="2:14" x14ac:dyDescent="0.25">
      <c r="B182" s="470" t="s">
        <v>271</v>
      </c>
      <c r="C182" s="357"/>
      <c r="E182" s="466">
        <f>E126</f>
        <v>23273158.627999999</v>
      </c>
      <c r="G182" s="468">
        <f>SUM(G127)</f>
        <v>1093496.3899999999</v>
      </c>
      <c r="I182" s="383"/>
      <c r="J182" s="497">
        <f>SUM(J127)</f>
        <v>1186047.02</v>
      </c>
      <c r="L182" s="389">
        <f t="shared" si="94"/>
        <v>92550.630000000121</v>
      </c>
      <c r="M182" s="390">
        <f>IF(G182&lt;&gt;0,L182/G182,0)</f>
        <v>8.4637343887344826E-2</v>
      </c>
      <c r="N182" s="390"/>
    </row>
    <row r="183" spans="2:14" x14ac:dyDescent="0.25">
      <c r="B183" s="470" t="s">
        <v>272</v>
      </c>
      <c r="C183" s="357"/>
      <c r="E183" s="466">
        <f>E141</f>
        <v>103884321.25000001</v>
      </c>
      <c r="G183" s="468">
        <f>SUM(G142)</f>
        <v>3564358.66</v>
      </c>
      <c r="I183" s="383"/>
      <c r="J183" s="497">
        <f>SUM(J142)</f>
        <v>3669607.42</v>
      </c>
      <c r="L183" s="389">
        <f t="shared" si="94"/>
        <v>105248.75999999978</v>
      </c>
      <c r="M183" s="390">
        <f t="shared" si="95"/>
        <v>2.9528105906154734E-2</v>
      </c>
      <c r="N183" s="390"/>
    </row>
    <row r="184" spans="2:14" x14ac:dyDescent="0.25">
      <c r="B184" s="467" t="s">
        <v>52</v>
      </c>
      <c r="C184" s="357"/>
      <c r="E184" s="466"/>
      <c r="G184" s="468">
        <f>SUM(G151,G161,G168)</f>
        <v>5364365.72</v>
      </c>
      <c r="I184" s="383"/>
      <c r="J184" s="497">
        <f>SUM(J151,J161,J168)</f>
        <v>5520076.7100000009</v>
      </c>
      <c r="L184" s="389">
        <f t="shared" si="94"/>
        <v>155710.99000000115</v>
      </c>
      <c r="M184" s="390">
        <f t="shared" si="95"/>
        <v>2.9026915413217048E-2</v>
      </c>
      <c r="N184" s="390"/>
    </row>
    <row r="185" spans="2:14" x14ac:dyDescent="0.25">
      <c r="B185" s="470" t="s">
        <v>26</v>
      </c>
      <c r="C185" s="357"/>
      <c r="E185" s="466">
        <f>E170</f>
        <v>37275691.68</v>
      </c>
      <c r="G185" s="384">
        <f>G170</f>
        <v>1726553.2512827553</v>
      </c>
      <c r="I185" s="383"/>
      <c r="J185" s="407">
        <f>J170</f>
        <v>1750165.3479455719</v>
      </c>
      <c r="L185" s="389">
        <f t="shared" si="94"/>
        <v>23612.096662816592</v>
      </c>
      <c r="M185" s="390">
        <f t="shared" si="95"/>
        <v>1.3675857750274318E-2</v>
      </c>
      <c r="N185" s="390"/>
    </row>
    <row r="186" spans="2:14" x14ac:dyDescent="0.25">
      <c r="B186" s="467" t="s">
        <v>273</v>
      </c>
      <c r="C186" s="357"/>
      <c r="E186" s="466"/>
      <c r="G186" s="464">
        <v>5090448.3099999996</v>
      </c>
      <c r="I186" s="383"/>
      <c r="J186" s="407">
        <f>G186</f>
        <v>5090448.3099999996</v>
      </c>
      <c r="L186" s="411">
        <f t="shared" si="94"/>
        <v>0</v>
      </c>
      <c r="M186" s="471">
        <f t="shared" si="95"/>
        <v>0</v>
      </c>
      <c r="N186" s="390"/>
    </row>
    <row r="187" spans="2:14" x14ac:dyDescent="0.25">
      <c r="B187" s="472" t="s">
        <v>274</v>
      </c>
      <c r="C187" s="472"/>
      <c r="D187" s="472"/>
      <c r="E187" s="473">
        <f>SUM(E173:E186)</f>
        <v>1181770157.3770001</v>
      </c>
      <c r="F187" s="472"/>
      <c r="G187" s="462">
        <f>SUM(G173:G186)</f>
        <v>448875697.95495623</v>
      </c>
      <c r="I187" s="498"/>
      <c r="J187" s="495">
        <f>SUM(J173:J186)</f>
        <v>470342650.50853318</v>
      </c>
      <c r="L187" s="389">
        <f>J187-G187</f>
        <v>21466952.553576946</v>
      </c>
      <c r="M187" s="390">
        <f>IF(G187&lt;&gt;0,L187/G187,0)</f>
        <v>4.7823824393654547E-2</v>
      </c>
      <c r="N187" s="390"/>
    </row>
    <row r="188" spans="2:14" x14ac:dyDescent="0.25">
      <c r="B188" s="397"/>
      <c r="I188" s="383"/>
      <c r="J188" s="497"/>
    </row>
    <row r="189" spans="2:14" x14ac:dyDescent="0.25">
      <c r="B189" s="474" t="s">
        <v>275</v>
      </c>
      <c r="I189" s="383"/>
      <c r="J189" s="457"/>
    </row>
    <row r="190" spans="2:14" x14ac:dyDescent="0.25">
      <c r="B190" s="456" t="s">
        <v>276</v>
      </c>
      <c r="G190" s="468"/>
      <c r="I190" s="383"/>
      <c r="J190" s="497"/>
      <c r="K190" s="456"/>
    </row>
    <row r="191" spans="2:14" x14ac:dyDescent="0.25">
      <c r="B191" s="456"/>
      <c r="C191" s="475" t="s">
        <v>277</v>
      </c>
      <c r="D191" s="456">
        <v>23</v>
      </c>
      <c r="E191" s="466">
        <f>E9</f>
        <v>9329676.0139058214</v>
      </c>
      <c r="I191" s="383"/>
      <c r="J191" s="457"/>
      <c r="K191" s="456"/>
    </row>
    <row r="192" spans="2:14" x14ac:dyDescent="0.25">
      <c r="B192" s="456"/>
      <c r="C192" s="475" t="s">
        <v>278</v>
      </c>
      <c r="D192" s="456">
        <v>53</v>
      </c>
      <c r="E192" s="466">
        <f>E14</f>
        <v>7.5321521335807056</v>
      </c>
      <c r="I192" s="383"/>
      <c r="J192" s="457"/>
      <c r="K192" s="456"/>
    </row>
    <row r="193" spans="2:11" x14ac:dyDescent="0.25">
      <c r="B193" s="456"/>
      <c r="C193" s="475" t="s">
        <v>279</v>
      </c>
      <c r="D193" s="456">
        <v>31</v>
      </c>
      <c r="E193" s="466">
        <f>E23</f>
        <v>689698.95172727259</v>
      </c>
      <c r="I193" s="383"/>
      <c r="J193" s="457"/>
      <c r="K193" s="456"/>
    </row>
    <row r="194" spans="2:11" x14ac:dyDescent="0.25">
      <c r="B194" s="456"/>
      <c r="C194" s="475" t="s">
        <v>280</v>
      </c>
      <c r="D194" s="456">
        <v>41</v>
      </c>
      <c r="E194" s="466">
        <f>E39</f>
        <v>15757.12870224839</v>
      </c>
      <c r="I194" s="383"/>
      <c r="J194" s="457"/>
      <c r="K194" s="456"/>
    </row>
    <row r="195" spans="2:11" x14ac:dyDescent="0.25">
      <c r="B195" s="456"/>
      <c r="C195" s="475" t="s">
        <v>281</v>
      </c>
      <c r="D195" s="456">
        <v>85</v>
      </c>
      <c r="E195" s="466">
        <f>E66</f>
        <v>331.51750649225198</v>
      </c>
      <c r="I195" s="383"/>
      <c r="J195" s="457"/>
      <c r="K195" s="456"/>
    </row>
    <row r="196" spans="2:11" x14ac:dyDescent="0.25">
      <c r="B196" s="456"/>
      <c r="C196" s="475" t="s">
        <v>282</v>
      </c>
      <c r="D196" s="456">
        <v>86</v>
      </c>
      <c r="E196" s="466">
        <f>E91</f>
        <v>2677.7055539223543</v>
      </c>
      <c r="I196" s="383"/>
      <c r="J196" s="457"/>
      <c r="K196" s="456"/>
    </row>
    <row r="197" spans="2:11" x14ac:dyDescent="0.25">
      <c r="B197" s="456"/>
      <c r="C197" s="475" t="s">
        <v>283</v>
      </c>
      <c r="D197" s="456">
        <v>87</v>
      </c>
      <c r="E197" s="466">
        <f>E114</f>
        <v>60.132496118726415</v>
      </c>
      <c r="I197" s="383"/>
      <c r="J197" s="457"/>
      <c r="K197" s="456"/>
    </row>
    <row r="198" spans="2:11" x14ac:dyDescent="0.25">
      <c r="B198" s="456"/>
      <c r="C198" s="456" t="s">
        <v>284</v>
      </c>
      <c r="D198" s="476" t="s">
        <v>285</v>
      </c>
      <c r="E198" s="466">
        <f>E29</f>
        <v>37.000031241542246</v>
      </c>
      <c r="I198" s="383"/>
      <c r="J198" s="457"/>
      <c r="K198" s="456"/>
    </row>
    <row r="199" spans="2:11" x14ac:dyDescent="0.25">
      <c r="B199" s="456"/>
      <c r="C199" s="456" t="s">
        <v>286</v>
      </c>
      <c r="D199" s="476" t="s">
        <v>287</v>
      </c>
      <c r="E199" s="466">
        <f>E53</f>
        <v>1217.0689113856104</v>
      </c>
      <c r="I199" s="383"/>
      <c r="J199" s="457"/>
      <c r="K199" s="456"/>
    </row>
    <row r="200" spans="2:11" x14ac:dyDescent="0.25">
      <c r="B200" s="456"/>
      <c r="C200" s="456" t="s">
        <v>288</v>
      </c>
      <c r="D200" s="476" t="s">
        <v>289</v>
      </c>
      <c r="E200" s="466">
        <f>E79</f>
        <v>1226.3663564440635</v>
      </c>
      <c r="I200" s="383"/>
      <c r="J200" s="457"/>
      <c r="K200" s="456"/>
    </row>
    <row r="201" spans="2:11" x14ac:dyDescent="0.25">
      <c r="B201" s="456"/>
      <c r="C201" s="456" t="s">
        <v>290</v>
      </c>
      <c r="D201" s="476" t="s">
        <v>291</v>
      </c>
      <c r="E201" s="466">
        <f>E103</f>
        <v>31.999971930109631</v>
      </c>
      <c r="I201" s="383"/>
      <c r="J201" s="457"/>
      <c r="K201" s="456"/>
    </row>
    <row r="202" spans="2:11" x14ac:dyDescent="0.25">
      <c r="B202" s="456"/>
      <c r="C202" s="456" t="s">
        <v>292</v>
      </c>
      <c r="D202" s="476" t="s">
        <v>293</v>
      </c>
      <c r="E202" s="466">
        <f>E130</f>
        <v>112.76670855311828</v>
      </c>
      <c r="I202" s="383"/>
      <c r="J202" s="457"/>
      <c r="K202" s="456"/>
    </row>
    <row r="203" spans="2:11" x14ac:dyDescent="0.25">
      <c r="B203" s="456"/>
      <c r="C203" s="456" t="s">
        <v>294</v>
      </c>
      <c r="E203" s="473">
        <f>SUM(E191:E202)</f>
        <v>10040834.184023561</v>
      </c>
      <c r="I203" s="383"/>
      <c r="J203" s="440"/>
      <c r="K203" s="456"/>
    </row>
    <row r="204" spans="2:11" x14ac:dyDescent="0.25">
      <c r="B204" s="456"/>
      <c r="I204" s="383"/>
      <c r="J204" s="457"/>
      <c r="K204" s="456"/>
    </row>
    <row r="205" spans="2:11" x14ac:dyDescent="0.25">
      <c r="B205" s="456" t="s">
        <v>295</v>
      </c>
      <c r="I205" s="383"/>
      <c r="J205" s="457"/>
      <c r="K205" s="456"/>
    </row>
    <row r="206" spans="2:11" x14ac:dyDescent="0.25">
      <c r="B206" s="456"/>
      <c r="C206" s="475" t="s">
        <v>296</v>
      </c>
      <c r="D206" s="456">
        <v>16</v>
      </c>
      <c r="E206" s="440">
        <f>E20</f>
        <v>9592.0450000000001</v>
      </c>
      <c r="I206" s="383"/>
      <c r="J206" s="440"/>
      <c r="K206" s="456"/>
    </row>
    <row r="207" spans="2:11" x14ac:dyDescent="0.25">
      <c r="B207" s="456"/>
      <c r="C207" s="475" t="s">
        <v>277</v>
      </c>
      <c r="D207" s="456">
        <v>23</v>
      </c>
      <c r="E207" s="440">
        <f>E10</f>
        <v>603105552.93699992</v>
      </c>
      <c r="I207" s="383"/>
      <c r="J207" s="440"/>
      <c r="K207" s="456"/>
    </row>
    <row r="208" spans="2:11" x14ac:dyDescent="0.25">
      <c r="B208" s="456"/>
      <c r="C208" s="475" t="s">
        <v>278</v>
      </c>
      <c r="D208" s="456">
        <v>53</v>
      </c>
      <c r="E208" s="440">
        <f>E15</f>
        <v>295.27300000000002</v>
      </c>
      <c r="I208" s="383"/>
      <c r="J208" s="440"/>
      <c r="K208" s="456"/>
    </row>
    <row r="209" spans="2:11" x14ac:dyDescent="0.25">
      <c r="B209" s="456"/>
      <c r="C209" s="477" t="s">
        <v>279</v>
      </c>
      <c r="D209" s="456">
        <v>31</v>
      </c>
      <c r="E209" s="440">
        <f>E24</f>
        <v>228604732.46999997</v>
      </c>
      <c r="I209" s="383"/>
      <c r="J209" s="440"/>
      <c r="K209" s="456"/>
    </row>
    <row r="210" spans="2:11" x14ac:dyDescent="0.25">
      <c r="B210" s="456"/>
      <c r="C210" s="475" t="s">
        <v>280</v>
      </c>
      <c r="D210" s="456">
        <v>41</v>
      </c>
      <c r="E210" s="466">
        <f>E47</f>
        <v>63966868.017000005</v>
      </c>
      <c r="I210" s="383"/>
      <c r="J210" s="440"/>
      <c r="K210" s="456"/>
    </row>
    <row r="211" spans="2:11" x14ac:dyDescent="0.25">
      <c r="B211" s="456"/>
      <c r="C211" s="475" t="s">
        <v>281</v>
      </c>
      <c r="D211" s="456">
        <v>85</v>
      </c>
      <c r="E211" s="466">
        <f>E75</f>
        <v>16307789.426000001</v>
      </c>
      <c r="I211" s="383"/>
      <c r="J211" s="440"/>
      <c r="K211" s="456"/>
    </row>
    <row r="212" spans="2:11" x14ac:dyDescent="0.25">
      <c r="B212" s="456"/>
      <c r="C212" s="475" t="s">
        <v>282</v>
      </c>
      <c r="D212" s="456">
        <v>86</v>
      </c>
      <c r="E212" s="466">
        <f>E99</f>
        <v>9107268.5420000013</v>
      </c>
      <c r="I212" s="383"/>
      <c r="J212" s="440"/>
      <c r="K212" s="456"/>
    </row>
    <row r="213" spans="2:11" x14ac:dyDescent="0.25">
      <c r="B213" s="456"/>
      <c r="C213" s="475" t="s">
        <v>283</v>
      </c>
      <c r="D213" s="456">
        <v>87</v>
      </c>
      <c r="E213" s="466">
        <f>E126</f>
        <v>23273158.627999999</v>
      </c>
      <c r="I213" s="383"/>
      <c r="J213" s="440"/>
      <c r="K213" s="456"/>
    </row>
    <row r="214" spans="2:11" x14ac:dyDescent="0.25">
      <c r="B214" s="456"/>
      <c r="C214" s="456" t="s">
        <v>284</v>
      </c>
      <c r="D214" s="476" t="s">
        <v>285</v>
      </c>
      <c r="E214" s="466">
        <f>E30</f>
        <v>43413.770000000004</v>
      </c>
      <c r="I214" s="383"/>
      <c r="J214" s="440"/>
      <c r="K214" s="456"/>
    </row>
    <row r="215" spans="2:11" x14ac:dyDescent="0.25">
      <c r="B215" s="456"/>
      <c r="C215" s="456" t="s">
        <v>286</v>
      </c>
      <c r="D215" s="476" t="s">
        <v>287</v>
      </c>
      <c r="E215" s="466">
        <f>E61</f>
        <v>19254249.518999998</v>
      </c>
      <c r="I215" s="383"/>
      <c r="J215" s="440"/>
      <c r="K215" s="456"/>
    </row>
    <row r="216" spans="2:11" x14ac:dyDescent="0.25">
      <c r="B216" s="456"/>
      <c r="C216" s="456" t="s">
        <v>288</v>
      </c>
      <c r="D216" s="476" t="s">
        <v>289</v>
      </c>
      <c r="E216" s="466">
        <f>E87</f>
        <v>76582587.120000005</v>
      </c>
      <c r="I216" s="383"/>
      <c r="J216" s="440"/>
      <c r="K216" s="456"/>
    </row>
    <row r="217" spans="2:11" x14ac:dyDescent="0.25">
      <c r="B217" s="456"/>
      <c r="C217" s="456" t="s">
        <v>290</v>
      </c>
      <c r="D217" s="476" t="s">
        <v>291</v>
      </c>
      <c r="E217" s="466">
        <f>E110</f>
        <v>354636.69999999995</v>
      </c>
      <c r="I217" s="383"/>
      <c r="J217" s="440"/>
      <c r="K217" s="456"/>
    </row>
    <row r="218" spans="2:11" x14ac:dyDescent="0.25">
      <c r="B218" s="456"/>
      <c r="C218" s="456" t="s">
        <v>292</v>
      </c>
      <c r="D218" s="476" t="s">
        <v>293</v>
      </c>
      <c r="E218" s="466">
        <f>E141</f>
        <v>103884321.25000001</v>
      </c>
      <c r="I218" s="383"/>
      <c r="J218" s="440"/>
      <c r="K218" s="456"/>
    </row>
    <row r="219" spans="2:11" x14ac:dyDescent="0.25">
      <c r="B219" s="456"/>
      <c r="C219" s="457" t="s">
        <v>26</v>
      </c>
      <c r="D219" s="476"/>
      <c r="E219" s="466">
        <f>E170</f>
        <v>37275691.68</v>
      </c>
      <c r="I219" s="383"/>
      <c r="J219" s="440"/>
      <c r="K219" s="456"/>
    </row>
    <row r="220" spans="2:11" x14ac:dyDescent="0.25">
      <c r="B220" s="456"/>
      <c r="C220" s="456" t="s">
        <v>297</v>
      </c>
      <c r="E220" s="473">
        <f>SUM(E206:E219)</f>
        <v>1181770157.3770001</v>
      </c>
      <c r="I220" s="383"/>
      <c r="J220" s="440"/>
      <c r="K220" s="456"/>
    </row>
    <row r="221" spans="2:11" x14ac:dyDescent="0.25">
      <c r="B221" s="456"/>
      <c r="E221" s="466"/>
      <c r="I221" s="383"/>
      <c r="J221" s="440"/>
      <c r="K221" s="456"/>
    </row>
    <row r="222" spans="2:11" x14ac:dyDescent="0.25">
      <c r="B222" s="456" t="s">
        <v>298</v>
      </c>
      <c r="I222" s="383"/>
      <c r="J222" s="457"/>
      <c r="K222" s="456"/>
    </row>
    <row r="223" spans="2:11" x14ac:dyDescent="0.25">
      <c r="B223" s="456"/>
      <c r="C223" s="456" t="s">
        <v>299</v>
      </c>
      <c r="D223" s="456">
        <v>61</v>
      </c>
      <c r="E223" s="466">
        <f>E35</f>
        <v>0</v>
      </c>
      <c r="I223" s="383"/>
      <c r="J223" s="440"/>
      <c r="K223" s="456"/>
    </row>
    <row r="224" spans="2:11" x14ac:dyDescent="0.25">
      <c r="B224" s="456"/>
      <c r="C224" s="475" t="s">
        <v>280</v>
      </c>
      <c r="D224" s="456">
        <v>41</v>
      </c>
      <c r="E224" s="466">
        <f>E41</f>
        <v>3902427.7730000005</v>
      </c>
      <c r="I224" s="383"/>
      <c r="J224" s="440"/>
      <c r="K224" s="456"/>
    </row>
    <row r="225" spans="2:25" x14ac:dyDescent="0.25">
      <c r="B225" s="456"/>
      <c r="C225" s="475" t="s">
        <v>281</v>
      </c>
      <c r="D225" s="456">
        <v>85</v>
      </c>
      <c r="E225" s="466">
        <f>E67</f>
        <v>84395.974999999991</v>
      </c>
      <c r="I225" s="383"/>
      <c r="J225" s="440"/>
      <c r="K225" s="456"/>
    </row>
    <row r="226" spans="2:25" x14ac:dyDescent="0.25">
      <c r="B226" s="456"/>
      <c r="C226" s="475" t="s">
        <v>282</v>
      </c>
      <c r="D226" s="456">
        <v>86</v>
      </c>
      <c r="E226" s="466">
        <f>E92</f>
        <v>82161.953000000009</v>
      </c>
      <c r="I226" s="383"/>
      <c r="J226" s="440"/>
      <c r="K226" s="456"/>
    </row>
    <row r="227" spans="2:25" x14ac:dyDescent="0.25">
      <c r="B227" s="456"/>
      <c r="C227" s="475" t="s">
        <v>283</v>
      </c>
      <c r="D227" s="456">
        <v>87</v>
      </c>
      <c r="E227" s="466">
        <f>E115</f>
        <v>0</v>
      </c>
      <c r="I227" s="383"/>
      <c r="J227" s="440"/>
      <c r="K227" s="456"/>
    </row>
    <row r="228" spans="2:25" x14ac:dyDescent="0.25">
      <c r="B228" s="456"/>
      <c r="C228" s="456" t="s">
        <v>286</v>
      </c>
      <c r="D228" s="476" t="s">
        <v>287</v>
      </c>
      <c r="E228" s="466">
        <f>E55</f>
        <v>1169396.5019999999</v>
      </c>
      <c r="I228" s="383"/>
      <c r="J228" s="440"/>
      <c r="K228" s="456"/>
    </row>
    <row r="229" spans="2:25" x14ac:dyDescent="0.25">
      <c r="B229" s="456"/>
      <c r="C229" s="456" t="s">
        <v>288</v>
      </c>
      <c r="D229" s="476" t="s">
        <v>289</v>
      </c>
      <c r="E229" s="466">
        <f>E80</f>
        <v>686276.33400000003</v>
      </c>
      <c r="I229" s="383"/>
      <c r="J229" s="440"/>
      <c r="K229" s="456"/>
    </row>
    <row r="230" spans="2:25" x14ac:dyDescent="0.25">
      <c r="B230" s="456"/>
      <c r="C230" s="456" t="s">
        <v>300</v>
      </c>
      <c r="D230" s="476" t="s">
        <v>291</v>
      </c>
      <c r="E230" s="466">
        <f>E104</f>
        <v>9750</v>
      </c>
      <c r="I230" s="383"/>
      <c r="J230" s="440"/>
      <c r="K230" s="456"/>
    </row>
    <row r="231" spans="2:25" x14ac:dyDescent="0.25">
      <c r="B231" s="456"/>
      <c r="C231" s="456" t="s">
        <v>292</v>
      </c>
      <c r="D231" s="476" t="s">
        <v>293</v>
      </c>
      <c r="E231" s="466">
        <f>E131</f>
        <v>287412</v>
      </c>
      <c r="I231" s="383"/>
      <c r="J231" s="440"/>
      <c r="K231" s="456"/>
    </row>
    <row r="232" spans="2:25" x14ac:dyDescent="0.25">
      <c r="B232" s="456"/>
      <c r="C232" s="456" t="s">
        <v>17</v>
      </c>
      <c r="E232" s="473">
        <f>SUM(E223:E231)</f>
        <v>6221820.5370000005</v>
      </c>
      <c r="I232" s="383"/>
      <c r="J232" s="440"/>
      <c r="K232" s="456"/>
    </row>
    <row r="233" spans="2:25" x14ac:dyDescent="0.25">
      <c r="J233" s="457"/>
      <c r="K233" s="456"/>
    </row>
    <row r="234" spans="2:25" x14ac:dyDescent="0.25">
      <c r="B234" s="357" t="s">
        <v>301</v>
      </c>
      <c r="J234" s="457"/>
      <c r="K234" s="456"/>
    </row>
    <row r="235" spans="2:25" x14ac:dyDescent="0.25">
      <c r="J235" s="457"/>
      <c r="K235" s="456"/>
    </row>
    <row r="238" spans="2:25" ht="15.75" thickBot="1" x14ac:dyDescent="0.3"/>
    <row r="239" spans="2:25" ht="15.75" thickBot="1" x14ac:dyDescent="0.3">
      <c r="B239" s="478" t="s">
        <v>197</v>
      </c>
      <c r="C239" s="479"/>
      <c r="D239" s="479"/>
      <c r="E239" s="480">
        <v>0</v>
      </c>
      <c r="F239" s="481"/>
      <c r="G239" s="481">
        <v>-1.3857901096343994E-2</v>
      </c>
      <c r="H239" s="481"/>
      <c r="I239" s="500"/>
      <c r="J239" s="500">
        <v>0</v>
      </c>
      <c r="K239" s="481"/>
      <c r="L239" s="481">
        <v>1.3857774436473846E-2</v>
      </c>
      <c r="M239" s="481"/>
      <c r="N239" s="481"/>
      <c r="O239" s="481"/>
      <c r="P239" s="481"/>
      <c r="Q239" s="482"/>
      <c r="R239" s="483"/>
      <c r="S239" s="483"/>
      <c r="T239" s="483"/>
      <c r="U239" s="483"/>
      <c r="V239" s="483"/>
      <c r="W239" s="483"/>
      <c r="X239" s="483"/>
      <c r="Y239" s="483"/>
    </row>
    <row r="240" spans="2:25" x14ac:dyDescent="0.25">
      <c r="F240" s="483"/>
      <c r="G240" s="483"/>
      <c r="H240" s="483"/>
      <c r="I240" s="501"/>
      <c r="J240" s="501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  <c r="V240" s="483"/>
      <c r="W240" s="483"/>
      <c r="X240" s="483"/>
      <c r="Y240" s="483"/>
    </row>
    <row r="241" spans="6:25" x14ac:dyDescent="0.25">
      <c r="F241" s="483"/>
      <c r="G241" s="483"/>
      <c r="H241" s="483"/>
      <c r="I241" s="501"/>
      <c r="J241" s="501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  <c r="V241" s="483"/>
      <c r="W241" s="483"/>
      <c r="X241" s="483"/>
      <c r="Y241" s="483"/>
    </row>
    <row r="242" spans="6:25" x14ac:dyDescent="0.25">
      <c r="F242" s="483"/>
      <c r="G242" s="483"/>
      <c r="H242" s="483"/>
      <c r="I242" s="501"/>
      <c r="J242" s="501"/>
      <c r="K242" s="483"/>
      <c r="L242" s="483"/>
      <c r="M242" s="483"/>
      <c r="N242" s="483"/>
      <c r="O242" s="483"/>
      <c r="P242" s="483"/>
      <c r="Q242" s="483"/>
      <c r="R242" s="483"/>
      <c r="S242" s="483"/>
      <c r="T242" s="483"/>
      <c r="U242" s="483"/>
      <c r="V242" s="483"/>
      <c r="W242" s="483"/>
      <c r="X242" s="483"/>
      <c r="Y242" s="483"/>
    </row>
    <row r="243" spans="6:25" x14ac:dyDescent="0.25">
      <c r="F243" s="483"/>
      <c r="G243" s="483"/>
      <c r="H243" s="483"/>
      <c r="I243" s="501"/>
      <c r="J243" s="501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  <c r="U243" s="483"/>
      <c r="V243" s="483"/>
      <c r="W243" s="483"/>
      <c r="X243" s="483"/>
      <c r="Y243" s="483"/>
    </row>
    <row r="244" spans="6:25" x14ac:dyDescent="0.25">
      <c r="F244" s="483"/>
      <c r="G244" s="483"/>
      <c r="H244" s="483"/>
      <c r="I244" s="501"/>
      <c r="J244" s="501"/>
      <c r="K244" s="483"/>
      <c r="L244" s="483"/>
      <c r="M244" s="483"/>
      <c r="N244" s="483"/>
      <c r="O244" s="483"/>
      <c r="P244" s="483"/>
      <c r="Q244" s="483"/>
      <c r="R244" s="483"/>
      <c r="S244" s="483"/>
      <c r="T244" s="483"/>
      <c r="U244" s="483"/>
      <c r="V244" s="483"/>
      <c r="W244" s="483"/>
      <c r="X244" s="483"/>
      <c r="Y244" s="483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&amp;L&amp;F
&amp;A&amp;C&amp;P&amp;R&amp;D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4DF8BD5-6C76-4978-9468-6F6FB2650E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BED28-1C75-49B8-BE69-6CFD0587741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31FA3F-FF38-4B1E-86F7-56CC4260B17C}"/>
</file>

<file path=customXml/itemProps4.xml><?xml version="1.0" encoding="utf-8"?>
<ds:datastoreItem xmlns:ds="http://schemas.openxmlformats.org/officeDocument/2006/customXml" ds:itemID="{EB3942BD-923F-4120-BD94-8CF2C03B1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Rate Spread</vt:lpstr>
      <vt:lpstr>Rate Design Res</vt:lpstr>
      <vt:lpstr>Rate Design C&amp;I</vt:lpstr>
      <vt:lpstr>Rate Design Int &amp; Trans</vt:lpstr>
      <vt:lpstr>Rate Design Rental</vt:lpstr>
      <vt:lpstr>Work Papers--&gt;</vt:lpstr>
      <vt:lpstr>Rate Design Targets</vt:lpstr>
      <vt:lpstr>Current ERF Rates</vt:lpstr>
      <vt:lpstr>'Current ERF Rates'!Print_Area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'Rate Spread'!Print_Area</vt:lpstr>
      <vt:lpstr>'Current ERF Rates'!Print_Titles</vt:lpstr>
      <vt:lpstr>'Rate Design C&amp;I'!Print_Titles</vt:lpstr>
      <vt:lpstr>'Rate Design Int &amp; Trans'!Print_Titles</vt:lpstr>
      <vt:lpstr>'Rate Design Res'!Print_Titles</vt:lpstr>
      <vt:lpstr>'Rate Spread'!Print_Titles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2019-06-12T03:07:51Z</cp:lastPrinted>
  <dcterms:created xsi:type="dcterms:W3CDTF">2019-04-29T02:42:22Z</dcterms:created>
  <dcterms:modified xsi:type="dcterms:W3CDTF">2019-06-13T19:31:42Z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{DDBA2F49-43E8-4B4E-886A-53A2FC7D0DF8}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